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20"/>
  <Override ContentType="application/binary" PartName="/xl/commentsmeta10"/>
  <Override ContentType="application/binary" PartName="/xl/commentsmeta4"/>
  <Override ContentType="application/binary" PartName="/xl/commentsmeta19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21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2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  <sheet state="visible" name="912 -915 WP" sheetId="29" r:id="rId32"/>
    <sheet state="visible" name="LWC" sheetId="30" r:id="rId33"/>
    <sheet state="visible" name="Mortality" sheetId="31" r:id="rId34"/>
    <sheet state="visible" name="lost and (not) found" sheetId="32" r:id="rId35"/>
  </sheets>
  <definedNames/>
  <calcPr/>
  <extLst>
    <ext uri="GoogleSheetsCustomDataVersion2">
      <go:sheetsCustomData xmlns:go="http://customooxmlschemas.google.com/" r:id="rId36" roundtripDataChecksum="SIIFDLWSZ21hTxixzRQ2qAl5XjQFnP0R3w4WilRDgc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2">
      <go:sheetsCustomData xmlns:go="http://customooxmlschemas.google.com/" r:id="rId1" roundtripDataSignature="AMtx7micGEacc1y5no9Maev0k97VZSewq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6">
      <text>
        <t xml:space="preserve">======
ID#AAAAuesbgLo
Rayna Ruggeri    (2023-05-09 18:18:28)
repeated row?</t>
      </text>
    </comment>
    <comment authorId="0" ref="N194">
      <text>
        <t xml:space="preserve">======
ID#AAAAreC2wFU
Indra Boving    (2023-03-21 20:28:09)
@plovegreen@umail.ucsb.edu These are the missing areas -- any thoughts on where they might be?
_Assigned to Piper Lovegreen_
------
ID#AAAAreC2wFc
Piper Lovegreen    (2023-03-21 20:36:55)
Maybe we contact Laura and Isobel? My only thought would be somewhere on the lab laptops?? Since I wasn't here I don't have as great of insight but I will check the laptops when I am back.</t>
      </text>
    </comment>
    <comment authorId="0" ref="K6">
      <text>
        <t xml:space="preserve">======
ID#AAAAm25jzZI
Indra Boving    (2023-01-05 18:51:01)
Also, @plovegreen@umail.ucsb.edu, do you know why there area NAs here and if they exist somewhere that I could track down?</t>
      </text>
    </comment>
    <comment authorId="0" ref="G1">
      <text>
        <t xml:space="preserve">======
ID#AAAAm25jzZE
Indra Boving    (2023-01-05 18:50:09)
@plovegreen@umail.ucsb.edu are these for the subset of leaves that were scanned, or the totals (i.e. not the scanned leaves)?
------
ID#AAAAm25jzZQ
Indra Boving    (2023-01-05 19:12:27)
Ahhh, is SWM scanned wet mass? That makes more sense
------
ID#AAAAxEJx8lM
Piper Lovegreen    (2023-05-17 20:57:15)
stem wet mass = SWM
stem dry mass = SDM</t>
      </text>
    </comment>
    <comment authorId="0" ref="J1">
      <text>
        <t xml:space="preserve">======
ID#AAAAkCzEeaI
Piper Lovegreen    (2022-11-14 20:08:40)
These are not all in cm some are in mm not sure how to go back and figure out which are which the envelopes don't always denote which unit
------
ID#AAAAm25jzZc
Indra Boving    (2023-01-05 19:27:58)
huh, this might be an issue. i wonder if theres a reasonable cutoff where any numbers larger are prob in mm?
------
ID#AAAAm25jzZo
Leander Love-Anderegg    (2023-01-05 19:59:38)
Just eyeballing the values (making a quick figure of value vs index), it looks like there's a clean break between the cm and mm values. I highlighted the mm values in yellow.
------
ID#AAAAm25jzZs
Leander Love-Anderegg    (2023-01-05 20:00:50)
You can really see the dividing line if you plot L vs D
------
ID#AAAAm2xJSBQ
Indra Boving    (2023-01-05 20:54:00)
Amazing! And given that they line up with new dates, that definitely looks right. Thank you!!!</t>
      </text>
    </comment>
    <comment authorId="0" ref="O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2">
      <go:sheetsCustomData xmlns:go="http://customooxmlschemas.google.com/" r:id="rId1" roundtripDataSignature="AMtx7mhZF2XOBtD1Fa9/ZvA5OujE57Fmy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2">
      <go:sheetsCustomData xmlns:go="http://customooxmlschemas.google.com/" r:id="rId1" roundtripDataSignature="AMtx7mjsSQ8mbTOn/tjouNvdlfWknZvro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2">
      <go:sheetsCustomData xmlns:go="http://customooxmlschemas.google.com/" r:id="rId1" roundtripDataSignature="AMtx7mgXsJ/9Po5Uul4nWMKElCeCQE96x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83">
      <text>
        <t xml:space="preserve">======
ID#AAAAjFrkSAo
Indra Boving    (2022-10-28 15:43:21)
This is almost def LWC, but unclear if PD or MD -- check envelopes
------
ID#AAAAkavUTwg
Indra Boving    (2022-11-28 03:29:34)
Actually, I think the date was mislabeled and its RWC from 4/14 (said 4/4 when above comment was made)</t>
      </text>
    </comment>
  </commentList>
  <extLst>
    <ext uri="GoogleSheetsCustomDataVersion2">
      <go:sheetsCustomData xmlns:go="http://customooxmlschemas.google.com/" r:id="rId1" roundtripDataSignature="AMtx7mi2wLVOPL2aeccRe0wxo4vGkPnT1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2">
      <go:sheetsCustomData xmlns:go="http://customooxmlschemas.google.com/" r:id="rId1" roundtripDataSignature="AMtx7mgG/gXHec9UcWa1GGFKDhOIA5ran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2">
      <go:sheetsCustomData xmlns:go="http://customooxmlschemas.google.com/" r:id="rId1" roundtripDataSignature="AMtx7mgXa63qHhXOLCEdfec5hHFPhcW8Zg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35">
      <text>
        <t xml:space="preserve">======
ID#AAAArZtyUDc
Indra Boving    (2023-02-20 22:57:18)
Switched around wet and dry because they didn't make sense otherwise
------
ID#AAAArZtyUEc
Indra Boving    (2023-02-20 23:12:01)
But they still dont make sense, so using leaf LWC for this tree
------
ID#AAAArBlp-yE
Indra Boving    (2023-03-11 17:40:32)
wet previously .01225, which is likely an entering error and should be 1.225 (for consistency of decimal placement)</t>
      </text>
    </comment>
    <comment authorId="0" ref="H6">
      <text>
        <t xml:space="preserve">======
ID#AAAArZtyUDY
Indra Boving    (2023-02-20 22:50:59)
3/8 (MD); 3/11 (PD)</t>
      </text>
    </commen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2">
      <go:sheetsCustomData xmlns:go="http://customooxmlschemas.google.com/" r:id="rId1" roundtripDataSignature="AMtx7mhZ4ycIPLAbZIA3H+gt+e9+kyb4LQ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2">
      <go:sheetsCustomData xmlns:go="http://customooxmlschemas.google.com/" r:id="rId1" roundtripDataSignature="AMtx7mgtZ9qiebcUvb3r1BlRFhxyF1pNb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2">
      <go:sheetsCustomData xmlns:go="http://customooxmlschemas.google.com/" r:id="rId1" roundtripDataSignature="AMtx7mi900kNxIDXwEUlOKR4ydc9I2P21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2">
      <go:sheetsCustomData xmlns:go="http://customooxmlschemas.google.com/" r:id="rId1" roundtripDataSignature="AMtx7mi88tLuCCEZ3a8QhfcCWagvdJXCzA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2">
      <go:sheetsCustomData xmlns:go="http://customooxmlschemas.google.com/" r:id="rId1" roundtripDataSignature="AMtx7mi5MkEUMkbFWwO+nYAVLmybYoNvNg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2">
      <go:sheetsCustomData xmlns:go="http://customooxmlschemas.google.com/" r:id="rId1" roundtripDataSignature="AMtx7mjzwma2xIGc6vcGVC5MdhcdkW4iYQ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2">
      <go:sheetsCustomData xmlns:go="http://customooxmlschemas.google.com/" r:id="rId1" roundtripDataSignature="AMtx7mhsnOLbiJOcXjyRaGm/DN2RMP3m4A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42">
      <text>
        <t xml:space="preserve">======
ID#AAAArBlp-yI
Indra Boving    (2023-03-11 17:50:24)
check - probably meant to be 1.2233? changed to this (prev. 0.2233, but not realistic at all)</t>
      </text>
    </commen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2">
      <go:sheetsCustomData xmlns:go="http://customooxmlschemas.google.com/" r:id="rId1" roundtripDataSignature="AMtx7mhlmnTq3fL8AGKaG320Ub49hxoWO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2">
      <go:sheetsCustomData xmlns:go="http://customooxmlschemas.google.com/" r:id="rId1" roundtripDataSignature="AMtx7miH2FAFC1KKjPNLj9rZSxXwOALqpw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2">
      <go:sheetsCustomData xmlns:go="http://customooxmlschemas.google.com/" r:id="rId1" roundtripDataSignature="AMtx7mhLwWbLYR2ffdYMuKp0EUi6vNF9zg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26">
      <text>
        <t xml:space="preserve">======
ID#AAAAj-1y3eE
Indra Boving    (2022-11-12 16:30:11)
Could this be wrong? Very weirdly low LWC given the hydrated MPa</t>
      </text>
    </comment>
  </commentList>
  <extLst>
    <ext uri="GoogleSheetsCustomDataVersion2">
      <go:sheetsCustomData xmlns:go="http://customooxmlschemas.google.com/" r:id="rId1" roundtripDataSignature="AMtx7mge6zSrafFtzrNfeEiTGBiqpCJSJA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0">
      <text>
        <t xml:space="preserve">======
ID#AAAAkavUTwY
Indra Boving    (2022-11-28 02:50:26)
PDs entered as 2082</t>
      </text>
    </commen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2">
      <go:sheetsCustomData xmlns:go="http://customooxmlschemas.google.com/" r:id="rId1" roundtripDataSignature="AMtx7mgUMepXQ4+N2w+W+FBCW/FYny9Fgg=="/>
    </ext>
  </extLst>
</comments>
</file>

<file path=xl/comments2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ID#AAAAs4843eM
Piper Lovegreen    (2023-03-13 22:34:25)
The amount of leaves we pressure bombed</t>
      </text>
    </comment>
    <comment authorId="0" ref="E1">
      <text>
        <t xml:space="preserve">======
ID#AAAAs4843eI
Piper Lovegreen    (2023-03-13 22:34:07)
Predawn or Midday</t>
      </text>
    </comment>
  </commentList>
  <extLst>
    <ext uri="GoogleSheetsCustomDataVersion2">
      <go:sheetsCustomData xmlns:go="http://customooxmlschemas.google.com/" r:id="rId1" roundtripDataSignature="AMtx7mjildQxgIpE3wOlJ2hYuX6GDIwKbQ=="/>
    </ext>
  </extLst>
</comments>
</file>

<file path=xl/comments2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2">
      <text>
        <t xml:space="preserve">======
ID#AAAArBlp-yM
Indra Boving    (2023-03-11 18:29:57)
missing</t>
      </text>
    </comment>
  </commentList>
  <extLst>
    <ext uri="GoogleSheetsCustomDataVersion2">
      <go:sheetsCustomData xmlns:go="http://customooxmlschemas.google.com/" r:id="rId1" roundtripDataSignature="AMtx7mj1fnunlXdf6NepojUS4xA7vhRiGQ=="/>
    </ext>
  </extLst>
</comments>
</file>

<file path=xl/sharedStrings.xml><?xml version="1.0" encoding="utf-8"?>
<sst xmlns="http://schemas.openxmlformats.org/spreadsheetml/2006/main" count="28146" uniqueCount="526">
  <si>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</si>
  <si>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</si>
  <si>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</si>
  <si>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</si>
  <si>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</si>
  <si>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</si>
  <si>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</si>
  <si>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</si>
  <si>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</si>
  <si>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</si>
  <si>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</si>
  <si>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</si>
  <si>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</si>
  <si>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</si>
  <si>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</si>
  <si>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</si>
  <si>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</si>
  <si>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</si>
  <si>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</si>
  <si>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</si>
  <si>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</si>
  <si>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</si>
  <si>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</si>
  <si>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</si>
  <si>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</si>
  <si>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</si>
  <si>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</si>
  <si>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</si>
  <si>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</si>
  <si>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</si>
  <si>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</si>
  <si>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</si>
  <si>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</si>
  <si>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</si>
  <si>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</si>
  <si>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</si>
  <si>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</si>
  <si>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</si>
  <si>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</si>
  <si>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</si>
  <si>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</si>
  <si>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</si>
  <si>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</si>
  <si>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</si>
  <si>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</si>
  <si>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</si>
  <si>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</si>
  <si>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</si>
  <si>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</si>
  <si>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</si>
  <si>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</si>
  <si>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</si>
  <si>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</si>
  <si>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</si>
  <si>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</si>
  <si>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</si>
  <si>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</si>
  <si>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</si>
  <si>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</si>
  <si>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</si>
  <si>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</si>
  <si>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</si>
  <si>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</si>
  <si>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</si>
  <si>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</si>
  <si>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</si>
  <si>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</si>
  <si>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</si>
  <si>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</si>
  <si>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</si>
  <si>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</si>
  <si>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</si>
  <si>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</si>
  <si>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</si>
  <si>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</si>
  <si>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</si>
  <si>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</si>
  <si>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</si>
  <si>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</si>
  <si>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</si>
  <si>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</si>
  <si>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</si>
  <si>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</si>
  <si>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</si>
  <si>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</si>
  <si>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</si>
  <si>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</si>
  <si>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</si>
  <si>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</si>
  <si>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</si>
  <si>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</si>
  <si>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</si>
  <si>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</si>
  <si>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</si>
  <si>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</si>
  <si>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</si>
  <si>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</si>
  <si>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</si>
  <si>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</si>
  <si>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</si>
  <si>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</si>
  <si>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</si>
  <si>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</si>
  <si>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</si>
  <si>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</si>
  <si>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</si>
  <si>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</si>
  <si>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</si>
  <si>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</si>
  <si>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</si>
  <si>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</si>
  <si>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</si>
  <si>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</si>
  <si>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</si>
  <si>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</si>
  <si>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</si>
  <si>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</si>
  <si>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</si>
  <si>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</si>
  <si>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</si>
  <si>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</si>
  <si>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</si>
  <si>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</si>
  <si>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</si>
  <si>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</si>
  <si>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</si>
  <si>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</si>
  <si>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</si>
  <si>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</si>
  <si>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</si>
  <si>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</si>
  <si>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</si>
  <si>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</si>
  <si>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</si>
  <si>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</si>
  <si>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</si>
  <si>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</si>
  <si>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</si>
  <si>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</si>
  <si>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</si>
  <si>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</si>
  <si>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</si>
  <si>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</si>
  <si>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</si>
  <si>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</si>
  <si>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</si>
  <si>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</si>
  <si>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</si>
  <si>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</si>
  <si>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</si>
  <si>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</si>
  <si>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</si>
  <si>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</si>
  <si>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</si>
  <si>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</si>
  <si>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</si>
  <si>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</si>
  <si>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</si>
  <si>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</si>
  <si>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</si>
  <si>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</si>
  <si>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</si>
  <si>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</si>
  <si>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</si>
  <si>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</si>
  <si>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</si>
  <si>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</si>
  <si>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</si>
  <si>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</si>
  <si>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</si>
  <si>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</si>
  <si>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</si>
  <si>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</si>
  <si>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</si>
  <si>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</si>
  <si>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</si>
  <si>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</si>
  <si>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</si>
  <si>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length_new_cm</t>
  </si>
  <si>
    <t>Date</t>
  </si>
  <si>
    <t>Area if Leaf from scan (fresh weight scan)</t>
  </si>
  <si>
    <t>DRY scan</t>
  </si>
  <si>
    <t>dry scan area only; need to use conversion from 4/4 scans</t>
  </si>
  <si>
    <t>B</t>
  </si>
  <si>
    <t>a</t>
  </si>
  <si>
    <t>b</t>
  </si>
  <si>
    <t>c</t>
  </si>
  <si>
    <t>area processed in R</t>
  </si>
  <si>
    <t>Envelope empty (missing sample?)</t>
  </si>
  <si>
    <t>Missing sample?</t>
  </si>
  <si>
    <t xml:space="preserve">B </t>
  </si>
  <si>
    <t xml:space="preserve">L </t>
  </si>
  <si>
    <t>Serpentine - LENGTH IN MM</t>
  </si>
  <si>
    <t>Guestimate: leaves scrambled in bag between b6 and b8</t>
  </si>
  <si>
    <t xml:space="preserve">Not sure Tree ID is correct </t>
  </si>
  <si>
    <t>SERPENTINE</t>
  </si>
  <si>
    <t>Wet mass not accurate</t>
  </si>
  <si>
    <t xml:space="preserve">Had one leaf </t>
  </si>
  <si>
    <t>no year 0 growth, length in mm</t>
  </si>
  <si>
    <t>length in mm</t>
  </si>
  <si>
    <t>branch not labeled</t>
  </si>
  <si>
    <t>No leaves, length in mm</t>
  </si>
  <si>
    <t>No leaves</t>
  </si>
  <si>
    <t>3 stems in sample, length is average of the stems</t>
  </si>
  <si>
    <t>no diameter or length</t>
  </si>
  <si>
    <t>no branch number</t>
  </si>
  <si>
    <t xml:space="preserve">Conflicting samples, another </t>
  </si>
  <si>
    <t>no Y0 growth</t>
  </si>
  <si>
    <t>No Y0 Growth</t>
  </si>
  <si>
    <t>d</t>
  </si>
  <si>
    <t>No stem sample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</si>
  <si>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</si>
  <si>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</si>
  <si>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</si>
  <si>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</si>
  <si>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</si>
  <si>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</si>
  <si>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</si>
  <si>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</si>
  <si>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</si>
  <si>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</si>
  <si>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</si>
  <si>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</si>
  <si>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</si>
  <si>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</si>
  <si>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</si>
  <si>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</si>
  <si>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</si>
  <si>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</si>
  <si>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</si>
  <si>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</si>
  <si>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</si>
  <si>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</si>
  <si>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</si>
  <si>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</si>
  <si>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</si>
  <si>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</si>
  <si>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was labeld 1472, but must be 1478! - IB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</si>
  <si>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</si>
  <si>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</si>
  <si>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</si>
  <si>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</si>
  <si>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</si>
  <si>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</si>
  <si>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</si>
  <si>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</si>
  <si>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</si>
  <si>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1,2</t>
  </si>
  <si>
    <t>bulk</t>
  </si>
  <si>
    <t>year not noted</t>
  </si>
  <si>
    <t>2006?</t>
  </si>
  <si>
    <t xml:space="preserve">no y0 growth </t>
  </si>
  <si>
    <t>no y0 growth</t>
  </si>
  <si>
    <t>*No Y0 leaves or growth</t>
  </si>
  <si>
    <t>*No Y1 leaves</t>
  </si>
  <si>
    <t>Not labelled as LFM</t>
  </si>
  <si>
    <t>No year labelled; bulk</t>
  </si>
  <si>
    <t>*Poorly labelled envelope</t>
  </si>
  <si>
    <t>Could be 2.0060 or 2.0068</t>
  </si>
  <si>
    <t>*Y0 and Y1 leaves may have crossover</t>
  </si>
  <si>
    <t>LFM + bulk; No year available</t>
  </si>
  <si>
    <t>LFM + bulk (but LFM might be crossed out); No year available</t>
  </si>
  <si>
    <t>No LFM label</t>
  </si>
  <si>
    <t>No year available</t>
  </si>
  <si>
    <t>has acorn</t>
  </si>
  <si>
    <t>has 1 acorn</t>
  </si>
  <si>
    <t>no Y0 leaf growth</t>
  </si>
  <si>
    <t>time of day not listed</t>
  </si>
  <si>
    <t>no dry mass</t>
  </si>
  <si>
    <t>no wet mass given</t>
  </si>
  <si>
    <t>possibly Y1?</t>
  </si>
  <si>
    <t xml:space="preserve">  </t>
  </si>
  <si>
    <t>rehydrated, accidentally pealed off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</si>
  <si>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</si>
  <si>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</si>
  <si>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</si>
  <si>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</si>
  <si>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</si>
  <si>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</si>
  <si>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</si>
  <si>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</si>
  <si>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</si>
  <si>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</si>
  <si>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</si>
  <si>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</si>
  <si>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</si>
  <si>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</si>
  <si>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</si>
  <si>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</si>
  <si>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</si>
  <si>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</si>
  <si>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LWC?</t>
  </si>
  <si>
    <t>Probably truly RWC</t>
  </si>
  <si>
    <t xml:space="preserve">lost Y1 branch </t>
  </si>
  <si>
    <t>no Y1 leaves</t>
  </si>
  <si>
    <t xml:space="preserve">stem </t>
  </si>
  <si>
    <t xml:space="preserve">bad handwriting-not sure branch 1 or 2 </t>
  </si>
  <si>
    <t>leeaf</t>
  </si>
  <si>
    <t xml:space="preserve">no branch # labeled- no Y0 growth </t>
  </si>
  <si>
    <t>no Y0</t>
  </si>
  <si>
    <t>no Y0 growth? or branches at Y1</t>
  </si>
  <si>
    <t>"no Y0 growth? or branch linigi  at Y1"</t>
  </si>
  <si>
    <t>setm</t>
  </si>
  <si>
    <t>no Y0 stem</t>
  </si>
  <si>
    <t>date</t>
  </si>
  <si>
    <t>Tree_ID</t>
  </si>
  <si>
    <t>tree</t>
  </si>
  <si>
    <t>branch</t>
  </si>
  <si>
    <t>year</t>
  </si>
  <si>
    <t>labeled 5/19/22 but in bag for 7/19/22</t>
  </si>
  <si>
    <t>"THE REAL branch 2 (the other one broke)"</t>
  </si>
  <si>
    <t>"(sub-branch)cut  off before running hydraulics, but above bud scar"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</si>
  <si>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</si>
  <si>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</si>
  <si>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</si>
  <si>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</si>
  <si>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</si>
  <si>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</si>
  <si>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</si>
  <si>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</si>
  <si>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</si>
  <si>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</si>
  <si>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</si>
  <si>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</si>
  <si>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</si>
  <si>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</si>
  <si>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</si>
  <si>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</si>
  <si>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</si>
  <si>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</si>
  <si>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</si>
  <si>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</si>
  <si>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</si>
  <si>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</si>
  <si>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</si>
  <si>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</si>
  <si>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</si>
  <si>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</si>
  <si>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</si>
  <si>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</si>
  <si>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</si>
  <si>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</si>
  <si>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</si>
  <si>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</si>
  <si>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</si>
  <si>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</si>
  <si>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</si>
  <si>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</si>
  <si>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</si>
  <si>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</si>
  <si>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</si>
  <si>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</si>
  <si>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</si>
  <si>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</si>
  <si>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</si>
  <si>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</si>
  <si>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</si>
  <si>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</si>
  <si>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</si>
  <si>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</si>
  <si>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</si>
  <si>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</si>
  <si>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</si>
  <si>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</si>
  <si>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</si>
  <si>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</si>
  <si>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</si>
  <si>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</si>
  <si>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</si>
  <si>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</si>
  <si>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</si>
  <si>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</si>
  <si>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</si>
  <si>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</si>
  <si>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</si>
  <si>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</si>
  <si>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</si>
  <si>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</si>
  <si>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</si>
  <si>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</si>
  <si>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</si>
  <si>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</si>
  <si>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</si>
  <si>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</si>
  <si>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</si>
  <si>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</si>
  <si>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</si>
  <si>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</si>
  <si>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</si>
  <si>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</si>
  <si>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</si>
  <si>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</si>
  <si>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</si>
  <si>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</si>
  <si>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</si>
  <si>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</si>
  <si>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</si>
  <si>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</si>
  <si>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</si>
  <si>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</si>
  <si>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</si>
  <si>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</si>
  <si>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</si>
  <si>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</si>
  <si>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</si>
  <si>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</si>
  <si>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</si>
  <si>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</si>
  <si>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</si>
  <si>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</si>
  <si>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</si>
  <si>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</si>
  <si>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</si>
  <si>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1st PD value probably overshoot</t>
  </si>
  <si>
    <t>Bulk switched around?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</si>
  <si>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</si>
  <si>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</si>
  <si>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</si>
  <si>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</si>
  <si>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</si>
  <si>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</si>
  <si>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</si>
  <si>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</si>
  <si>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</si>
  <si>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</si>
  <si>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</si>
  <si>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</si>
  <si>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</si>
  <si>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</si>
  <si>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</si>
  <si>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</si>
  <si>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</si>
  <si>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</si>
  <si>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</si>
  <si>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</si>
  <si>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</si>
  <si>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</si>
  <si>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</si>
  <si>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</si>
  <si>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</si>
  <si>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</si>
  <si>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0.8771 was entered for bulk at some point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</si>
  <si>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</si>
  <si>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</si>
  <si>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</si>
  <si>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</si>
  <si>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</si>
  <si>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</si>
  <si>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</si>
  <si>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</si>
  <si>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</si>
  <si>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</si>
  <si>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</si>
  <si>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</si>
  <si>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</si>
  <si>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</si>
  <si>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</si>
  <si>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</si>
  <si>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</si>
  <si>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</si>
  <si>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</si>
  <si>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</si>
  <si>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</si>
  <si>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</si>
  <si>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</si>
  <si>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</si>
  <si>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</si>
  <si>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</si>
  <si>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</si>
  <si>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</si>
  <si>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</si>
  <si>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</si>
  <si>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</si>
  <si>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</si>
  <si>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</si>
  <si>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</si>
  <si>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</si>
  <si>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</si>
  <si>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</si>
  <si>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</si>
  <si>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</si>
  <si>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</si>
  <si>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</si>
  <si>
    <t xml:space="preserve">Tree ID </t>
  </si>
  <si>
    <t xml:space="preserve">Rep </t>
  </si>
  <si>
    <t>MPa</t>
  </si>
  <si>
    <t xml:space="preserve">LL ARCA </t>
  </si>
  <si>
    <t>LL LEU</t>
  </si>
  <si>
    <t xml:space="preserve">Chamise ARCA  </t>
  </si>
  <si>
    <t>CUCU LEU</t>
  </si>
  <si>
    <t>CUCU ARCA</t>
  </si>
  <si>
    <t>missing LWC</t>
  </si>
  <si>
    <t>ARCA - LL</t>
  </si>
  <si>
    <t>LEU - LL</t>
  </si>
  <si>
    <t>Maybe mislabeled - a tree from upper lisque or piney blue</t>
  </si>
  <si>
    <t>LEU- CUCU</t>
  </si>
  <si>
    <t>not eneough gas - probably higher</t>
  </si>
  <si>
    <t>ARCA - CUCU</t>
  </si>
  <si>
    <t>bag says 2006 but probably 2026</t>
  </si>
  <si>
    <t>WM</t>
  </si>
  <si>
    <t>DM</t>
  </si>
  <si>
    <t>No LFM or Spectra</t>
  </si>
  <si>
    <t>cucu-ARCU</t>
  </si>
  <si>
    <t xml:space="preserve">cucu-LEU </t>
  </si>
  <si>
    <t>chamise-ARCA</t>
  </si>
  <si>
    <t>WM weighed on 10/27-old and moldy</t>
  </si>
  <si>
    <t>WM weighed on 10/26-old and moldy</t>
  </si>
  <si>
    <t>cucu-ARCA</t>
  </si>
  <si>
    <t>NO WM</t>
  </si>
  <si>
    <t>LABELLED BULK</t>
  </si>
  <si>
    <t>Labelled "bulk_LWC"</t>
  </si>
  <si>
    <t>labeled bulk</t>
  </si>
  <si>
    <t>*PD in question</t>
  </si>
  <si>
    <t xml:space="preserve">No weight mass </t>
  </si>
  <si>
    <t>*PD in question; envelope not labelled with Tree ID</t>
  </si>
  <si>
    <t xml:space="preserve">PD </t>
  </si>
  <si>
    <t>*No LFM or spectra*</t>
  </si>
  <si>
    <t>Date is either 9/12 or 9/15</t>
  </si>
  <si>
    <t>Mystery blue ID</t>
  </si>
  <si>
    <t>Mystery tree from upper Lisque or Piney</t>
  </si>
  <si>
    <t>Labelled bulk (not LWC)</t>
  </si>
  <si>
    <t>%brown</t>
  </si>
  <si>
    <t>%lichen</t>
  </si>
  <si>
    <t xml:space="preserve">person who did survey </t>
  </si>
  <si>
    <t>Tree</t>
  </si>
  <si>
    <t>Entered data: not sure from 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</si>
</sst>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  <numFmt numFmtId="170" formatCode="M/d/yyyy"/>
  </numFmts>
  <fonts count="19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color theme="1"/>
      <name val="Calibri"/>
    </font>
    <font>
      <b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0" fontId="8" numFmtId="0" xfId="0" applyAlignment="1" applyFont="1">
      <alignment readingOrder="0" shrinkToFit="0" wrapText="0"/>
    </xf>
    <xf borderId="0" fillId="8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0" numFmtId="166" xfId="0" applyAlignment="1" applyFont="1" applyNumberFormat="1">
      <alignment shrinkToFit="0" vertical="bottom" wrapText="0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0" numFmtId="165" xfId="0" applyAlignment="1" applyFont="1" applyNumberForma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166" xfId="0" applyAlignment="1" applyFont="1" applyNumberFormat="1">
      <alignment horizontal="right" vertical="bottom"/>
    </xf>
    <xf borderId="0" fillId="3" fontId="10" numFmtId="0" xfId="0" applyAlignment="1" applyFont="1">
      <alignment shrinkToFit="0" vertical="bottom" wrapText="0"/>
    </xf>
    <xf borderId="0" fillId="3" fontId="10" numFmtId="165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0" numFmtId="167" xfId="0" applyAlignment="1" applyFont="1" applyNumberFormat="1">
      <alignment vertical="bottom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readingOrder="0" vertical="bottom"/>
    </xf>
    <xf borderId="0" fillId="0" fontId="11" numFmtId="166" xfId="0" applyAlignment="1" applyFont="1" applyNumberFormat="1">
      <alignment horizontal="right" readingOrder="0" vertical="bottom"/>
    </xf>
    <xf borderId="0" fillId="0" fontId="11" numFmtId="167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8" numFmtId="168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5" numFmtId="0" xfId="0" applyAlignment="1" applyBorder="1" applyFont="1">
      <alignment shrinkToFit="0" wrapText="1"/>
    </xf>
    <xf borderId="8" fillId="0" fontId="15" numFmtId="0" xfId="0" applyBorder="1" applyFont="1"/>
    <xf borderId="9" fillId="3" fontId="14" numFmtId="0" xfId="0" applyBorder="1" applyFont="1"/>
    <xf borderId="9" fillId="5" fontId="14" numFmtId="0" xfId="0" applyBorder="1" applyFont="1"/>
    <xf borderId="0" fillId="0" fontId="14" numFmtId="164" xfId="0" applyFont="1" applyNumberFormat="1"/>
    <xf borderId="0" fillId="0" fontId="14" numFmtId="165" xfId="0" applyFont="1" applyNumberFormat="1"/>
    <xf borderId="0" fillId="0" fontId="14" numFmtId="164" xfId="0" applyAlignment="1" applyFont="1" applyNumberFormat="1">
      <alignment readingOrder="0"/>
    </xf>
    <xf borderId="0" fillId="0" fontId="14" numFmtId="165" xfId="0" applyAlignment="1" applyFont="1" applyNumberFormat="1">
      <alignment readingOrder="0"/>
    </xf>
    <xf borderId="0" fillId="0" fontId="14" numFmtId="1" xfId="0" applyAlignment="1" applyFont="1" applyNumberFormat="1">
      <alignment readingOrder="0"/>
    </xf>
    <xf borderId="0" fillId="0" fontId="14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4" numFmtId="168" xfId="0" applyAlignment="1" applyFont="1" applyNumberFormat="1">
      <alignment readingOrder="0"/>
    </xf>
    <xf borderId="8" fillId="0" fontId="16" numFmtId="0" xfId="0" applyAlignment="1" applyBorder="1" applyFont="1">
      <alignment shrinkToFit="0" wrapText="1"/>
    </xf>
    <xf borderId="10" fillId="0" fontId="15" numFmtId="0" xfId="0" applyBorder="1" applyFont="1"/>
    <xf borderId="0" fillId="0" fontId="14" numFmtId="9" xfId="0" applyFont="1" applyNumberFormat="1"/>
    <xf borderId="4" fillId="0" fontId="4" numFmtId="0" xfId="0" applyAlignment="1" applyBorder="1" applyFont="1">
      <alignment readingOrder="0"/>
    </xf>
    <xf borderId="9" fillId="5" fontId="14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0" fontId="13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11" numFmtId="166" xfId="0" applyAlignment="1" applyFont="1" applyNumberFormat="1">
      <alignment horizontal="right" vertical="bottom"/>
    </xf>
    <xf borderId="0" fillId="3" fontId="11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0" fontId="8" numFmtId="169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4" numFmtId="165" xfId="0" applyAlignment="1" applyFont="1" applyNumberFormat="1">
      <alignment readingOrder="0"/>
    </xf>
    <xf borderId="0" fillId="10" fontId="14" numFmtId="165" xfId="0" applyAlignment="1" applyFont="1" applyNumberFormat="1">
      <alignment readingOrder="0"/>
    </xf>
    <xf borderId="0" fillId="3" fontId="8" numFmtId="0" xfId="0" applyAlignment="1" applyFont="1">
      <alignment horizontal="center" readingOrder="0"/>
    </xf>
    <xf borderId="0" fillId="0" fontId="9" numFmtId="17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0" fillId="2" fontId="10" numFmtId="0" xfId="0" applyAlignment="1" applyFont="1">
      <alignment horizontal="right" vertical="bottom"/>
    </xf>
    <xf borderId="0" fillId="0" fontId="8" numFmtId="170" xfId="0" applyFont="1" applyNumberFormat="1"/>
    <xf borderId="0" fillId="3" fontId="11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comments20.xml.rels><?xml version="1.0" encoding="UTF-8" standalone="yes"?><Relationships xmlns="http://schemas.openxmlformats.org/package/2006/relationships"><Relationship Id="rId1" Type="http://customschemas.google.com/relationships/workbookmetadata" Target="commentsmeta19"/></Relationships>
</file>

<file path=xl/_rels/comments21.xml.rels><?xml version="1.0" encoding="UTF-8" standalone="yes"?><Relationships xmlns="http://schemas.openxmlformats.org/package/2006/relationships"><Relationship Id="rId1" Type="http://customschemas.google.com/relationships/workbookmetadata" Target="commentsmeta2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9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20.v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21.v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16.0"/>
    <col customWidth="1" min="13" max="13" width="7.29"/>
    <col customWidth="1" min="14" max="14" width="18.57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179</v>
      </c>
      <c r="N1" s="80" t="s">
        <v>45</v>
      </c>
      <c r="O1" s="79" t="s">
        <v>180</v>
      </c>
      <c r="P1" s="79" t="s">
        <v>181</v>
      </c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2">
        <f>average(2.18,2.12,2.09,2.15)</f>
        <v>2.135</v>
      </c>
      <c r="L2" s="82">
        <f t="shared" ref="L2:L900" si="1">J2</f>
        <v>12.22</v>
      </c>
      <c r="M2" s="83">
        <v>44628.0</v>
      </c>
      <c r="N2" s="84" t="s">
        <v>182</v>
      </c>
      <c r="P2" s="66">
        <v>75.51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2">
        <f>average(1.69,1.64,1.57,1.59)</f>
        <v>1.6225</v>
      </c>
      <c r="L3" s="82">
        <f t="shared" si="1"/>
        <v>7.29</v>
      </c>
      <c r="M3" s="83">
        <v>44628.0</v>
      </c>
      <c r="N3" s="84" t="s">
        <v>182</v>
      </c>
      <c r="P3" s="66">
        <v>38.215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2">
        <f>average(0.91,0.75,0.86,0.91)</f>
        <v>0.8575</v>
      </c>
      <c r="L4" s="82">
        <f t="shared" si="1"/>
        <v>2.47</v>
      </c>
      <c r="M4" s="83">
        <v>44628.0</v>
      </c>
      <c r="N4" s="84" t="s">
        <v>182</v>
      </c>
      <c r="P4" s="66">
        <v>8.328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2">
        <f>average(1.37,1.38,1.37,1.5)</f>
        <v>1.405</v>
      </c>
      <c r="L5" s="82">
        <f t="shared" si="1"/>
        <v>8.31</v>
      </c>
      <c r="M5" s="83">
        <v>44628.0</v>
      </c>
      <c r="N5" s="84" t="s">
        <v>182</v>
      </c>
      <c r="P5" s="66">
        <v>38.392</v>
      </c>
    </row>
    <row r="6">
      <c r="A6" s="66" t="s">
        <v>183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f t="shared" si="1"/>
        <v>2.21</v>
      </c>
      <c r="M6" s="83">
        <v>44628.0</v>
      </c>
      <c r="N6" s="84" t="s">
        <v>182</v>
      </c>
      <c r="P6" s="66">
        <v>5.079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184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2">
        <f>average(1.43,1.47,1.49,1.56)</f>
        <v>1.4875</v>
      </c>
      <c r="L7" s="82">
        <f t="shared" si="1"/>
        <v>5.14</v>
      </c>
      <c r="M7" s="83">
        <v>44628.0</v>
      </c>
      <c r="N7" s="84" t="s">
        <v>182</v>
      </c>
      <c r="P7" s="66">
        <v>48.419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185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2">
        <f>average(2.12,2.34,2.42,2.18)</f>
        <v>2.265</v>
      </c>
      <c r="L8" s="82">
        <f t="shared" si="1"/>
        <v>4.01</v>
      </c>
      <c r="M8" s="83">
        <v>44628.0</v>
      </c>
      <c r="N8" s="84" t="s">
        <v>182</v>
      </c>
      <c r="P8" s="66">
        <v>4.671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185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2">
        <f>average(1.14,1.06,1.17,0.99)</f>
        <v>1.09</v>
      </c>
      <c r="L9" s="82">
        <f t="shared" si="1"/>
        <v>1.66</v>
      </c>
      <c r="M9" s="83">
        <v>44628.0</v>
      </c>
      <c r="N9" s="84" t="s">
        <v>182</v>
      </c>
      <c r="P9" s="66">
        <v>8.867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2">
        <f>average(1.81,1.82,1.76,1.84)</f>
        <v>1.8075</v>
      </c>
      <c r="L10" s="82">
        <f t="shared" si="1"/>
        <v>9.04</v>
      </c>
      <c r="M10" s="83">
        <v>44628.0</v>
      </c>
      <c r="N10" s="84" t="s">
        <v>182</v>
      </c>
      <c r="P10" s="66">
        <v>47.969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2">
        <f>average(1.69,1.71,1.72,1.76)</f>
        <v>1.72</v>
      </c>
      <c r="L11" s="82">
        <f t="shared" si="1"/>
        <v>11.76</v>
      </c>
      <c r="M11" s="83">
        <v>44628.0</v>
      </c>
      <c r="N11" s="84" t="s">
        <v>182</v>
      </c>
      <c r="P11" s="66">
        <v>59.063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2">
        <f>average(1.43,1.32,1.27,1.34)</f>
        <v>1.34</v>
      </c>
      <c r="L12" s="82">
        <f t="shared" si="1"/>
        <v>2.82</v>
      </c>
      <c r="M12" s="83">
        <v>44628.0</v>
      </c>
      <c r="N12" s="84" t="s">
        <v>182</v>
      </c>
      <c r="P12" s="66">
        <v>14.264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184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2">
        <f>average(2.27,1.86,1.89,1.84)</f>
        <v>1.965</v>
      </c>
      <c r="L13" s="82">
        <f t="shared" si="1"/>
        <v>8.24</v>
      </c>
      <c r="M13" s="83">
        <v>44628.0</v>
      </c>
      <c r="N13" s="84" t="s">
        <v>182</v>
      </c>
      <c r="P13" s="66">
        <v>80.455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2">
        <f>average(0.97,1.03,1.18,1.1)</f>
        <v>1.07</v>
      </c>
      <c r="L14" s="82">
        <f t="shared" si="1"/>
        <v>3.81</v>
      </c>
      <c r="M14" s="83">
        <v>44628.0</v>
      </c>
      <c r="N14" s="84" t="s">
        <v>182</v>
      </c>
      <c r="P14" s="66">
        <v>24.162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2">
        <f>average(1.74,1.99,1.84,1.81)</f>
        <v>1.845</v>
      </c>
      <c r="L15" s="82">
        <f t="shared" si="1"/>
        <v>4.87</v>
      </c>
      <c r="M15" s="83">
        <v>44628.0</v>
      </c>
      <c r="N15" s="84" t="s">
        <v>182</v>
      </c>
      <c r="P15" s="66">
        <v>26.339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2">
        <f>average(1.21,1.08,1.01,1.02)</f>
        <v>1.08</v>
      </c>
      <c r="L16" s="82">
        <f t="shared" si="1"/>
        <v>4.53</v>
      </c>
      <c r="M16" s="83">
        <v>44628.0</v>
      </c>
      <c r="N16" s="84" t="s">
        <v>182</v>
      </c>
      <c r="P16" s="66">
        <v>18.478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2">
        <f>average(1.56,1.57,1.58,1.63)</f>
        <v>1.585</v>
      </c>
      <c r="L17" s="82">
        <f t="shared" si="1"/>
        <v>5.27</v>
      </c>
      <c r="M17" s="83">
        <v>44628.0</v>
      </c>
      <c r="N17" s="84" t="s">
        <v>182</v>
      </c>
      <c r="P17" s="66">
        <v>57.138</v>
      </c>
    </row>
    <row r="18">
      <c r="A18" s="66" t="s">
        <v>183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f t="shared" si="1"/>
        <v>2.78</v>
      </c>
      <c r="M18" s="83">
        <v>44628.0</v>
      </c>
      <c r="N18" s="84" t="s">
        <v>182</v>
      </c>
      <c r="P18" s="66">
        <v>6.718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184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2">
        <f>average(1.9,1.68,1.72,1.74)</f>
        <v>1.76</v>
      </c>
      <c r="L19" s="82">
        <f t="shared" si="1"/>
        <v>3.56</v>
      </c>
      <c r="M19" s="83">
        <v>44628.0</v>
      </c>
      <c r="N19" s="84" t="s">
        <v>182</v>
      </c>
      <c r="P19" s="66">
        <v>44.666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2">
        <f>average(2.19,2.16,2.18,2.29)</f>
        <v>2.205</v>
      </c>
      <c r="L20" s="82">
        <f t="shared" si="1"/>
        <v>11.05</v>
      </c>
      <c r="M20" s="83">
        <v>44628.0</v>
      </c>
      <c r="N20" s="84" t="s">
        <v>182</v>
      </c>
      <c r="P20" s="66">
        <v>122.784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2">
        <f>average(1.65,1.53,1.85,1.83)</f>
        <v>1.715</v>
      </c>
      <c r="L21" s="82">
        <f t="shared" si="1"/>
        <v>5.69</v>
      </c>
      <c r="M21" s="83">
        <v>44628.0</v>
      </c>
      <c r="N21" s="84" t="s">
        <v>182</v>
      </c>
      <c r="P21" s="66">
        <v>30.28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2">
        <f>average(1.6,1.62,1.5,1.63)</f>
        <v>1.5875</v>
      </c>
      <c r="L22" s="82">
        <f t="shared" si="1"/>
        <v>5.58</v>
      </c>
      <c r="M22" s="83">
        <v>44628.0</v>
      </c>
      <c r="N22" s="84" t="s">
        <v>182</v>
      </c>
      <c r="P22" s="66">
        <v>53.974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2">
        <f>average(1.75,1.66,1.66,1.71)</f>
        <v>1.695</v>
      </c>
      <c r="L23" s="82">
        <f t="shared" si="1"/>
        <v>5.57</v>
      </c>
      <c r="M23" s="83">
        <v>44628.0</v>
      </c>
      <c r="N23" s="84" t="s">
        <v>182</v>
      </c>
      <c r="P23" s="66">
        <v>69.209</v>
      </c>
    </row>
    <row r="24">
      <c r="A24" s="66" t="s">
        <v>183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f t="shared" si="1"/>
        <v>3.47</v>
      </c>
      <c r="M24" s="83">
        <v>44628.0</v>
      </c>
      <c r="N24" s="84" t="s">
        <v>182</v>
      </c>
      <c r="P24" s="66">
        <v>53.212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184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2">
        <f>average(1.66,1.76,1.8,1.81)</f>
        <v>1.7575</v>
      </c>
      <c r="L25" s="82">
        <f t="shared" si="1"/>
        <v>4.05</v>
      </c>
      <c r="M25" s="83">
        <v>44628.0</v>
      </c>
      <c r="N25" s="84" t="s">
        <v>182</v>
      </c>
      <c r="P25" s="66">
        <v>8.203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185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2">
        <f>average(1.12,1,1.13,1.04)</f>
        <v>1.0725</v>
      </c>
      <c r="L26" s="82">
        <f t="shared" si="1"/>
        <v>1.83</v>
      </c>
      <c r="M26" s="83">
        <v>44628.0</v>
      </c>
      <c r="N26" s="84" t="s">
        <v>182</v>
      </c>
      <c r="P26" s="66">
        <v>4.416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2">
        <f>average(0.49,0.45,0.42,0.47)</f>
        <v>0.4575</v>
      </c>
      <c r="L27" s="82">
        <f t="shared" si="1"/>
        <v>2.31</v>
      </c>
      <c r="M27" s="83">
        <v>44628.0</v>
      </c>
      <c r="N27" s="84" t="s">
        <v>182</v>
      </c>
      <c r="P27" s="66">
        <v>5.703</v>
      </c>
    </row>
    <row r="28">
      <c r="A28" s="66" t="s">
        <v>183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f t="shared" si="1"/>
        <v>1.1</v>
      </c>
      <c r="M28" s="83">
        <v>44628.0</v>
      </c>
      <c r="N28" s="84" t="s">
        <v>182</v>
      </c>
      <c r="P28" s="66">
        <v>10.356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2">
        <f>average(1.39,1.43,1.53,1.59)</f>
        <v>1.485</v>
      </c>
      <c r="L29" s="82">
        <f t="shared" si="1"/>
        <v>5.13</v>
      </c>
      <c r="M29" s="83">
        <v>44628.0</v>
      </c>
      <c r="N29" s="84" t="s">
        <v>182</v>
      </c>
      <c r="P29" s="66">
        <v>21.898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2">
        <f>average(1.26,1.38,1.33,1.35)</f>
        <v>1.33</v>
      </c>
      <c r="L30" s="82">
        <f t="shared" si="1"/>
        <v>4.53</v>
      </c>
      <c r="M30" s="83">
        <v>44628.0</v>
      </c>
      <c r="N30" s="84" t="s">
        <v>182</v>
      </c>
      <c r="P30" s="66">
        <v>16.792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2">
        <f>average(1.57,1.58,1.59,1.61)</f>
        <v>1.5875</v>
      </c>
      <c r="L31" s="82">
        <f t="shared" si="1"/>
        <v>5.16</v>
      </c>
      <c r="M31" s="83">
        <v>44628.0</v>
      </c>
      <c r="N31" s="84" t="s">
        <v>182</v>
      </c>
      <c r="P31" s="66">
        <v>52.514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2">
        <f>average(2.08,2.25,2.57,2.19)</f>
        <v>2.2725</v>
      </c>
      <c r="L32" s="82">
        <f t="shared" si="1"/>
        <v>12.85</v>
      </c>
      <c r="M32" s="83">
        <v>44628.0</v>
      </c>
      <c r="N32" s="84" t="s">
        <v>182</v>
      </c>
      <c r="P32" s="66">
        <v>59.999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2">
        <f>average(1.83,1.6,1.64,1.9)</f>
        <v>1.7425</v>
      </c>
      <c r="L33" s="82">
        <f t="shared" si="1"/>
        <v>3.81</v>
      </c>
      <c r="M33" s="83">
        <v>44628.0</v>
      </c>
      <c r="N33" s="84" t="s">
        <v>182</v>
      </c>
      <c r="P33" s="66">
        <v>30.798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2">
        <f>average(1.96,1.81,1.86,2.03)</f>
        <v>1.915</v>
      </c>
      <c r="L34" s="82">
        <f t="shared" si="1"/>
        <v>10.24</v>
      </c>
      <c r="M34" s="83">
        <v>44628.0</v>
      </c>
      <c r="N34" s="84" t="s">
        <v>182</v>
      </c>
      <c r="P34" s="66">
        <v>74.175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2">
        <f>average(1.58,1.69,1.58,1.55)</f>
        <v>1.6</v>
      </c>
      <c r="L35" s="82">
        <f t="shared" si="1"/>
        <v>3.38</v>
      </c>
      <c r="M35" s="83">
        <v>44628.0</v>
      </c>
      <c r="N35" s="84" t="s">
        <v>182</v>
      </c>
      <c r="P35" s="66">
        <v>11.099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2">
        <f>average(1.52,1.45,1.37,1.42)</f>
        <v>1.44</v>
      </c>
      <c r="L36" s="82">
        <f t="shared" si="1"/>
        <v>1.99</v>
      </c>
      <c r="M36" s="83">
        <v>44628.0</v>
      </c>
      <c r="N36" s="84" t="s">
        <v>182</v>
      </c>
      <c r="P36" s="66">
        <v>25.872</v>
      </c>
    </row>
    <row r="37">
      <c r="A37" s="66" t="s">
        <v>183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f t="shared" si="1"/>
        <v>2.51</v>
      </c>
      <c r="M37" s="83">
        <v>44628.0</v>
      </c>
      <c r="N37" s="84" t="s">
        <v>182</v>
      </c>
      <c r="P37" s="66">
        <v>12.12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184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2">
        <f>average(1.12,1.02,1.04,0.97)</f>
        <v>1.0375</v>
      </c>
      <c r="L38" s="82">
        <f t="shared" si="1"/>
        <v>2.91</v>
      </c>
      <c r="M38" s="83">
        <v>44628.0</v>
      </c>
      <c r="N38" s="84" t="s">
        <v>182</v>
      </c>
      <c r="P38" s="66">
        <v>25.218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2">
        <f>average(1.51,1.54,1.67,1.45)</f>
        <v>1.5425</v>
      </c>
      <c r="L39" s="82">
        <f t="shared" si="1"/>
        <v>4.95</v>
      </c>
      <c r="M39" s="83">
        <v>44628.0</v>
      </c>
      <c r="N39" s="84" t="s">
        <v>182</v>
      </c>
      <c r="P39" s="66">
        <v>43.935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2">
        <f>average(1.88,1.97,1.9,1.91)</f>
        <v>1.915</v>
      </c>
      <c r="L40" s="82">
        <f t="shared" si="1"/>
        <v>13.53</v>
      </c>
      <c r="M40" s="83">
        <v>44628.0</v>
      </c>
      <c r="N40" s="84" t="s">
        <v>182</v>
      </c>
      <c r="P40" s="66">
        <v>63.131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2">
        <f>average(1.43,1.41,1.5,1.51)</f>
        <v>1.4625</v>
      </c>
      <c r="L41" s="82">
        <f t="shared" si="1"/>
        <v>5.96</v>
      </c>
      <c r="M41" s="83">
        <v>44628.0</v>
      </c>
      <c r="N41" s="84" t="s">
        <v>182</v>
      </c>
      <c r="P41" s="66">
        <v>56.734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2">
        <f>average(1.74,1.73,1.69,1.7)</f>
        <v>1.715</v>
      </c>
      <c r="L42" s="82">
        <f t="shared" si="1"/>
        <v>10.7</v>
      </c>
      <c r="M42" s="83">
        <v>44628.0</v>
      </c>
      <c r="N42" s="84" t="s">
        <v>182</v>
      </c>
      <c r="P42" s="66">
        <v>57.112</v>
      </c>
    </row>
    <row r="43">
      <c r="A43" s="66" t="s">
        <v>183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f t="shared" si="1"/>
        <v>2.26</v>
      </c>
      <c r="M43" s="83">
        <v>44628.0</v>
      </c>
      <c r="N43" s="84" t="s">
        <v>182</v>
      </c>
      <c r="P43" s="66">
        <v>17.816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2">
        <f>average(1.6,1.63,1.78,2.03)</f>
        <v>1.76</v>
      </c>
      <c r="L44" s="82">
        <f t="shared" si="1"/>
        <v>6.18</v>
      </c>
      <c r="M44" s="83">
        <v>44628.0</v>
      </c>
      <c r="N44" s="84" t="s">
        <v>182</v>
      </c>
      <c r="P44" s="66">
        <v>52.934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2">
        <f>average(2.32,2.24,2.51,2.48)</f>
        <v>2.3875</v>
      </c>
      <c r="L45" s="82">
        <f t="shared" si="1"/>
        <v>7.82</v>
      </c>
      <c r="M45" s="83">
        <v>44628.0</v>
      </c>
      <c r="N45" s="84" t="s">
        <v>182</v>
      </c>
      <c r="P45" s="66">
        <v>54.688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2">
        <f>average(1.8,1.8,1.86,1.85)</f>
        <v>1.8275</v>
      </c>
      <c r="L46" s="82">
        <f t="shared" si="1"/>
        <v>5.68</v>
      </c>
      <c r="M46" s="83">
        <v>44628.0</v>
      </c>
      <c r="N46" s="84" t="s">
        <v>182</v>
      </c>
      <c r="P46" s="66">
        <v>49.494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2">
        <f>average(2.05,1.98,1.98,2.02)</f>
        <v>2.0075</v>
      </c>
      <c r="L47" s="82">
        <f t="shared" si="1"/>
        <v>7.43</v>
      </c>
      <c r="M47" s="83">
        <v>44628.0</v>
      </c>
      <c r="N47" s="84" t="s">
        <v>182</v>
      </c>
      <c r="P47" s="66">
        <v>41.22</v>
      </c>
    </row>
    <row r="48">
      <c r="A48" s="66" t="s">
        <v>183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f t="shared" si="1"/>
        <v>1.64</v>
      </c>
      <c r="M48" s="83">
        <v>44628.0</v>
      </c>
      <c r="N48" s="84" t="s">
        <v>182</v>
      </c>
      <c r="P48" s="66">
        <v>4.886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2">
        <f>average(2.08,2.26,2.34,2.1)</f>
        <v>2.195</v>
      </c>
      <c r="L49" s="82">
        <f t="shared" si="1"/>
        <v>8.71</v>
      </c>
      <c r="M49" s="83">
        <v>44628.0</v>
      </c>
      <c r="N49" s="84" t="s">
        <v>182</v>
      </c>
      <c r="P49" s="66">
        <v>47.806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2">
        <f>average(1.93,2.02,2.01,2.01)</f>
        <v>1.9925</v>
      </c>
      <c r="L50" s="82">
        <f t="shared" si="1"/>
        <v>11.03</v>
      </c>
      <c r="M50" s="83">
        <v>44628.0</v>
      </c>
      <c r="N50" s="84" t="s">
        <v>182</v>
      </c>
      <c r="P50" s="66">
        <v>91.29</v>
      </c>
    </row>
    <row r="51">
      <c r="A51" s="66" t="s">
        <v>183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f t="shared" si="1"/>
        <v>1.26</v>
      </c>
      <c r="M51" s="83">
        <v>44628.0</v>
      </c>
      <c r="N51" s="84" t="s">
        <v>182</v>
      </c>
      <c r="P51" s="66">
        <v>4.761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2">
        <f>average(2.15,2.21,2.19,1.99)</f>
        <v>2.135</v>
      </c>
      <c r="L52" s="82">
        <f t="shared" si="1"/>
        <v>10.76</v>
      </c>
      <c r="M52" s="83">
        <v>44628.0</v>
      </c>
      <c r="N52" s="84" t="s">
        <v>182</v>
      </c>
      <c r="P52" s="66">
        <v>36.059</v>
      </c>
    </row>
    <row r="53">
      <c r="A53" s="66" t="s">
        <v>183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f t="shared" si="1"/>
        <v>0.63</v>
      </c>
      <c r="M53" s="83">
        <v>44628.0</v>
      </c>
      <c r="N53" s="84" t="s">
        <v>182</v>
      </c>
      <c r="P53" s="66">
        <v>4.986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2">
        <f>average(2.26,2.39,2.3,2.29)</f>
        <v>2.31</v>
      </c>
      <c r="L54" s="82">
        <f t="shared" si="1"/>
        <v>9.18</v>
      </c>
      <c r="M54" s="83">
        <v>44628.0</v>
      </c>
      <c r="N54" s="84" t="s">
        <v>182</v>
      </c>
      <c r="P54" s="66">
        <v>2.556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185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2">
        <f>average(1.41,1.43,1.6,1.53)</f>
        <v>1.4925</v>
      </c>
      <c r="L55" s="82">
        <f t="shared" si="1"/>
        <v>4.02</v>
      </c>
      <c r="M55" s="83">
        <v>44628.0</v>
      </c>
      <c r="N55" s="84" t="s">
        <v>182</v>
      </c>
      <c r="P55" s="66">
        <v>48.896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2">
        <f>average(1.21,1.09,1.07,1.22)</f>
        <v>1.1475</v>
      </c>
      <c r="L56" s="82">
        <f t="shared" si="1"/>
        <v>2.65</v>
      </c>
      <c r="M56" s="83">
        <v>44628.0</v>
      </c>
      <c r="N56" s="84" t="s">
        <v>182</v>
      </c>
      <c r="P56" s="66">
        <v>16.642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2">
        <f>average(1.71,1.68,1.7,1.75)</f>
        <v>1.71</v>
      </c>
      <c r="L57" s="82">
        <f t="shared" si="1"/>
        <v>6.48</v>
      </c>
      <c r="M57" s="83">
        <v>44628.0</v>
      </c>
      <c r="N57" s="84" t="s">
        <v>182</v>
      </c>
      <c r="P57" s="66">
        <v>31.433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2">
        <f>average(2.24,2.36,2.16,2.37)</f>
        <v>2.2825</v>
      </c>
      <c r="L58" s="82">
        <f t="shared" si="1"/>
        <v>9.61</v>
      </c>
      <c r="M58" s="83">
        <v>44628.0</v>
      </c>
      <c r="N58" s="84" t="s">
        <v>182</v>
      </c>
      <c r="P58" s="66">
        <v>78.743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E59" s="66" t="s">
        <v>185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2">
        <f>average(1.31,1.51,1.36,1.31)</f>
        <v>1.3725</v>
      </c>
      <c r="L59" s="82">
        <f t="shared" si="1"/>
        <v>4.26</v>
      </c>
      <c r="M59" s="83">
        <v>44628.0</v>
      </c>
      <c r="N59" s="84" t="s">
        <v>182</v>
      </c>
      <c r="P59" s="66">
        <v>12.701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2">
        <f>average(1.43,1.35,1.25,1.18)</f>
        <v>1.3025</v>
      </c>
      <c r="L60" s="82">
        <f t="shared" si="1"/>
        <v>4.99</v>
      </c>
      <c r="M60" s="83">
        <v>44628.0</v>
      </c>
      <c r="N60" s="84" t="s">
        <v>182</v>
      </c>
      <c r="P60" s="66">
        <v>60.886</v>
      </c>
    </row>
    <row r="61">
      <c r="A61" s="66" t="s">
        <v>183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f t="shared" si="1"/>
        <v>1.47</v>
      </c>
      <c r="M61" s="83">
        <v>44628.0</v>
      </c>
      <c r="N61" s="84" t="s">
        <v>182</v>
      </c>
      <c r="P61" s="66">
        <v>4.197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2">
        <f>average(1.62,1.93,1.87,1.53)</f>
        <v>1.7375</v>
      </c>
      <c r="L62" s="82">
        <f t="shared" si="1"/>
        <v>7.98</v>
      </c>
      <c r="M62" s="83">
        <v>44628.0</v>
      </c>
      <c r="N62" s="84" t="s">
        <v>182</v>
      </c>
      <c r="P62" s="66">
        <v>48.076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2">
        <f>average(1.57,1.63,1.36,1.44)</f>
        <v>1.5</v>
      </c>
      <c r="L63" s="82">
        <f t="shared" si="1"/>
        <v>5.89</v>
      </c>
      <c r="M63" s="83">
        <v>44628.0</v>
      </c>
      <c r="N63" s="84" t="s">
        <v>182</v>
      </c>
      <c r="P63" s="66">
        <v>23.371</v>
      </c>
    </row>
    <row r="64">
      <c r="A64" s="66" t="s">
        <v>183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f t="shared" si="1"/>
        <v>2.85</v>
      </c>
      <c r="M64" s="83">
        <v>44628.0</v>
      </c>
      <c r="N64" s="84" t="s">
        <v>182</v>
      </c>
      <c r="P64" s="66">
        <v>32.131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2">
        <f>average(1.16,1.13,1.14,1.18)</f>
        <v>1.1525</v>
      </c>
      <c r="L65" s="82">
        <f t="shared" si="1"/>
        <v>1.41</v>
      </c>
      <c r="M65" s="83">
        <v>44628.0</v>
      </c>
      <c r="N65" s="84" t="s">
        <v>182</v>
      </c>
      <c r="P65" s="66">
        <v>21.295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2">
        <f>average(1.44,1.55,1.66,1.48)</f>
        <v>1.5325</v>
      </c>
      <c r="L66" s="82">
        <f t="shared" si="1"/>
        <v>4.23</v>
      </c>
      <c r="M66" s="83">
        <v>44628.0</v>
      </c>
      <c r="N66" s="84" t="s">
        <v>182</v>
      </c>
      <c r="P66" s="66">
        <v>27.923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185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2">
        <f>average(0.66,0.69,0.55,0.72)</f>
        <v>0.655</v>
      </c>
      <c r="L67" s="82">
        <f t="shared" si="1"/>
        <v>2.22</v>
      </c>
      <c r="M67" s="83">
        <v>44628.0</v>
      </c>
      <c r="N67" s="84" t="s">
        <v>182</v>
      </c>
      <c r="P67" s="66">
        <v>3.57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2">
        <f>average(1.69,1.54,1.5,1.59)</f>
        <v>1.58</v>
      </c>
      <c r="L68" s="82">
        <f t="shared" si="1"/>
        <v>7.49</v>
      </c>
      <c r="M68" s="83">
        <v>44628.0</v>
      </c>
      <c r="N68" s="84" t="s">
        <v>182</v>
      </c>
      <c r="P68" s="66">
        <v>52.743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184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2">
        <f>average(1.48,1.5,1.48,1.53)</f>
        <v>1.4975</v>
      </c>
      <c r="L69" s="82">
        <f t="shared" si="1"/>
        <v>1.95</v>
      </c>
      <c r="M69" s="83">
        <v>44628.0</v>
      </c>
      <c r="N69" s="84" t="s">
        <v>182</v>
      </c>
      <c r="P69" s="66">
        <v>14.167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185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2">
        <f>average(1.9,1.81,1.7,2.1)</f>
        <v>1.8775</v>
      </c>
      <c r="L70" s="82">
        <f t="shared" si="1"/>
        <v>6.86</v>
      </c>
      <c r="M70" s="83">
        <v>44628.0</v>
      </c>
      <c r="N70" s="84" t="s">
        <v>182</v>
      </c>
      <c r="P70" s="66">
        <v>38.729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E71" s="66" t="s">
        <v>185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2">
        <f>average(2.49,2.5,2.51,2.51)</f>
        <v>2.5025</v>
      </c>
      <c r="L71" s="82">
        <f t="shared" si="1"/>
        <v>2.65</v>
      </c>
      <c r="M71" s="83">
        <v>44628.0</v>
      </c>
      <c r="N71" s="84" t="s">
        <v>182</v>
      </c>
      <c r="P71" s="66">
        <v>30.545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2">
        <f>average(0.75,0.54,0.69,0.7)</f>
        <v>0.67</v>
      </c>
      <c r="L72" s="82">
        <f t="shared" si="1"/>
        <v>1.64</v>
      </c>
      <c r="M72" s="83">
        <v>44628.0</v>
      </c>
      <c r="N72" s="84" t="s">
        <v>182</v>
      </c>
      <c r="P72" s="66">
        <v>7.767</v>
      </c>
    </row>
    <row r="73">
      <c r="A73" s="66" t="s">
        <v>183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f t="shared" si="1"/>
        <v>0.68</v>
      </c>
      <c r="M73" s="83">
        <v>44628.0</v>
      </c>
      <c r="N73" s="84" t="s">
        <v>182</v>
      </c>
      <c r="P73" s="66">
        <v>8.572</v>
      </c>
    </row>
    <row r="74">
      <c r="A74" s="66" t="s">
        <v>183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f t="shared" si="1"/>
        <v>0.96</v>
      </c>
      <c r="M74" s="83">
        <v>44635.0</v>
      </c>
      <c r="N74" s="84" t="s">
        <v>182</v>
      </c>
      <c r="P74" s="66">
        <v>26.556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2">
        <f>average(1.27,1.37,1.02,1.23)</f>
        <v>1.2225</v>
      </c>
      <c r="L75" s="82">
        <f t="shared" si="1"/>
        <v>4.65</v>
      </c>
      <c r="M75" s="83">
        <v>44635.0</v>
      </c>
      <c r="N75" s="84" t="s">
        <v>182</v>
      </c>
      <c r="P75" s="66">
        <v>27.148</v>
      </c>
    </row>
    <row r="76">
      <c r="A76" s="66" t="s">
        <v>183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2">
        <f>average(1.03,1.14,1.07,0.98)</f>
        <v>1.055</v>
      </c>
      <c r="L76" s="82">
        <f t="shared" si="1"/>
        <v>2.55</v>
      </c>
      <c r="M76" s="83">
        <v>44635.0</v>
      </c>
      <c r="N76" s="84" t="s">
        <v>182</v>
      </c>
      <c r="P76" s="66">
        <v>26.795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184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2">
        <f>average(1.25,1.22,1.16,1.24)</f>
        <v>1.2175</v>
      </c>
      <c r="L77" s="82">
        <f t="shared" si="1"/>
        <v>4.03</v>
      </c>
      <c r="M77" s="83">
        <v>44635.0</v>
      </c>
      <c r="N77" s="84" t="s">
        <v>182</v>
      </c>
      <c r="P77" s="66">
        <v>51.798</v>
      </c>
    </row>
    <row r="78">
      <c r="A78" s="66" t="s">
        <v>183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f t="shared" si="1"/>
        <v>0.83</v>
      </c>
      <c r="M78" s="83">
        <v>44635.0</v>
      </c>
      <c r="N78" s="84" t="s">
        <v>182</v>
      </c>
      <c r="P78" s="66">
        <v>20.63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2">
        <f>average(1.43,1.39,1.35,1.37)</f>
        <v>1.385</v>
      </c>
      <c r="L79" s="82">
        <f t="shared" si="1"/>
        <v>1.91</v>
      </c>
      <c r="M79" s="83">
        <v>44635.0</v>
      </c>
      <c r="N79" s="84" t="s">
        <v>182</v>
      </c>
      <c r="P79" s="66">
        <v>19.988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185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f t="shared" si="1"/>
        <v>0.93</v>
      </c>
      <c r="M80" s="83">
        <v>44635.0</v>
      </c>
      <c r="N80" s="84" t="s">
        <v>182</v>
      </c>
      <c r="P80" s="66">
        <v>3.07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2">
        <f>average(1.69,1.71,1.73,1.95)</f>
        <v>1.77</v>
      </c>
      <c r="L81" s="82">
        <f t="shared" si="1"/>
        <v>3.49</v>
      </c>
      <c r="M81" s="83">
        <v>44635.0</v>
      </c>
      <c r="N81" s="84" t="s">
        <v>182</v>
      </c>
      <c r="P81" s="66">
        <v>42.844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184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f t="shared" si="1"/>
        <v>1.06</v>
      </c>
      <c r="M82" s="83">
        <v>44635.0</v>
      </c>
      <c r="N82" s="84" t="s">
        <v>182</v>
      </c>
      <c r="P82" s="66">
        <v>1.984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2">
        <f>average(1.93,1.43,1.66,1.45)</f>
        <v>1.6175</v>
      </c>
      <c r="L83" s="82">
        <f t="shared" si="1"/>
        <v>3.07</v>
      </c>
      <c r="M83" s="83">
        <v>44635.0</v>
      </c>
      <c r="N83" s="84" t="s">
        <v>182</v>
      </c>
      <c r="P83" s="66">
        <v>13.324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2">
        <f>average(1.27,1.37,1.21,1.37)</f>
        <v>1.305</v>
      </c>
      <c r="L84" s="82">
        <f t="shared" si="1"/>
        <v>1.59</v>
      </c>
      <c r="M84" s="83">
        <v>44635.0</v>
      </c>
      <c r="N84" s="84" t="s">
        <v>182</v>
      </c>
      <c r="P84" s="66">
        <v>23.871</v>
      </c>
    </row>
    <row r="85">
      <c r="A85" s="66" t="s">
        <v>183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2">
        <f>average(0.82,0.94,0.82,0.78)</f>
        <v>0.84</v>
      </c>
      <c r="L85" s="82">
        <f t="shared" si="1"/>
        <v>1.3</v>
      </c>
      <c r="M85" s="83">
        <v>44635.0</v>
      </c>
      <c r="N85" s="84" t="s">
        <v>182</v>
      </c>
      <c r="P85" s="66">
        <v>10.473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185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2">
        <f>average(1.03,1.02,0.99,1.13)</f>
        <v>1.0425</v>
      </c>
      <c r="L86" s="82">
        <f t="shared" si="1"/>
        <v>2.88</v>
      </c>
      <c r="M86" s="83">
        <v>44635.0</v>
      </c>
      <c r="N86" s="84" t="s">
        <v>182</v>
      </c>
      <c r="P86" s="66">
        <v>21.558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2">
        <f>average(1.53,1.54,1.57,1.56)</f>
        <v>1.55</v>
      </c>
      <c r="L87" s="82">
        <f t="shared" si="1"/>
        <v>3.66</v>
      </c>
      <c r="M87" s="83">
        <v>44635.0</v>
      </c>
      <c r="N87" s="84" t="s">
        <v>182</v>
      </c>
      <c r="P87" s="66">
        <v>27.762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2">
        <f>average(1.48,1.53,1.63,1.45)</f>
        <v>1.5225</v>
      </c>
      <c r="L88" s="82">
        <f t="shared" si="1"/>
        <v>1.68</v>
      </c>
      <c r="M88" s="83">
        <v>44635.0</v>
      </c>
      <c r="N88" s="84" t="s">
        <v>182</v>
      </c>
      <c r="P88" s="66">
        <v>5.221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2">
        <f>average(1.39,1.57,1.66,1.49)</f>
        <v>1.5275</v>
      </c>
      <c r="L89" s="82">
        <f t="shared" si="1"/>
        <v>2.82</v>
      </c>
      <c r="M89" s="83">
        <v>44635.0</v>
      </c>
      <c r="N89" s="84" t="s">
        <v>182</v>
      </c>
      <c r="P89" s="66">
        <v>25.827</v>
      </c>
    </row>
    <row r="90">
      <c r="A90" s="66" t="s">
        <v>183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2">
        <f>average(0.82,0.85,0.87,0.82)</f>
        <v>0.84</v>
      </c>
      <c r="L90" s="82">
        <f t="shared" si="1"/>
        <v>1.92</v>
      </c>
      <c r="M90" s="83">
        <v>44635.0</v>
      </c>
      <c r="N90" s="84" t="s">
        <v>182</v>
      </c>
      <c r="P90" s="66">
        <v>15.638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185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2">
        <f>average(1.22,1.13,1.15,1.21)</f>
        <v>1.1775</v>
      </c>
      <c r="L91" s="82">
        <f t="shared" si="1"/>
        <v>1.46</v>
      </c>
      <c r="M91" s="83">
        <v>44635.0</v>
      </c>
      <c r="N91" s="84" t="s">
        <v>182</v>
      </c>
      <c r="P91" s="66">
        <v>3.421</v>
      </c>
    </row>
    <row r="92">
      <c r="A92" s="66" t="s">
        <v>183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2">
        <f>average(1.11,1.06,1.04,1.03)</f>
        <v>1.06</v>
      </c>
      <c r="L92" s="82">
        <f t="shared" si="1"/>
        <v>2.57</v>
      </c>
      <c r="M92" s="83">
        <v>44635.0</v>
      </c>
      <c r="N92" s="84" t="s">
        <v>182</v>
      </c>
      <c r="P92" s="66">
        <v>27.882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f t="shared" si="1"/>
        <v>0.99</v>
      </c>
      <c r="M93" s="83">
        <v>44635.0</v>
      </c>
      <c r="N93" s="84" t="s">
        <v>182</v>
      </c>
      <c r="P93" s="66">
        <v>1.62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184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2">
        <f>average(1.67,1.35,1.1,1.35)</f>
        <v>1.3675</v>
      </c>
      <c r="L94" s="82">
        <f t="shared" si="1"/>
        <v>0.62</v>
      </c>
      <c r="M94" s="83">
        <v>44635.0</v>
      </c>
      <c r="N94" s="84" t="s">
        <v>182</v>
      </c>
      <c r="P94" s="66">
        <v>13.884</v>
      </c>
    </row>
    <row r="95">
      <c r="A95" s="66" t="s">
        <v>183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2">
        <f>average(1.07,1.02,1.06,0.98)</f>
        <v>1.0325</v>
      </c>
      <c r="L95" s="82">
        <f t="shared" si="1"/>
        <v>2.15</v>
      </c>
      <c r="M95" s="83">
        <v>44635.0</v>
      </c>
      <c r="N95" s="84" t="s">
        <v>182</v>
      </c>
      <c r="P95" s="66">
        <v>15.214</v>
      </c>
    </row>
    <row r="96">
      <c r="A96" s="66" t="s">
        <v>183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2">
        <f>average(1.44,1.38,1.71,1.59)</f>
        <v>1.53</v>
      </c>
      <c r="L96" s="82">
        <f t="shared" si="1"/>
        <v>4.65</v>
      </c>
      <c r="M96" s="83">
        <v>44635.0</v>
      </c>
      <c r="N96" s="84" t="s">
        <v>182</v>
      </c>
      <c r="P96" s="66">
        <v>47.113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2">
        <f>average(1.32,1.39,1.26,1.38)</f>
        <v>1.3375</v>
      </c>
      <c r="L97" s="82">
        <f t="shared" si="1"/>
        <v>2.77</v>
      </c>
      <c r="M97" s="83">
        <v>44635.0</v>
      </c>
      <c r="N97" s="84" t="s">
        <v>182</v>
      </c>
      <c r="P97" s="66">
        <v>25.207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2">
        <f>average(1.73,1.67,1.66,1.74)</f>
        <v>1.7</v>
      </c>
      <c r="L98" s="82">
        <f t="shared" si="1"/>
        <v>8.52</v>
      </c>
      <c r="M98" s="83">
        <v>44635.0</v>
      </c>
      <c r="N98" s="84" t="s">
        <v>182</v>
      </c>
      <c r="P98" s="66">
        <v>87.318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2">
        <f>average(0.89,2.02,2.14,2.08)</f>
        <v>1.7825</v>
      </c>
      <c r="L99" s="82">
        <f t="shared" si="1"/>
        <v>1.96</v>
      </c>
      <c r="M99" s="83">
        <v>44635.0</v>
      </c>
      <c r="N99" s="84" t="s">
        <v>182</v>
      </c>
      <c r="P99" s="66">
        <v>30.925</v>
      </c>
    </row>
    <row r="100">
      <c r="A100" s="66" t="s">
        <v>183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2">
        <f>average(0.94,0.84,0.77,0.86)</f>
        <v>0.8525</v>
      </c>
      <c r="L100" s="82">
        <f t="shared" si="1"/>
        <v>1.26</v>
      </c>
      <c r="M100" s="83">
        <v>44635.0</v>
      </c>
      <c r="N100" s="84" t="s">
        <v>182</v>
      </c>
      <c r="P100" s="66">
        <v>14.565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2">
        <f>average(1.11,1.01,0.99,0.94)</f>
        <v>1.0125</v>
      </c>
      <c r="L101" s="82">
        <f t="shared" si="1"/>
        <v>2.33</v>
      </c>
      <c r="M101" s="83">
        <v>44635.0</v>
      </c>
      <c r="N101" s="84" t="s">
        <v>182</v>
      </c>
      <c r="P101" s="66">
        <v>20.105</v>
      </c>
    </row>
    <row r="102">
      <c r="A102" s="66" t="s">
        <v>183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2">
        <f>average(0.75,0.65,0.66,0.77)</f>
        <v>0.7075</v>
      </c>
      <c r="L102" s="82">
        <f t="shared" si="1"/>
        <v>1.98</v>
      </c>
      <c r="M102" s="83">
        <v>44635.0</v>
      </c>
      <c r="N102" s="84" t="s">
        <v>182</v>
      </c>
      <c r="P102" s="66">
        <v>19.081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184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2">
        <f>average(0.9,0.75,0.8,0.83)</f>
        <v>0.82</v>
      </c>
      <c r="L103" s="82">
        <f t="shared" si="1"/>
        <v>2.01</v>
      </c>
      <c r="M103" s="83">
        <v>44635.0</v>
      </c>
      <c r="N103" s="84" t="s">
        <v>182</v>
      </c>
      <c r="P103" s="66">
        <v>9.879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2">
        <f>average(1.59,1.58,1.49,1.56)</f>
        <v>1.555</v>
      </c>
      <c r="L104" s="82">
        <f t="shared" si="1"/>
        <v>3.39</v>
      </c>
      <c r="M104" s="83">
        <v>44635.0</v>
      </c>
      <c r="N104" s="84" t="s">
        <v>182</v>
      </c>
      <c r="P104" s="66">
        <v>34.857</v>
      </c>
    </row>
    <row r="105">
      <c r="A105" s="66" t="s">
        <v>183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2">
        <f>average(0.8,0.75,0.78,0.78)</f>
        <v>0.7775</v>
      </c>
      <c r="L105" s="82">
        <f t="shared" si="1"/>
        <v>1.93</v>
      </c>
      <c r="M105" s="83">
        <v>44635.0</v>
      </c>
      <c r="N105" s="84" t="s">
        <v>182</v>
      </c>
      <c r="P105" s="66">
        <v>21.657</v>
      </c>
    </row>
    <row r="106">
      <c r="A106" s="66" t="s">
        <v>183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2">
        <f>average(1.54,1.41,1.41,1.62)</f>
        <v>1.495</v>
      </c>
      <c r="L106" s="82">
        <f t="shared" si="1"/>
        <v>2.93</v>
      </c>
      <c r="M106" s="83">
        <v>44635.0</v>
      </c>
      <c r="N106" s="84" t="s">
        <v>182</v>
      </c>
      <c r="P106" s="66">
        <v>57.369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f t="shared" si="1"/>
        <v>1.22</v>
      </c>
      <c r="M107" s="83">
        <v>44635.0</v>
      </c>
      <c r="N107" s="84" t="s">
        <v>182</v>
      </c>
      <c r="P107" s="66">
        <v>3.879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2">
        <f>average(1.01,0.97,0.75,0.86)</f>
        <v>0.8975</v>
      </c>
      <c r="L108" s="82">
        <f t="shared" si="1"/>
        <v>1.92</v>
      </c>
      <c r="M108" s="83">
        <v>44635.0</v>
      </c>
      <c r="N108" s="84" t="s">
        <v>182</v>
      </c>
      <c r="P108" s="66">
        <v>6.471</v>
      </c>
    </row>
    <row r="109">
      <c r="A109" s="66" t="s">
        <v>183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2">
        <f>average(0.81,0.77,0.84,0.99)</f>
        <v>0.8525</v>
      </c>
      <c r="L109" s="82">
        <f t="shared" si="1"/>
        <v>1.2</v>
      </c>
      <c r="M109" s="83">
        <v>44635.0</v>
      </c>
      <c r="N109" s="84" t="s">
        <v>182</v>
      </c>
      <c r="P109" s="66">
        <v>14.836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2">
        <f>average(1.8,1.53,1.67,1.74)</f>
        <v>1.685</v>
      </c>
      <c r="L110" s="82">
        <f t="shared" si="1"/>
        <v>4.62</v>
      </c>
      <c r="M110" s="83">
        <v>44635.0</v>
      </c>
      <c r="N110" s="84" t="s">
        <v>182</v>
      </c>
      <c r="P110" s="66">
        <v>34.472</v>
      </c>
    </row>
    <row r="111">
      <c r="A111" s="66" t="s">
        <v>183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f t="shared" si="1"/>
        <v>0.75</v>
      </c>
      <c r="M111" s="83">
        <v>44635.0</v>
      </c>
      <c r="N111" s="84" t="s">
        <v>182</v>
      </c>
      <c r="P111" s="66">
        <v>17.283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2">
        <f>average(1.64,1.63,1.64,1.61)</f>
        <v>1.63</v>
      </c>
      <c r="L112" s="82">
        <f t="shared" si="1"/>
        <v>2.69</v>
      </c>
      <c r="M112" s="83">
        <v>44635.0</v>
      </c>
      <c r="N112" s="84" t="s">
        <v>182</v>
      </c>
      <c r="P112" s="66">
        <v>49.336</v>
      </c>
    </row>
    <row r="113">
      <c r="A113" s="66" t="s">
        <v>183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2">
        <f>average(1.05,1.09,0.95,0.97)</f>
        <v>1.015</v>
      </c>
      <c r="L113" s="82">
        <f t="shared" si="1"/>
        <v>2.75</v>
      </c>
      <c r="M113" s="83">
        <v>44635.0</v>
      </c>
      <c r="N113" s="84" t="s">
        <v>182</v>
      </c>
      <c r="P113" s="66">
        <v>21.763</v>
      </c>
    </row>
    <row r="114">
      <c r="A114" s="66" t="s">
        <v>183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f t="shared" si="1"/>
        <v>0.78</v>
      </c>
      <c r="M114" s="83">
        <v>44635.0</v>
      </c>
      <c r="N114" s="84" t="s">
        <v>182</v>
      </c>
      <c r="P114" s="66">
        <v>6.304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2">
        <f>average(0.81,0.84,0.96,1.07)</f>
        <v>0.92</v>
      </c>
      <c r="L115" s="82">
        <f t="shared" si="1"/>
        <v>1.37</v>
      </c>
      <c r="M115" s="83">
        <v>44635.0</v>
      </c>
      <c r="N115" s="84" t="s">
        <v>182</v>
      </c>
      <c r="P115" s="66">
        <v>11.768</v>
      </c>
    </row>
    <row r="116">
      <c r="A116" s="66" t="s">
        <v>183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2">
        <f>average(1.55,1.46,1.39,1.19)</f>
        <v>1.3975</v>
      </c>
      <c r="L116" s="82">
        <f t="shared" si="1"/>
        <v>4.34</v>
      </c>
      <c r="M116" s="83">
        <v>44635.0</v>
      </c>
      <c r="N116" s="84" t="s">
        <v>182</v>
      </c>
      <c r="P116" s="66">
        <v>30.268</v>
      </c>
    </row>
    <row r="117">
      <c r="A117" s="66" t="s">
        <v>183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f t="shared" si="1"/>
        <v>1.21</v>
      </c>
      <c r="M117" s="83">
        <v>44635.0</v>
      </c>
      <c r="N117" s="84" t="s">
        <v>182</v>
      </c>
      <c r="P117" s="66">
        <v>12.717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2">
        <f>average(1.3,1.29,1.24,1.23)</f>
        <v>1.265</v>
      </c>
      <c r="L118" s="82">
        <f t="shared" si="1"/>
        <v>6.39</v>
      </c>
      <c r="M118" s="83">
        <v>44635.0</v>
      </c>
      <c r="N118" s="84" t="s">
        <v>182</v>
      </c>
      <c r="P118" s="66">
        <v>7.831</v>
      </c>
    </row>
    <row r="119">
      <c r="A119" s="66" t="s">
        <v>183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2">
        <f>average(1.41,1.88,1.78,1.4)</f>
        <v>1.6175</v>
      </c>
      <c r="L119" s="82">
        <f t="shared" si="1"/>
        <v>3.63</v>
      </c>
      <c r="M119" s="83">
        <v>44635.0</v>
      </c>
      <c r="N119" s="84" t="s">
        <v>182</v>
      </c>
      <c r="P119" s="66">
        <v>51.025</v>
      </c>
    </row>
    <row r="120">
      <c r="A120" s="66" t="s">
        <v>183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f t="shared" si="1"/>
        <v>0.9</v>
      </c>
      <c r="M120" s="83">
        <v>44635.0</v>
      </c>
      <c r="N120" s="84" t="s">
        <v>182</v>
      </c>
      <c r="P120" s="66">
        <v>11.421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2">
        <f>average(1.58,1.43,1.48,1.52)</f>
        <v>1.5025</v>
      </c>
      <c r="L121" s="82">
        <f t="shared" si="1"/>
        <v>4.63</v>
      </c>
      <c r="M121" s="83">
        <v>44635.0</v>
      </c>
      <c r="N121" s="84" t="s">
        <v>182</v>
      </c>
      <c r="P121" s="66">
        <v>14.103</v>
      </c>
    </row>
    <row r="122">
      <c r="A122" s="66" t="s">
        <v>183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2">
        <f>average(1.43,1.63,1.79,1.75)</f>
        <v>1.65</v>
      </c>
      <c r="L122" s="82">
        <f t="shared" si="1"/>
        <v>4.82</v>
      </c>
      <c r="M122" s="83">
        <v>44635.0</v>
      </c>
      <c r="N122" s="84" t="s">
        <v>182</v>
      </c>
      <c r="P122" s="66">
        <v>20.759</v>
      </c>
    </row>
    <row r="123">
      <c r="A123" s="66" t="s">
        <v>183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2">
        <f>average(1.37,1.18,1.22,1.22)</f>
        <v>1.2475</v>
      </c>
      <c r="L123" s="82">
        <f t="shared" si="1"/>
        <v>3.21</v>
      </c>
      <c r="M123" s="83">
        <v>44635.0</v>
      </c>
      <c r="N123" s="84" t="s">
        <v>182</v>
      </c>
      <c r="P123" s="66">
        <v>23.283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185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2">
        <f>average(0.91,1.16,1.02,0.99)</f>
        <v>1.02</v>
      </c>
      <c r="L124" s="82">
        <f t="shared" si="1"/>
        <v>3.43</v>
      </c>
      <c r="M124" s="83">
        <v>44635.0</v>
      </c>
      <c r="N124" s="84" t="s">
        <v>182</v>
      </c>
      <c r="P124" s="66">
        <v>37.922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2">
        <f>average(1.74,1.77,1.75,1.78)</f>
        <v>1.76</v>
      </c>
      <c r="L125" s="82">
        <f t="shared" si="1"/>
        <v>5.41</v>
      </c>
      <c r="M125" s="83">
        <v>44635.0</v>
      </c>
      <c r="N125" s="84" t="s">
        <v>182</v>
      </c>
      <c r="P125" s="66">
        <v>60.064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184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2">
        <f>average(1.28,1.31,1.22,1.33)</f>
        <v>1.285</v>
      </c>
      <c r="L126" s="82">
        <f t="shared" si="1"/>
        <v>5.03</v>
      </c>
      <c r="M126" s="83">
        <v>44635.0</v>
      </c>
      <c r="N126" s="84" t="s">
        <v>182</v>
      </c>
      <c r="P126" s="66">
        <v>43.267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184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2">
        <f>average(2.03,2.05,1.89,1.13)</f>
        <v>1.775</v>
      </c>
      <c r="L127" s="82">
        <f t="shared" si="1"/>
        <v>4.39</v>
      </c>
      <c r="M127" s="83">
        <v>44635.0</v>
      </c>
      <c r="N127" s="84" t="s">
        <v>182</v>
      </c>
      <c r="P127" s="66">
        <v>71.517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2">
        <f>average(1.65,1.53,1.5,1.57)</f>
        <v>1.5625</v>
      </c>
      <c r="L128" s="82">
        <f t="shared" si="1"/>
        <v>6.85</v>
      </c>
      <c r="M128" s="83">
        <v>44635.0</v>
      </c>
      <c r="N128" s="84" t="s">
        <v>182</v>
      </c>
      <c r="P128" s="66">
        <v>33.66</v>
      </c>
    </row>
    <row r="129">
      <c r="A129" s="66" t="s">
        <v>183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f t="shared" si="1"/>
        <v>1.5</v>
      </c>
      <c r="M129" s="83">
        <v>44635.0</v>
      </c>
      <c r="N129" s="84" t="s">
        <v>182</v>
      </c>
      <c r="P129" s="66">
        <v>22.921</v>
      </c>
    </row>
    <row r="130">
      <c r="A130" s="66" t="s">
        <v>183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f t="shared" si="1"/>
        <v>0.96</v>
      </c>
      <c r="M130" s="83">
        <v>44635.0</v>
      </c>
      <c r="N130" s="84" t="s">
        <v>182</v>
      </c>
      <c r="P130" s="66">
        <v>14.964</v>
      </c>
    </row>
    <row r="131">
      <c r="A131" s="66" t="s">
        <v>183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2">
        <f>average(1.15,1.22,1.21,1.14)</f>
        <v>1.18</v>
      </c>
      <c r="L131" s="82">
        <f t="shared" si="1"/>
        <v>2.2</v>
      </c>
      <c r="M131" s="83">
        <v>44635.0</v>
      </c>
      <c r="N131" s="84" t="s">
        <v>182</v>
      </c>
      <c r="P131" s="66">
        <v>10.301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2">
        <f>average(1.39,1.47,1.23,1.52)</f>
        <v>1.4025</v>
      </c>
      <c r="L132" s="82">
        <f t="shared" si="1"/>
        <v>7.56</v>
      </c>
      <c r="M132" s="83">
        <v>44635.0</v>
      </c>
      <c r="N132" s="84" t="s">
        <v>182</v>
      </c>
      <c r="P132" s="66">
        <v>57.764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2">
        <f>average(1.44,1.47,1.42,1.38)</f>
        <v>1.4275</v>
      </c>
      <c r="L133" s="82">
        <f t="shared" si="1"/>
        <v>2.04</v>
      </c>
      <c r="M133" s="83">
        <v>44635.0</v>
      </c>
      <c r="N133" s="84" t="s">
        <v>182</v>
      </c>
      <c r="P133" s="66">
        <v>10.242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2">
        <f>average(1.1,1.35,1.48,1.24)</f>
        <v>1.2925</v>
      </c>
      <c r="L134" s="82">
        <f t="shared" si="1"/>
        <v>1.84</v>
      </c>
      <c r="M134" s="83">
        <v>44635.0</v>
      </c>
      <c r="N134" s="84" t="s">
        <v>182</v>
      </c>
      <c r="P134" s="66">
        <v>29.33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186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2">
        <f>average(1,0.98,1.11,0.94)</f>
        <v>1.0075</v>
      </c>
      <c r="L135" s="82">
        <f t="shared" si="1"/>
        <v>4.41</v>
      </c>
      <c r="M135" s="83">
        <v>44635.0</v>
      </c>
      <c r="N135" s="84" t="s">
        <v>182</v>
      </c>
      <c r="P135" s="66">
        <v>29.446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2">
        <f>average(2.05,1.95,2.07,2.04)</f>
        <v>2.0275</v>
      </c>
      <c r="L136" s="82">
        <f t="shared" si="1"/>
        <v>7.02</v>
      </c>
      <c r="M136" s="83">
        <v>44635.0</v>
      </c>
      <c r="N136" s="84" t="s">
        <v>182</v>
      </c>
      <c r="P136" s="66">
        <v>69.402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184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2">
        <f>average(1.19,1.43,1.33,1.46)</f>
        <v>1.3525</v>
      </c>
      <c r="L137" s="82">
        <f t="shared" si="1"/>
        <v>3.57</v>
      </c>
      <c r="M137" s="83">
        <v>44635.0</v>
      </c>
      <c r="N137" s="84" t="s">
        <v>182</v>
      </c>
      <c r="P137" s="66">
        <v>11.534</v>
      </c>
    </row>
    <row r="138">
      <c r="A138" s="66" t="s">
        <v>183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f t="shared" si="1"/>
        <v>1.05</v>
      </c>
      <c r="M138" s="83">
        <v>44635.0</v>
      </c>
      <c r="N138" s="84" t="s">
        <v>182</v>
      </c>
      <c r="P138" s="66">
        <v>36.953</v>
      </c>
    </row>
    <row r="139">
      <c r="A139" s="66" t="s">
        <v>183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2">
        <f>average(0.72,0.64,0.98,0.77)</f>
        <v>0.7775</v>
      </c>
      <c r="L139" s="82">
        <f t="shared" si="1"/>
        <v>0.8</v>
      </c>
      <c r="M139" s="83">
        <v>44635.0</v>
      </c>
      <c r="N139" s="84" t="s">
        <v>182</v>
      </c>
      <c r="P139" s="66">
        <v>21.498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2">
        <f>average(1.4,1.43,1.34,1.53)</f>
        <v>1.425</v>
      </c>
      <c r="L140" s="82">
        <f t="shared" si="1"/>
        <v>9.51</v>
      </c>
      <c r="M140" s="83">
        <v>44635.0</v>
      </c>
      <c r="N140" s="84" t="s">
        <v>182</v>
      </c>
      <c r="P140" s="66">
        <v>65.848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2">
        <f>average(1.64,1.62,1.64,1.65)</f>
        <v>1.6375</v>
      </c>
      <c r="L141" s="82">
        <f t="shared" si="1"/>
        <v>5.59</v>
      </c>
      <c r="M141" s="83">
        <v>44635.0</v>
      </c>
      <c r="N141" s="84" t="s">
        <v>182</v>
      </c>
      <c r="P141" s="66">
        <v>50.338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2">
        <f>average(1.89,1.99,2.03,1.98)</f>
        <v>1.9725</v>
      </c>
      <c r="L142" s="82">
        <f t="shared" si="1"/>
        <v>8.55</v>
      </c>
      <c r="M142" s="83">
        <v>44635.0</v>
      </c>
      <c r="N142" s="84" t="s">
        <v>182</v>
      </c>
      <c r="P142" s="66">
        <v>77.13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186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2">
        <f>average(1.2,0.98,1.1,1.22)</f>
        <v>1.125</v>
      </c>
      <c r="L143" s="82">
        <f t="shared" si="1"/>
        <v>0.86</v>
      </c>
      <c r="M143" s="83">
        <v>44635.0</v>
      </c>
      <c r="N143" s="84" t="s">
        <v>182</v>
      </c>
      <c r="P143" s="66">
        <v>7.817</v>
      </c>
    </row>
    <row r="144">
      <c r="A144" s="66" t="s">
        <v>183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2">
        <f>average(0.88,1.12,1.22,1.38)</f>
        <v>1.15</v>
      </c>
      <c r="L144" s="82">
        <f t="shared" si="1"/>
        <v>2.19</v>
      </c>
      <c r="M144" s="83">
        <v>44635.0</v>
      </c>
      <c r="N144" s="84" t="s">
        <v>182</v>
      </c>
      <c r="P144" s="66">
        <v>35.063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2">
        <f>average(1.21,1.38,1.45,1.31)</f>
        <v>1.3375</v>
      </c>
      <c r="L145" s="82">
        <f t="shared" si="1"/>
        <v>3.17</v>
      </c>
      <c r="M145" s="83">
        <v>44635.0</v>
      </c>
      <c r="N145" s="84" t="s">
        <v>182</v>
      </c>
      <c r="P145" s="66">
        <v>23.129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2">
        <f>average(1.19,2.16,2.22,2.05)</f>
        <v>1.905</v>
      </c>
      <c r="L146" s="82">
        <f t="shared" si="1"/>
        <v>7.75</v>
      </c>
      <c r="M146" s="83">
        <v>44635.0</v>
      </c>
      <c r="N146" s="84" t="s">
        <v>182</v>
      </c>
      <c r="P146" s="66">
        <v>51.174</v>
      </c>
    </row>
    <row r="147">
      <c r="A147" s="66" t="s">
        <v>183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2">
        <f>average(1.74,1.69,1.78,1.38)</f>
        <v>1.6475</v>
      </c>
      <c r="L147" s="82">
        <f t="shared" si="1"/>
        <v>1.38</v>
      </c>
      <c r="M147" s="83">
        <v>44635.0</v>
      </c>
      <c r="N147" s="84" t="s">
        <v>182</v>
      </c>
      <c r="P147" s="66">
        <v>25.522</v>
      </c>
    </row>
    <row r="148">
      <c r="A148" s="66" t="s">
        <v>183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f t="shared" si="1"/>
        <v>0.61</v>
      </c>
      <c r="M148" s="83">
        <v>44635.0</v>
      </c>
      <c r="N148" s="84" t="s">
        <v>182</v>
      </c>
      <c r="P148" s="66">
        <v>7.908</v>
      </c>
    </row>
    <row r="149">
      <c r="A149" s="66" t="s">
        <v>183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2">
        <f>average(0.9,0.88,1.05,1.13)</f>
        <v>0.99</v>
      </c>
      <c r="L149" s="82">
        <f t="shared" si="1"/>
        <v>2.21</v>
      </c>
      <c r="M149" s="83">
        <v>44635.0</v>
      </c>
      <c r="N149" s="84" t="s">
        <v>182</v>
      </c>
      <c r="P149" s="66">
        <v>16.877</v>
      </c>
    </row>
    <row r="150">
      <c r="A150" s="66" t="s">
        <v>183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2">
        <f>average(1.32,1.24,1.34,1.48)</f>
        <v>1.345</v>
      </c>
      <c r="L150" s="82">
        <f t="shared" si="1"/>
        <v>4.02</v>
      </c>
      <c r="M150" s="83">
        <v>44635.0</v>
      </c>
      <c r="N150" s="84" t="s">
        <v>182</v>
      </c>
      <c r="P150" s="66">
        <v>27.672</v>
      </c>
    </row>
    <row r="151">
      <c r="A151" s="66" t="s">
        <v>183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2">
        <f>average(0.85,0.76,0.67,0.56)</f>
        <v>0.71</v>
      </c>
      <c r="L151" s="82">
        <f t="shared" si="1"/>
        <v>0.7</v>
      </c>
      <c r="M151" s="83">
        <v>44635.0</v>
      </c>
      <c r="N151" s="84" t="s">
        <v>182</v>
      </c>
      <c r="P151" s="66">
        <v>8.315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2">
        <f>average(1.65,1.5,1.53,1.6)</f>
        <v>1.57</v>
      </c>
      <c r="L152" s="82">
        <f t="shared" si="1"/>
        <v>3.42</v>
      </c>
      <c r="M152" s="83">
        <v>44635.0</v>
      </c>
      <c r="N152" s="84" t="s">
        <v>182</v>
      </c>
      <c r="P152" s="66">
        <v>85.706</v>
      </c>
    </row>
    <row r="153">
      <c r="A153" s="66" t="s">
        <v>183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f t="shared" si="1"/>
        <v>1.09</v>
      </c>
      <c r="M153" s="83">
        <v>44635.0</v>
      </c>
      <c r="N153" s="84" t="s">
        <v>182</v>
      </c>
      <c r="P153" s="66">
        <v>10.174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2">
        <f>average(1.34,1.39,1.36,1.32)</f>
        <v>1.3525</v>
      </c>
      <c r="L154" s="82">
        <f t="shared" si="1"/>
        <v>3.5</v>
      </c>
      <c r="M154" s="83">
        <v>44635.0</v>
      </c>
      <c r="N154" s="84" t="s">
        <v>182</v>
      </c>
      <c r="P154" s="66">
        <v>19.117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2">
        <f>average(1.5,1.47,1.4,1.45)</f>
        <v>1.455</v>
      </c>
      <c r="L155" s="82">
        <f t="shared" si="1"/>
        <v>2.5</v>
      </c>
      <c r="M155" s="83">
        <v>44635.0</v>
      </c>
      <c r="N155" s="84" t="s">
        <v>182</v>
      </c>
      <c r="P155" s="66">
        <v>50.416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2">
        <f>average(2.01,1.92,1.96,1.94)</f>
        <v>1.9575</v>
      </c>
      <c r="L156" s="82">
        <f t="shared" si="1"/>
        <v>7.13</v>
      </c>
      <c r="M156" s="83">
        <v>44635.0</v>
      </c>
      <c r="N156" s="84" t="s">
        <v>182</v>
      </c>
      <c r="P156" s="66">
        <v>48.811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185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2">
        <f>average(1.36,1.31,1.36,1.35)</f>
        <v>1.345</v>
      </c>
      <c r="L157" s="82">
        <f t="shared" si="1"/>
        <v>4.83</v>
      </c>
      <c r="M157" s="83">
        <v>44635.0</v>
      </c>
      <c r="N157" s="84" t="s">
        <v>182</v>
      </c>
      <c r="P157" s="66">
        <v>46.853</v>
      </c>
    </row>
    <row r="158">
      <c r="A158" s="66" t="s">
        <v>183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f t="shared" si="1"/>
        <v>0.86</v>
      </c>
      <c r="M158" s="83">
        <v>44635.0</v>
      </c>
      <c r="N158" s="84" t="s">
        <v>182</v>
      </c>
      <c r="P158" s="66">
        <v>9.345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2">
        <f>average(1,1.25,1.23,1.01)</f>
        <v>1.1225</v>
      </c>
      <c r="L159" s="82">
        <f t="shared" si="1"/>
        <v>3.22</v>
      </c>
      <c r="M159" s="83">
        <v>44635.0</v>
      </c>
      <c r="N159" s="84" t="s">
        <v>182</v>
      </c>
      <c r="P159" s="66">
        <v>24.11</v>
      </c>
    </row>
    <row r="160">
      <c r="A160" s="66" t="s">
        <v>183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f t="shared" si="1"/>
        <v>0.5</v>
      </c>
      <c r="M160" s="83">
        <v>44635.0</v>
      </c>
      <c r="N160" s="84" t="s">
        <v>182</v>
      </c>
      <c r="P160" s="66">
        <v>13.521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185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2">
        <f>average(1.37,1.55,1.69,1.44)</f>
        <v>1.5125</v>
      </c>
      <c r="L161" s="82">
        <f t="shared" si="1"/>
        <v>5.29</v>
      </c>
      <c r="M161" s="83">
        <v>44635.0</v>
      </c>
      <c r="N161" s="84" t="s">
        <v>182</v>
      </c>
      <c r="P161" s="66">
        <v>68.097</v>
      </c>
    </row>
    <row r="162">
      <c r="A162" s="66" t="s">
        <v>183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f t="shared" si="1"/>
        <v>0.8</v>
      </c>
      <c r="M162" s="83">
        <v>44635.0</v>
      </c>
      <c r="N162" s="84" t="s">
        <v>182</v>
      </c>
      <c r="P162" s="66">
        <v>12.81</v>
      </c>
    </row>
    <row r="163">
      <c r="A163" s="66" t="s">
        <v>183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2">
        <f>average(1.41,1.13,1.24,1.44)</f>
        <v>1.305</v>
      </c>
      <c r="L163" s="82">
        <f t="shared" si="1"/>
        <v>3.41</v>
      </c>
      <c r="M163" s="83">
        <v>44635.0</v>
      </c>
      <c r="N163" s="84" t="s">
        <v>182</v>
      </c>
      <c r="P163" s="66">
        <v>29.103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185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2">
        <f>average(1.55,1.85,1.94,1.69)</f>
        <v>1.7575</v>
      </c>
      <c r="L164" s="82">
        <f t="shared" si="1"/>
        <v>4.43</v>
      </c>
      <c r="M164" s="83">
        <v>44635.0</v>
      </c>
      <c r="N164" s="84" t="s">
        <v>182</v>
      </c>
      <c r="P164" s="66">
        <v>57.61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185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2">
        <f>average(1.06,0.91,1.11,0.8)</f>
        <v>0.97</v>
      </c>
      <c r="L165" s="82">
        <f t="shared" si="1"/>
        <v>1.23</v>
      </c>
      <c r="M165" s="83">
        <v>44635.0</v>
      </c>
      <c r="N165" s="84" t="s">
        <v>182</v>
      </c>
      <c r="P165" s="66">
        <v>7.112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2">
        <f>average(1.71,1.94,1.52,1.64)</f>
        <v>1.7025</v>
      </c>
      <c r="L166" s="82">
        <f t="shared" si="1"/>
        <v>3.61</v>
      </c>
      <c r="M166" s="83">
        <v>44635.0</v>
      </c>
      <c r="N166" s="84" t="s">
        <v>182</v>
      </c>
      <c r="P166" s="66">
        <v>17.572</v>
      </c>
    </row>
    <row r="167">
      <c r="A167" s="66" t="s">
        <v>183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2">
        <f>average(0.74,0.68,0.71,0.64)</f>
        <v>0.6925</v>
      </c>
      <c r="L167" s="82">
        <f t="shared" si="1"/>
        <v>1.48</v>
      </c>
      <c r="M167" s="83">
        <v>44635.0</v>
      </c>
      <c r="N167" s="84" t="s">
        <v>182</v>
      </c>
      <c r="P167" s="66">
        <v>10.14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2">
        <f>average(1.4,1.22,1.17,1.33)</f>
        <v>1.28</v>
      </c>
      <c r="L168" s="82">
        <f t="shared" si="1"/>
        <v>2.01</v>
      </c>
      <c r="M168" s="83">
        <v>44635.0</v>
      </c>
      <c r="N168" s="84" t="s">
        <v>182</v>
      </c>
      <c r="P168" s="66">
        <v>32.988</v>
      </c>
    </row>
    <row r="169">
      <c r="A169" s="66" t="s">
        <v>183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2">
        <f>average(1.24,1.38,1.52,1.34)</f>
        <v>1.37</v>
      </c>
      <c r="L169" s="82">
        <f t="shared" si="1"/>
        <v>3.75</v>
      </c>
      <c r="M169" s="83">
        <v>44635.0</v>
      </c>
      <c r="N169" s="84" t="s">
        <v>182</v>
      </c>
      <c r="P169" s="66">
        <v>43.58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184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2">
        <f>average(2.02,2.13,2.08,2.06)</f>
        <v>2.0725</v>
      </c>
      <c r="L170" s="82">
        <f t="shared" si="1"/>
        <v>7.55</v>
      </c>
      <c r="M170" s="83">
        <v>44635.0</v>
      </c>
      <c r="N170" s="84" t="s">
        <v>182</v>
      </c>
      <c r="P170" s="66">
        <v>56.824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2">
        <f>average(1.74,1.51,1.45,1.63)</f>
        <v>1.5825</v>
      </c>
      <c r="L171" s="82">
        <f t="shared" si="1"/>
        <v>3.24</v>
      </c>
      <c r="M171" s="83">
        <v>44635.0</v>
      </c>
      <c r="N171" s="84" t="s">
        <v>182</v>
      </c>
      <c r="P171" s="66">
        <v>37.07</v>
      </c>
    </row>
    <row r="172">
      <c r="A172" s="66" t="s">
        <v>183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2">
        <f>average(1.37,1.19,1.04,1.24)</f>
        <v>1.21</v>
      </c>
      <c r="L172" s="82">
        <f t="shared" si="1"/>
        <v>3.55</v>
      </c>
      <c r="M172" s="83">
        <v>44635.0</v>
      </c>
      <c r="N172" s="84" t="s">
        <v>182</v>
      </c>
      <c r="P172" s="66">
        <v>13.82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184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2">
        <f>average(1.56,1.52,1.73,1.57)</f>
        <v>1.595</v>
      </c>
      <c r="L173" s="82">
        <f t="shared" si="1"/>
        <v>5.39</v>
      </c>
      <c r="M173" s="83">
        <v>44635.0</v>
      </c>
      <c r="N173" s="84" t="s">
        <v>182</v>
      </c>
      <c r="P173" s="66">
        <v>35.059</v>
      </c>
    </row>
    <row r="174">
      <c r="A174" s="66" t="s">
        <v>183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f t="shared" si="1"/>
        <v>0.85</v>
      </c>
      <c r="M174" s="83">
        <v>44635.0</v>
      </c>
      <c r="N174" s="84" t="s">
        <v>182</v>
      </c>
      <c r="P174" s="66">
        <v>24.788</v>
      </c>
    </row>
    <row r="175">
      <c r="A175" s="66" t="s">
        <v>183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f t="shared" si="1"/>
        <v>1.48</v>
      </c>
      <c r="M175" s="83">
        <v>44635.0</v>
      </c>
      <c r="N175" s="84" t="s">
        <v>182</v>
      </c>
      <c r="P175" s="66">
        <v>25.075</v>
      </c>
    </row>
    <row r="176">
      <c r="A176" s="66" t="s">
        <v>183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f t="shared" si="1"/>
        <v>1.48</v>
      </c>
      <c r="M176" s="83">
        <v>44635.0</v>
      </c>
      <c r="N176" s="84" t="s">
        <v>182</v>
      </c>
      <c r="P176" s="66">
        <v>25.075</v>
      </c>
    </row>
    <row r="177">
      <c r="A177" s="66" t="s">
        <v>183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f t="shared" si="1"/>
        <v>0.77</v>
      </c>
      <c r="M177" s="83">
        <v>44635.0</v>
      </c>
      <c r="N177" s="84" t="s">
        <v>182</v>
      </c>
      <c r="P177" s="66">
        <v>8.484</v>
      </c>
    </row>
    <row r="178">
      <c r="A178" s="66" t="s">
        <v>183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2">
        <f>average(0.59,0.68,0.55,0.6)</f>
        <v>0.605</v>
      </c>
      <c r="L178" s="82">
        <f t="shared" si="1"/>
        <v>0.99</v>
      </c>
      <c r="M178" s="83">
        <v>44635.0</v>
      </c>
      <c r="N178" s="84" t="s">
        <v>182</v>
      </c>
      <c r="P178" s="66">
        <v>17.569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0.4471</v>
      </c>
      <c r="G179" s="66">
        <v>0.272</v>
      </c>
      <c r="H179" s="66">
        <v>0.049</v>
      </c>
      <c r="I179" s="66">
        <v>0.027</v>
      </c>
      <c r="J179" s="66">
        <v>1.6</v>
      </c>
      <c r="K179" s="82">
        <f>average(2.22,1.19,1.19,1.25)</f>
        <v>1.4625</v>
      </c>
      <c r="L179" s="82">
        <f t="shared" si="1"/>
        <v>1.6</v>
      </c>
      <c r="M179" s="83">
        <v>44635.0</v>
      </c>
      <c r="N179" s="84" t="s">
        <v>182</v>
      </c>
      <c r="P179" s="66">
        <v>12.471</v>
      </c>
    </row>
    <row r="180">
      <c r="A180" s="66" t="s">
        <v>183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2">
        <f>average(1.57,1.81,1.6,1.75)</f>
        <v>1.6825</v>
      </c>
      <c r="L180" s="82">
        <f t="shared" si="1"/>
        <v>4.21</v>
      </c>
      <c r="M180" s="83">
        <v>44635.0</v>
      </c>
      <c r="N180" s="84" t="s">
        <v>182</v>
      </c>
      <c r="P180" s="66">
        <v>60.508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185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2">
        <f>average(1.02,1.23,1.29,1.21)</f>
        <v>1.1875</v>
      </c>
      <c r="L181" s="82">
        <f t="shared" si="1"/>
        <v>2.82</v>
      </c>
      <c r="M181" s="83">
        <v>44635.0</v>
      </c>
      <c r="N181" s="84" t="s">
        <v>182</v>
      </c>
      <c r="P181" s="66">
        <v>17.93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2">
        <f>average(1.85,1.96,1.9,1.98)</f>
        <v>1.9225</v>
      </c>
      <c r="L182" s="82">
        <f t="shared" si="1"/>
        <v>5.83</v>
      </c>
      <c r="M182" s="83">
        <v>44635.0</v>
      </c>
      <c r="N182" s="84" t="s">
        <v>182</v>
      </c>
      <c r="P182" s="66">
        <v>50.275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185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2">
        <f>average(1.46,1.53,1.6,1.49)</f>
        <v>1.52</v>
      </c>
      <c r="L183" s="82">
        <f t="shared" si="1"/>
        <v>3.33</v>
      </c>
      <c r="M183" s="83">
        <v>44635.0</v>
      </c>
      <c r="N183" s="84" t="s">
        <v>182</v>
      </c>
      <c r="P183" s="66">
        <v>62.777</v>
      </c>
    </row>
    <row r="184">
      <c r="A184" s="66" t="s">
        <v>183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2">
        <f>average(1.15,1.31,1.43,1.47)</f>
        <v>1.34</v>
      </c>
      <c r="L184" s="82">
        <f t="shared" si="1"/>
        <v>2.87</v>
      </c>
      <c r="M184" s="83">
        <v>44635.0</v>
      </c>
      <c r="N184" s="84" t="s">
        <v>182</v>
      </c>
      <c r="P184" s="66">
        <v>47.724</v>
      </c>
    </row>
    <row r="185">
      <c r="A185" s="66" t="s">
        <v>183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2">
        <f>average(1.23,1.24,1.42,1.33)</f>
        <v>1.305</v>
      </c>
      <c r="L185" s="82">
        <f t="shared" si="1"/>
        <v>6.41</v>
      </c>
      <c r="M185" s="83">
        <v>44635.0</v>
      </c>
      <c r="N185" s="84" t="s">
        <v>182</v>
      </c>
      <c r="P185" s="66">
        <v>38.363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2">
        <f>average(1.07,1.08,1.23,1.07)</f>
        <v>1.1125</v>
      </c>
      <c r="L186" s="82">
        <f t="shared" si="1"/>
        <v>1.82</v>
      </c>
      <c r="M186" s="83">
        <v>44635.0</v>
      </c>
      <c r="N186" s="84" t="s">
        <v>182</v>
      </c>
      <c r="P186" s="66">
        <v>19.096</v>
      </c>
    </row>
    <row r="187">
      <c r="A187" s="66" t="s">
        <v>183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f t="shared" si="1"/>
        <v>2.05</v>
      </c>
      <c r="M187" s="83">
        <v>44635.0</v>
      </c>
      <c r="N187" s="84" t="s">
        <v>182</v>
      </c>
      <c r="P187" s="66">
        <v>24.257</v>
      </c>
    </row>
    <row r="188">
      <c r="A188" s="66" t="s">
        <v>183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2">
        <f>average(1.14,1.02,1.1,0.94)</f>
        <v>1.05</v>
      </c>
      <c r="L188" s="82">
        <f t="shared" si="1"/>
        <v>1.67</v>
      </c>
      <c r="M188" s="83">
        <v>44635.0</v>
      </c>
      <c r="N188" s="84" t="s">
        <v>182</v>
      </c>
      <c r="P188" s="66">
        <v>12.916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2">
        <f>average(1.13,1.03,0.83,0.86)</f>
        <v>0.9625</v>
      </c>
      <c r="L189" s="82">
        <f t="shared" si="1"/>
        <v>3.6</v>
      </c>
      <c r="M189" s="83">
        <v>44635.0</v>
      </c>
      <c r="N189" s="84" t="s">
        <v>182</v>
      </c>
      <c r="P189" s="66">
        <v>9.186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2">
        <f>average(1.71,1.77,1.72,1.7)</f>
        <v>1.725</v>
      </c>
      <c r="L190" s="82">
        <f t="shared" si="1"/>
        <v>6.52</v>
      </c>
      <c r="M190" s="83">
        <v>44635.0</v>
      </c>
      <c r="N190" s="84" t="s">
        <v>182</v>
      </c>
      <c r="P190" s="66">
        <v>37.734</v>
      </c>
    </row>
    <row r="191">
      <c r="A191" s="66" t="s">
        <v>183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f t="shared" si="1"/>
        <v>1.16</v>
      </c>
      <c r="M191" s="83">
        <v>44635.0</v>
      </c>
      <c r="N191" s="84" t="s">
        <v>182</v>
      </c>
      <c r="P191" s="66">
        <v>20.173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2">
        <f>average(1.39,1.45,1.51,1.48)</f>
        <v>1.4575</v>
      </c>
      <c r="L192" s="82">
        <f t="shared" si="1"/>
        <v>4.83</v>
      </c>
      <c r="M192" s="83">
        <v>44635.0</v>
      </c>
      <c r="N192" s="84" t="s">
        <v>182</v>
      </c>
      <c r="P192" s="66">
        <v>26.525</v>
      </c>
    </row>
    <row r="193">
      <c r="A193" s="66" t="s">
        <v>183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2">
        <f>average(1.25,1.88,1.62,1.54)</f>
        <v>1.5725</v>
      </c>
      <c r="L193" s="82">
        <f t="shared" si="1"/>
        <v>5.23</v>
      </c>
      <c r="M193" s="83">
        <v>44635.0</v>
      </c>
      <c r="N193" s="84" t="s">
        <v>182</v>
      </c>
      <c r="P193" s="66">
        <v>26.625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2">
        <f>average(1.43,1.45,1.38,1.41)</f>
        <v>1.4175</v>
      </c>
      <c r="L194" s="82">
        <f t="shared" si="1"/>
        <v>2.58</v>
      </c>
      <c r="M194" s="83">
        <v>44635.0</v>
      </c>
      <c r="N194" s="84" t="s">
        <v>182</v>
      </c>
      <c r="P194" s="66">
        <v>34.61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2">
        <f>average(1.5,1.52,1.6,1.72)</f>
        <v>1.585</v>
      </c>
      <c r="L195" s="82">
        <f t="shared" si="1"/>
        <v>15.29</v>
      </c>
      <c r="M195" s="83">
        <v>44650.0</v>
      </c>
      <c r="N195" s="84" t="s">
        <v>182</v>
      </c>
      <c r="P195" s="66">
        <v>59.854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2">
        <f>AVERAGE(2.13,2.14,2.39,2.13)</f>
        <v>2.1975</v>
      </c>
      <c r="L196" s="82">
        <f t="shared" si="1"/>
        <v>8.84</v>
      </c>
      <c r="M196" s="83">
        <v>44650.0</v>
      </c>
      <c r="N196" s="84" t="s">
        <v>182</v>
      </c>
      <c r="P196" s="66">
        <v>39.781</v>
      </c>
    </row>
    <row r="197">
      <c r="A197" s="66" t="s">
        <v>183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2">
        <f>AVERAGE(0.75,0.86,0.7,0.68)</f>
        <v>0.7475</v>
      </c>
      <c r="L197" s="82">
        <f t="shared" si="1"/>
        <v>1.06</v>
      </c>
      <c r="M197" s="83">
        <v>44650.0</v>
      </c>
      <c r="N197" s="84" t="s">
        <v>182</v>
      </c>
      <c r="P197" s="66">
        <v>12.588</v>
      </c>
    </row>
    <row r="198">
      <c r="A198" s="66" t="s">
        <v>183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f t="shared" si="1"/>
        <v>1.31</v>
      </c>
      <c r="M198" s="83">
        <v>44650.0</v>
      </c>
      <c r="N198" s="84" t="s">
        <v>182</v>
      </c>
      <c r="P198" s="66">
        <v>13.321</v>
      </c>
    </row>
    <row r="199">
      <c r="A199" s="66" t="s">
        <v>183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2">
        <f>AVERAGE(0.6,0.73,0.71,0.76)</f>
        <v>0.7</v>
      </c>
      <c r="L199" s="82">
        <f t="shared" si="1"/>
        <v>1.52</v>
      </c>
      <c r="M199" s="83">
        <v>44650.0</v>
      </c>
      <c r="N199" s="84" t="s">
        <v>182</v>
      </c>
      <c r="P199" s="66">
        <v>8.096</v>
      </c>
    </row>
    <row r="200">
      <c r="A200" s="66" t="s">
        <v>183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2">
        <f>AVERAGE(1.18,1.18,0.96,1.11)</f>
        <v>1.1075</v>
      </c>
      <c r="L200" s="82">
        <f t="shared" si="1"/>
        <v>4.24</v>
      </c>
      <c r="M200" s="83">
        <v>44650.0</v>
      </c>
      <c r="N200" s="84" t="s">
        <v>182</v>
      </c>
      <c r="P200" s="66">
        <v>32.261</v>
      </c>
    </row>
    <row r="201">
      <c r="A201" s="66" t="s">
        <v>183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2">
        <f>AVERAGE(1.76,1.65,1.63,1.61)</f>
        <v>1.6625</v>
      </c>
      <c r="L201" s="82">
        <f t="shared" si="1"/>
        <v>3.19</v>
      </c>
      <c r="M201" s="83">
        <v>44650.0</v>
      </c>
      <c r="N201" s="84" t="s">
        <v>182</v>
      </c>
      <c r="P201" s="66">
        <v>45.987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2">
        <f>AVERAGE(1.72,1.53,1.73,1.76)</f>
        <v>1.685</v>
      </c>
      <c r="L202" s="82">
        <f t="shared" si="1"/>
        <v>7.75</v>
      </c>
      <c r="M202" s="83">
        <v>44650.0</v>
      </c>
      <c r="N202" s="84" t="s">
        <v>182</v>
      </c>
      <c r="P202" s="66">
        <v>45.262</v>
      </c>
    </row>
    <row r="203">
      <c r="A203" s="66" t="s">
        <v>183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f t="shared" si="1"/>
        <v>0.78</v>
      </c>
      <c r="M203" s="83">
        <v>44650.0</v>
      </c>
      <c r="N203" s="84" t="s">
        <v>182</v>
      </c>
      <c r="P203" s="66">
        <v>14.116</v>
      </c>
    </row>
    <row r="204">
      <c r="A204" s="66" t="s">
        <v>183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2">
        <f>AVERAGE(1.23,0.97,1.13,1.22)</f>
        <v>1.1375</v>
      </c>
      <c r="L204" s="82">
        <f t="shared" si="1"/>
        <v>2.08</v>
      </c>
      <c r="M204" s="83">
        <v>44650.0</v>
      </c>
      <c r="N204" s="84" t="s">
        <v>182</v>
      </c>
      <c r="P204" s="66">
        <v>34.026</v>
      </c>
    </row>
    <row r="205">
      <c r="A205" s="66" t="s">
        <v>183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f t="shared" si="1"/>
        <v>0.87</v>
      </c>
      <c r="M205" s="83">
        <v>44650.0</v>
      </c>
      <c r="N205" s="84" t="s">
        <v>182</v>
      </c>
      <c r="P205" s="66">
        <v>13.215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2">
        <f>AVERAGE(0.75,0.67,0.6,0.57)</f>
        <v>0.6475</v>
      </c>
      <c r="L206" s="82">
        <f t="shared" si="1"/>
        <v>1.42</v>
      </c>
      <c r="M206" s="83">
        <v>44650.0</v>
      </c>
      <c r="N206" s="84" t="s">
        <v>182</v>
      </c>
      <c r="P206" s="66">
        <v>38.194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2">
        <f>AVERAGE(2.32,1.99,2.16,2.32)</f>
        <v>2.1975</v>
      </c>
      <c r="L207" s="82">
        <f t="shared" si="1"/>
        <v>9.49</v>
      </c>
      <c r="M207" s="83">
        <v>44650.0</v>
      </c>
      <c r="N207" s="84" t="s">
        <v>182</v>
      </c>
      <c r="P207" s="66">
        <v>57.075</v>
      </c>
    </row>
    <row r="208">
      <c r="A208" s="66" t="s">
        <v>183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2">
        <f>AVERAGE(0.89,0.82,1.02,1.27)</f>
        <v>1</v>
      </c>
      <c r="L208" s="82">
        <f t="shared" si="1"/>
        <v>1.08</v>
      </c>
      <c r="M208" s="83">
        <v>44650.0</v>
      </c>
      <c r="N208" s="84" t="s">
        <v>182</v>
      </c>
      <c r="P208" s="66">
        <v>8.977</v>
      </c>
    </row>
    <row r="209">
      <c r="A209" s="66" t="s">
        <v>183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2">
        <f>AVERAGE(1.04,1.04,0.96,1.02)</f>
        <v>1.015</v>
      </c>
      <c r="L209" s="82">
        <f t="shared" si="1"/>
        <v>0.9</v>
      </c>
      <c r="M209" s="83">
        <v>44650.0</v>
      </c>
      <c r="N209" s="84" t="s">
        <v>182</v>
      </c>
      <c r="P209" s="66">
        <v>12.368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2">
        <f>AVERAGE(1.41,1.42,1.43,1.51)</f>
        <v>1.4425</v>
      </c>
      <c r="L210" s="82">
        <f t="shared" si="1"/>
        <v>6.64</v>
      </c>
      <c r="M210" s="83">
        <v>44650.0</v>
      </c>
      <c r="N210" s="84" t="s">
        <v>182</v>
      </c>
      <c r="P210" s="66">
        <v>19.245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2">
        <f>AVERAGE(2.47,2.49,2.47,2.42)</f>
        <v>2.4625</v>
      </c>
      <c r="L211" s="82">
        <f t="shared" si="1"/>
        <v>7.68</v>
      </c>
      <c r="M211" s="83">
        <v>44650.0</v>
      </c>
      <c r="N211" s="84" t="s">
        <v>182</v>
      </c>
      <c r="P211" s="66">
        <v>115.285</v>
      </c>
    </row>
    <row r="212">
      <c r="A212" s="66" t="s">
        <v>183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2">
        <f>AVERAGE(0.49,0.51,0.46,0.59)</f>
        <v>0.5125</v>
      </c>
      <c r="L212" s="82">
        <f t="shared" si="1"/>
        <v>1.24</v>
      </c>
      <c r="M212" s="83">
        <v>44650.0</v>
      </c>
      <c r="N212" s="84" t="s">
        <v>182</v>
      </c>
      <c r="P212" s="66">
        <v>9.45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2">
        <f>AVERAGE(1.52,1.41,1.81,1.62)</f>
        <v>1.59</v>
      </c>
      <c r="L213" s="82">
        <f t="shared" si="1"/>
        <v>9.37</v>
      </c>
      <c r="M213" s="83">
        <v>44650.0</v>
      </c>
      <c r="N213" s="84" t="s">
        <v>182</v>
      </c>
      <c r="P213" s="66">
        <v>47.375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2">
        <f>AVERAGE(1.21,1.25,1.35,1.1)</f>
        <v>1.2275</v>
      </c>
      <c r="L214" s="82">
        <f t="shared" si="1"/>
        <v>4.87</v>
      </c>
      <c r="M214" s="83">
        <v>44650.0</v>
      </c>
      <c r="N214" s="84" t="s">
        <v>182</v>
      </c>
      <c r="P214" s="66">
        <v>31.736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2">
        <f>AVERAGE(1.1,1.07,1.21,1.3)</f>
        <v>1.17</v>
      </c>
      <c r="L215" s="82">
        <f t="shared" si="1"/>
        <v>3.35</v>
      </c>
      <c r="M215" s="83">
        <v>44650.0</v>
      </c>
      <c r="N215" s="84" t="s">
        <v>182</v>
      </c>
      <c r="P215" s="66">
        <v>40.343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2">
        <f>AVERAGE(2.33,2.36,2.24,2.43)</f>
        <v>2.34</v>
      </c>
      <c r="L216" s="82">
        <f t="shared" si="1"/>
        <v>9.22</v>
      </c>
      <c r="M216" s="83">
        <v>44650.0</v>
      </c>
      <c r="N216" s="84" t="s">
        <v>182</v>
      </c>
      <c r="P216" s="66">
        <v>63.928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2">
        <f>AVERAGE(2.25,2.23,2.21,2.3)</f>
        <v>2.2475</v>
      </c>
      <c r="L217" s="82">
        <f t="shared" si="1"/>
        <v>7.78</v>
      </c>
      <c r="M217" s="83">
        <v>44650.0</v>
      </c>
      <c r="N217" s="84" t="s">
        <v>182</v>
      </c>
      <c r="P217" s="66">
        <v>36.283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2">
        <f>AVERAGE(1.08,1,0.94,1.21)</f>
        <v>1.0575</v>
      </c>
      <c r="L218" s="82">
        <f t="shared" si="1"/>
        <v>1.7</v>
      </c>
      <c r="M218" s="83">
        <v>44650.0</v>
      </c>
      <c r="N218" s="84" t="s">
        <v>182</v>
      </c>
      <c r="P218" s="66">
        <v>17.43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2">
        <f>AVERAGE(1.81,1.86,1.61,1.59)</f>
        <v>1.7175</v>
      </c>
      <c r="L219" s="82">
        <f t="shared" si="1"/>
        <v>4.83</v>
      </c>
      <c r="M219" s="83">
        <v>44650.0</v>
      </c>
      <c r="N219" s="84" t="s">
        <v>182</v>
      </c>
      <c r="P219" s="66">
        <v>104.673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2">
        <f>AVERAGE(1.46,1.58,1.61,1.42)</f>
        <v>1.5175</v>
      </c>
      <c r="L220" s="82">
        <f t="shared" si="1"/>
        <v>9.55</v>
      </c>
      <c r="M220" s="83">
        <v>44650.0</v>
      </c>
      <c r="N220" s="84" t="s">
        <v>182</v>
      </c>
      <c r="P220" s="66">
        <v>58.757</v>
      </c>
    </row>
    <row r="221">
      <c r="A221" s="66" t="s">
        <v>183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2">
        <f>AVERAGE(1.12,1.1,1.13,0.99)</f>
        <v>1.085</v>
      </c>
      <c r="L221" s="82">
        <f t="shared" si="1"/>
        <v>2.33</v>
      </c>
      <c r="M221" s="83">
        <v>44650.0</v>
      </c>
      <c r="N221" s="84" t="s">
        <v>182</v>
      </c>
      <c r="P221" s="66">
        <v>41.193</v>
      </c>
    </row>
    <row r="222">
      <c r="A222" s="66" t="s">
        <v>183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f t="shared" si="1"/>
        <v>1.05</v>
      </c>
      <c r="M222" s="83">
        <v>44650.0</v>
      </c>
      <c r="N222" s="84" t="s">
        <v>182</v>
      </c>
      <c r="P222" s="66">
        <v>15.098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2">
        <f>AVERAGE(1.83,1.89,1.73,1.88)</f>
        <v>1.8325</v>
      </c>
      <c r="L223" s="82">
        <f t="shared" si="1"/>
        <v>6.84</v>
      </c>
      <c r="M223" s="83">
        <v>44650.0</v>
      </c>
      <c r="N223" s="84" t="s">
        <v>182</v>
      </c>
      <c r="P223" s="66">
        <v>48.432</v>
      </c>
    </row>
    <row r="224">
      <c r="A224" s="66" t="s">
        <v>183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2">
        <f>AVERAGE(0.77,0.82,0.86,0.82)</f>
        <v>0.8175</v>
      </c>
      <c r="L224" s="82">
        <f t="shared" si="1"/>
        <v>1.09</v>
      </c>
      <c r="M224" s="83">
        <v>44650.0</v>
      </c>
      <c r="N224" s="84" t="s">
        <v>182</v>
      </c>
      <c r="P224" s="66">
        <v>11.637</v>
      </c>
    </row>
    <row r="225">
      <c r="A225" s="66" t="s">
        <v>183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2">
        <f>AVERAGE(1.26,1.4,1.55,1.32)</f>
        <v>1.3825</v>
      </c>
      <c r="L225" s="82">
        <f t="shared" si="1"/>
        <v>1.38</v>
      </c>
      <c r="M225" s="83">
        <v>44650.0</v>
      </c>
      <c r="N225" s="84" t="s">
        <v>182</v>
      </c>
      <c r="P225" s="66">
        <v>14.728</v>
      </c>
    </row>
    <row r="226">
      <c r="A226" s="66" t="s">
        <v>183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2">
        <f>AVERAGE(1.27,1.21,1.12,1.25)</f>
        <v>1.2125</v>
      </c>
      <c r="L226" s="82">
        <f t="shared" si="1"/>
        <v>2.64</v>
      </c>
      <c r="M226" s="83">
        <v>44650.0</v>
      </c>
      <c r="N226" s="84" t="s">
        <v>182</v>
      </c>
      <c r="P226" s="66">
        <v>24.487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2">
        <f>AVERAGE(1.6,1.6,1.6,1.58)</f>
        <v>1.595</v>
      </c>
      <c r="L227" s="82">
        <f t="shared" si="1"/>
        <v>5.87</v>
      </c>
      <c r="M227" s="83">
        <v>44650.0</v>
      </c>
      <c r="N227" s="84" t="s">
        <v>182</v>
      </c>
      <c r="P227" s="66">
        <v>40.816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f t="shared" si="1"/>
        <v>1.32</v>
      </c>
      <c r="M228" s="83">
        <v>44650.0</v>
      </c>
      <c r="N228" s="84" t="s">
        <v>182</v>
      </c>
      <c r="P228" s="66">
        <v>4.953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2">
        <f>AVERAGE(1.99,1.92,1.93,1.94)</f>
        <v>1.945</v>
      </c>
      <c r="L229" s="82">
        <f t="shared" si="1"/>
        <v>10.37</v>
      </c>
      <c r="M229" s="83">
        <v>44650.0</v>
      </c>
      <c r="N229" s="84" t="s">
        <v>182</v>
      </c>
      <c r="P229" s="66">
        <v>62.769</v>
      </c>
    </row>
    <row r="230">
      <c r="A230" s="66" t="s">
        <v>183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2">
        <f>AVERAGE(0.96,1.12,1.02,1.14)</f>
        <v>1.06</v>
      </c>
      <c r="L230" s="82">
        <f t="shared" si="1"/>
        <v>1.41</v>
      </c>
      <c r="M230" s="83">
        <v>44650.0</v>
      </c>
      <c r="N230" s="84" t="s">
        <v>182</v>
      </c>
      <c r="P230" s="66">
        <v>20.543</v>
      </c>
    </row>
    <row r="231">
      <c r="A231" s="66" t="s">
        <v>183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2">
        <f>AVERAGE(0.91,0.93,1.04,1.12)</f>
        <v>1</v>
      </c>
      <c r="L231" s="82">
        <f t="shared" si="1"/>
        <v>2.52</v>
      </c>
      <c r="M231" s="83">
        <v>44650.0</v>
      </c>
      <c r="N231" s="84" t="s">
        <v>182</v>
      </c>
      <c r="P231" s="66">
        <v>21.888</v>
      </c>
    </row>
    <row r="232">
      <c r="A232" s="66" t="s">
        <v>183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2">
        <f>AVERAGE(0.94,0.98,0.78,0.78)</f>
        <v>0.87</v>
      </c>
      <c r="L232" s="82">
        <f t="shared" si="1"/>
        <v>1.36</v>
      </c>
      <c r="M232" s="83">
        <v>44650.0</v>
      </c>
      <c r="N232" s="84" t="s">
        <v>182</v>
      </c>
      <c r="P232" s="66">
        <v>7.318</v>
      </c>
    </row>
    <row r="233">
      <c r="A233" s="66" t="s">
        <v>183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2">
        <f>AVERAGE(0.96,1.06,1.04,0.92)</f>
        <v>0.995</v>
      </c>
      <c r="L233" s="82">
        <f t="shared" si="1"/>
        <v>3.37</v>
      </c>
      <c r="M233" s="83">
        <v>44650.0</v>
      </c>
      <c r="N233" s="84" t="s">
        <v>182</v>
      </c>
      <c r="P233" s="66">
        <v>28.298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2">
        <f>AVERAGE(1.58,1.6,1.71,1.59)</f>
        <v>1.62</v>
      </c>
      <c r="L234" s="82">
        <f t="shared" si="1"/>
        <v>5.71</v>
      </c>
      <c r="M234" s="83">
        <v>44650.0</v>
      </c>
      <c r="N234" s="84" t="s">
        <v>182</v>
      </c>
      <c r="P234" s="66">
        <v>57.317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2">
        <f>AVERAGE(0.84,0.86,0.93,0.82)</f>
        <v>0.8625</v>
      </c>
      <c r="L235" s="82">
        <f t="shared" si="1"/>
        <v>1.9</v>
      </c>
      <c r="M235" s="83">
        <v>44650.0</v>
      </c>
      <c r="N235" s="84" t="s">
        <v>182</v>
      </c>
      <c r="P235" s="66">
        <v>12.421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f t="shared" si="1"/>
        <v>1.86</v>
      </c>
      <c r="M236" s="83">
        <v>44650.0</v>
      </c>
      <c r="N236" s="84" t="s">
        <v>182</v>
      </c>
      <c r="P236" s="66">
        <v>16.53</v>
      </c>
    </row>
    <row r="237">
      <c r="A237" s="66" t="s">
        <v>183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f t="shared" si="1"/>
        <v>0.84</v>
      </c>
      <c r="M237" s="83">
        <v>44650.0</v>
      </c>
      <c r="N237" s="84" t="s">
        <v>182</v>
      </c>
      <c r="P237" s="66">
        <v>3.896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2">
        <f>AVERAGE(1.81,1.84,1.72,1.88)</f>
        <v>1.8125</v>
      </c>
      <c r="L238" s="82">
        <f t="shared" si="1"/>
        <v>7.09</v>
      </c>
      <c r="M238" s="83">
        <v>44650.0</v>
      </c>
      <c r="N238" s="84" t="s">
        <v>182</v>
      </c>
      <c r="P238" s="66">
        <v>66.86</v>
      </c>
    </row>
    <row r="239">
      <c r="A239" s="66" t="s">
        <v>183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2">
        <f>AVERAGE(1.4,1.46,1.63,1.81)</f>
        <v>1.575</v>
      </c>
      <c r="L239" s="82">
        <f t="shared" si="1"/>
        <v>4.11</v>
      </c>
      <c r="M239" s="83">
        <v>44650.0</v>
      </c>
      <c r="N239" s="84" t="s">
        <v>182</v>
      </c>
      <c r="P239" s="66">
        <v>33.642</v>
      </c>
    </row>
    <row r="240">
      <c r="A240" s="66" t="s">
        <v>183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2">
        <f>AVERAGE(0.96,1.1,1.24,1.05)</f>
        <v>1.0875</v>
      </c>
      <c r="L240" s="82">
        <f t="shared" si="1"/>
        <v>1.24</v>
      </c>
      <c r="M240" s="83">
        <v>44650.0</v>
      </c>
      <c r="N240" s="84" t="s">
        <v>182</v>
      </c>
      <c r="P240" s="66">
        <v>27.416</v>
      </c>
    </row>
    <row r="241">
      <c r="A241" s="66" t="s">
        <v>183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2">
        <f>AVERAGE(1.26,1.19,1.19,1.49)</f>
        <v>1.2825</v>
      </c>
      <c r="L241" s="82">
        <f t="shared" si="1"/>
        <v>1.49</v>
      </c>
      <c r="M241" s="83">
        <v>44650.0</v>
      </c>
      <c r="N241" s="84" t="s">
        <v>182</v>
      </c>
      <c r="P241" s="66">
        <v>23.106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f t="shared" si="1"/>
        <v>2.18</v>
      </c>
      <c r="M242" s="83">
        <v>44650.0</v>
      </c>
      <c r="N242" s="84" t="s">
        <v>182</v>
      </c>
      <c r="P242" s="66">
        <v>9.328</v>
      </c>
    </row>
    <row r="243">
      <c r="A243" s="66" t="s">
        <v>183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f t="shared" si="1"/>
        <v>1.29</v>
      </c>
      <c r="M243" s="83">
        <v>44650.0</v>
      </c>
      <c r="N243" s="84" t="s">
        <v>182</v>
      </c>
      <c r="P243" s="66">
        <v>26.128</v>
      </c>
    </row>
    <row r="244">
      <c r="A244" s="66" t="s">
        <v>183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f t="shared" si="1"/>
        <v>0.75</v>
      </c>
      <c r="M244" s="83">
        <v>44650.0</v>
      </c>
      <c r="N244" s="84" t="s">
        <v>182</v>
      </c>
      <c r="P244" s="66">
        <v>4.194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f t="shared" si="1"/>
        <v>1.35</v>
      </c>
      <c r="M245" s="83">
        <v>44650.0</v>
      </c>
      <c r="N245" s="84" t="s">
        <v>182</v>
      </c>
      <c r="P245" s="66">
        <v>3.125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2">
        <f>AVERAGE(1.45,1.51,1.51,1.44)</f>
        <v>1.4775</v>
      </c>
      <c r="L246" s="82">
        <f t="shared" si="1"/>
        <v>6</v>
      </c>
      <c r="M246" s="83">
        <v>44650.0</v>
      </c>
      <c r="N246" s="84" t="s">
        <v>182</v>
      </c>
      <c r="P246" s="66">
        <v>25.097</v>
      </c>
    </row>
    <row r="247">
      <c r="A247" s="66" t="s">
        <v>183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f t="shared" si="1"/>
        <v>1.2</v>
      </c>
      <c r="M247" s="83">
        <v>44650.0</v>
      </c>
      <c r="N247" s="84" t="s">
        <v>182</v>
      </c>
      <c r="P247" s="66">
        <v>25.54</v>
      </c>
    </row>
    <row r="248">
      <c r="A248" s="66" t="s">
        <v>183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2">
        <f>AVERAGE(1.27,1.02,1.22,1.48)</f>
        <v>1.2475</v>
      </c>
      <c r="L248" s="82">
        <f t="shared" si="1"/>
        <v>1.6</v>
      </c>
      <c r="M248" s="83">
        <v>44650.0</v>
      </c>
      <c r="N248" s="84" t="s">
        <v>182</v>
      </c>
      <c r="P248" s="66">
        <v>24.819</v>
      </c>
    </row>
    <row r="249">
      <c r="A249" s="66" t="s">
        <v>183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2">
        <f>AVERAGE(1.32,1.21,1.24,1.3)</f>
        <v>1.2675</v>
      </c>
      <c r="L249" s="82">
        <f t="shared" si="1"/>
        <v>2.03</v>
      </c>
      <c r="M249" s="83">
        <v>44650.0</v>
      </c>
      <c r="N249" s="84" t="s">
        <v>182</v>
      </c>
      <c r="P249" s="66">
        <v>31.963</v>
      </c>
    </row>
    <row r="250">
      <c r="A250" s="66" t="s">
        <v>183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f t="shared" si="1"/>
        <v>0.77</v>
      </c>
      <c r="M250" s="83">
        <v>44650.0</v>
      </c>
      <c r="N250" s="84" t="s">
        <v>182</v>
      </c>
      <c r="P250" s="66">
        <v>12.979</v>
      </c>
    </row>
    <row r="251">
      <c r="A251" s="66" t="s">
        <v>183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f t="shared" si="1"/>
        <v>2.18</v>
      </c>
      <c r="M251" s="83">
        <v>44650.0</v>
      </c>
      <c r="N251" s="84" t="s">
        <v>182</v>
      </c>
      <c r="P251" s="66">
        <v>26.233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2">
        <f>AVERAGE(1.36,1.34,1.38,1.32)</f>
        <v>1.35</v>
      </c>
      <c r="L252" s="82">
        <f t="shared" si="1"/>
        <v>6.51</v>
      </c>
      <c r="M252" s="83">
        <v>44650.0</v>
      </c>
      <c r="N252" s="84" t="s">
        <v>182</v>
      </c>
      <c r="P252" s="66">
        <v>34.011</v>
      </c>
    </row>
    <row r="253">
      <c r="A253" s="66" t="s">
        <v>183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2">
        <f>AVERAGE(0.99,1,1.02,1)</f>
        <v>1.0025</v>
      </c>
      <c r="L253" s="82">
        <f t="shared" si="1"/>
        <v>2.83</v>
      </c>
      <c r="M253" s="83">
        <v>44650.0</v>
      </c>
      <c r="N253" s="84" t="s">
        <v>182</v>
      </c>
      <c r="P253" s="66">
        <v>20.555</v>
      </c>
    </row>
    <row r="254">
      <c r="A254" s="66" t="s">
        <v>183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2">
        <f>AVERAGE(0.7,0.76,0.84,0.99)</f>
        <v>0.8225</v>
      </c>
      <c r="L254" s="82">
        <f t="shared" si="1"/>
        <v>1.33</v>
      </c>
      <c r="M254" s="83">
        <v>44650.0</v>
      </c>
      <c r="N254" s="84" t="s">
        <v>182</v>
      </c>
      <c r="P254" s="66">
        <v>20.846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2">
        <f>AVERAGE(1.98,2.01,1.91,1.98)</f>
        <v>1.97</v>
      </c>
      <c r="L255" s="82">
        <f t="shared" si="1"/>
        <v>10.37</v>
      </c>
      <c r="M255" s="83">
        <v>44650.0</v>
      </c>
      <c r="N255" s="84" t="s">
        <v>182</v>
      </c>
      <c r="P255" s="66">
        <v>67.907</v>
      </c>
    </row>
    <row r="256">
      <c r="A256" s="66" t="s">
        <v>183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2">
        <f>AVERAGE(0.93,0.97,1.1,0.98)</f>
        <v>0.995</v>
      </c>
      <c r="L256" s="82">
        <f t="shared" si="1"/>
        <v>0.84</v>
      </c>
      <c r="M256" s="83">
        <v>44650.0</v>
      </c>
      <c r="N256" s="84" t="s">
        <v>182</v>
      </c>
      <c r="P256" s="66">
        <v>17.783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2">
        <f>AVERAGE(2.34,2.12,2.25,2.2)</f>
        <v>2.2275</v>
      </c>
      <c r="L257" s="82">
        <f t="shared" si="1"/>
        <v>7.98</v>
      </c>
      <c r="M257" s="83">
        <v>44650.0</v>
      </c>
      <c r="N257" s="84" t="s">
        <v>182</v>
      </c>
      <c r="P257" s="66">
        <v>93.545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2">
        <f>AVERAGE(1.39,1.57,1.37,1.43)</f>
        <v>1.44</v>
      </c>
      <c r="L258" s="82">
        <f t="shared" si="1"/>
        <v>8.12</v>
      </c>
      <c r="M258" s="83">
        <v>44650.0</v>
      </c>
      <c r="N258" s="84" t="s">
        <v>182</v>
      </c>
      <c r="P258" s="66">
        <v>40.348</v>
      </c>
    </row>
    <row r="259">
      <c r="A259" s="66" t="s">
        <v>183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2">
        <f>AVERAGE(1.4,1.15,1.26,1.23)</f>
        <v>1.26</v>
      </c>
      <c r="L259" s="82">
        <f t="shared" si="1"/>
        <v>1.25</v>
      </c>
      <c r="M259" s="83">
        <v>44650.0</v>
      </c>
      <c r="N259" s="84" t="s">
        <v>182</v>
      </c>
      <c r="P259" s="66">
        <v>27.698</v>
      </c>
    </row>
    <row r="260">
      <c r="A260" s="66" t="s">
        <v>183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f t="shared" si="1"/>
        <v>1.08</v>
      </c>
      <c r="M260" s="83">
        <v>44650.0</v>
      </c>
      <c r="N260" s="84" t="s">
        <v>182</v>
      </c>
      <c r="P260" s="66">
        <v>16.193</v>
      </c>
    </row>
    <row r="261">
      <c r="A261" s="66" t="s">
        <v>183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f t="shared" si="1"/>
        <v>0.88</v>
      </c>
      <c r="M261" s="83">
        <v>44650.0</v>
      </c>
      <c r="N261" s="84" t="s">
        <v>182</v>
      </c>
      <c r="P261" s="66">
        <v>8.989</v>
      </c>
    </row>
    <row r="262">
      <c r="A262" s="66" t="s">
        <v>183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f t="shared" si="1"/>
        <v>1.26</v>
      </c>
      <c r="M262" s="83">
        <v>44650.0</v>
      </c>
      <c r="N262" s="84" t="s">
        <v>182</v>
      </c>
      <c r="P262" s="66">
        <v>19.117</v>
      </c>
    </row>
    <row r="263">
      <c r="A263" s="66" t="s">
        <v>183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2">
        <f>AVERAGE(0.77,0.86,0.93,0.9)</f>
        <v>0.865</v>
      </c>
      <c r="L263" s="82">
        <f t="shared" si="1"/>
        <v>1.28</v>
      </c>
      <c r="M263" s="83">
        <v>44650.0</v>
      </c>
      <c r="N263" s="84" t="s">
        <v>182</v>
      </c>
      <c r="P263" s="66">
        <v>17.037</v>
      </c>
    </row>
    <row r="264">
      <c r="A264" s="66" t="s">
        <v>183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f t="shared" si="1"/>
        <v>0.65</v>
      </c>
      <c r="M264" s="83">
        <v>44650.0</v>
      </c>
      <c r="N264" s="84" t="s">
        <v>182</v>
      </c>
      <c r="P264" s="66">
        <v>5.883</v>
      </c>
    </row>
    <row r="265">
      <c r="A265" s="66" t="s">
        <v>183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2">
        <f>AVERAGE(0.95,0.94,1.05,1.02)</f>
        <v>0.99</v>
      </c>
      <c r="L265" s="82">
        <f t="shared" si="1"/>
        <v>1.64</v>
      </c>
      <c r="M265" s="83">
        <v>44650.0</v>
      </c>
      <c r="N265" s="84" t="s">
        <v>182</v>
      </c>
      <c r="P265" s="66">
        <v>16.986</v>
      </c>
    </row>
    <row r="266">
      <c r="A266" s="66" t="s">
        <v>183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2">
        <f>AVERAGE(1.15,1.25,1.4,1.37)</f>
        <v>1.2925</v>
      </c>
      <c r="L266" s="82">
        <f t="shared" si="1"/>
        <v>3.38</v>
      </c>
      <c r="M266" s="83">
        <v>44650.0</v>
      </c>
      <c r="N266" s="84" t="s">
        <v>182</v>
      </c>
      <c r="P266" s="66">
        <v>39.815</v>
      </c>
    </row>
    <row r="267">
      <c r="A267" s="66" t="s">
        <v>183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2">
        <f>AVERAGE(1.01,1.05,1.07,0.97)</f>
        <v>1.025</v>
      </c>
      <c r="L267" s="82">
        <f t="shared" si="1"/>
        <v>0.98</v>
      </c>
      <c r="M267" s="83">
        <v>44650.0</v>
      </c>
      <c r="N267" s="84" t="s">
        <v>182</v>
      </c>
      <c r="P267" s="66">
        <v>19.401</v>
      </c>
    </row>
    <row r="268">
      <c r="A268" s="66" t="s">
        <v>183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2">
        <f>AVERAGE(1.3,1.31,1.41,1.19)</f>
        <v>1.3025</v>
      </c>
      <c r="L268" s="82">
        <f t="shared" si="1"/>
        <v>2.17</v>
      </c>
      <c r="M268" s="83">
        <v>44650.0</v>
      </c>
      <c r="N268" s="84" t="s">
        <v>182</v>
      </c>
      <c r="P268" s="66">
        <v>29.391</v>
      </c>
    </row>
    <row r="269">
      <c r="A269" s="66" t="s">
        <v>183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2">
        <f>AVERAGE(1.03,1.12,1.23,1.2)</f>
        <v>1.145</v>
      </c>
      <c r="L269" s="82">
        <f t="shared" si="1"/>
        <v>1.99</v>
      </c>
      <c r="M269" s="83">
        <v>44650.0</v>
      </c>
      <c r="N269" s="84" t="s">
        <v>182</v>
      </c>
      <c r="P269" s="66">
        <v>25.301</v>
      </c>
    </row>
    <row r="270">
      <c r="A270" s="66" t="s">
        <v>183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2">
        <f>AVERAGE(1.15,1.14,1.39,1.41)</f>
        <v>1.2725</v>
      </c>
      <c r="L270" s="82">
        <f t="shared" si="1"/>
        <v>1.47</v>
      </c>
      <c r="M270" s="83">
        <v>44650.0</v>
      </c>
      <c r="N270" s="84" t="s">
        <v>182</v>
      </c>
      <c r="P270" s="66">
        <v>35.916</v>
      </c>
    </row>
    <row r="271">
      <c r="A271" s="66" t="s">
        <v>183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f t="shared" si="1"/>
        <v>1.3</v>
      </c>
      <c r="M271" s="83">
        <v>44650.0</v>
      </c>
      <c r="N271" s="84" t="s">
        <v>182</v>
      </c>
      <c r="P271" s="66">
        <v>5.103</v>
      </c>
    </row>
    <row r="272">
      <c r="A272" s="66" t="s">
        <v>183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f t="shared" si="1"/>
        <v>0.83</v>
      </c>
      <c r="M272" s="83">
        <v>44650.0</v>
      </c>
      <c r="N272" s="84" t="s">
        <v>182</v>
      </c>
      <c r="P272" s="66">
        <v>14.817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f t="shared" si="1"/>
        <v>1.02</v>
      </c>
      <c r="M273" s="83">
        <v>44650.0</v>
      </c>
      <c r="N273" s="84" t="s">
        <v>182</v>
      </c>
      <c r="P273" s="66">
        <v>7.177</v>
      </c>
    </row>
    <row r="274">
      <c r="A274" s="66" t="s">
        <v>183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2">
        <f>AVERAGE(1.14,1.13,1.23,1.14)</f>
        <v>1.16</v>
      </c>
      <c r="L274" s="82">
        <f t="shared" si="1"/>
        <v>1.44</v>
      </c>
      <c r="M274" s="83">
        <v>44650.0</v>
      </c>
      <c r="N274" s="84" t="s">
        <v>182</v>
      </c>
      <c r="P274" s="66">
        <v>22.225</v>
      </c>
    </row>
    <row r="275">
      <c r="A275" s="66" t="s">
        <v>183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2">
        <f>AVERAGE(1.35,1.27,1.7,1.47)</f>
        <v>1.4475</v>
      </c>
      <c r="L275" s="82">
        <f t="shared" si="1"/>
        <v>2.07</v>
      </c>
      <c r="M275" s="83">
        <v>44650.0</v>
      </c>
      <c r="N275" s="84" t="s">
        <v>182</v>
      </c>
      <c r="P275" s="66">
        <v>36.227</v>
      </c>
    </row>
    <row r="276">
      <c r="A276" s="66" t="s">
        <v>183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f t="shared" si="1"/>
        <v>1.05</v>
      </c>
      <c r="M276" s="83">
        <v>44650.0</v>
      </c>
      <c r="N276" s="84" t="s">
        <v>182</v>
      </c>
      <c r="P276" s="66">
        <v>9.64</v>
      </c>
    </row>
    <row r="277">
      <c r="A277" s="66" t="s">
        <v>183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2">
        <f>AVERAGE(0.6,0.64,0.62,0.54)</f>
        <v>0.6</v>
      </c>
      <c r="L277" s="82">
        <f t="shared" si="1"/>
        <v>1.27</v>
      </c>
      <c r="M277" s="83">
        <v>44655.0</v>
      </c>
      <c r="N277" s="84" t="s">
        <v>187</v>
      </c>
      <c r="P277" s="66">
        <v>12.012</v>
      </c>
    </row>
    <row r="278">
      <c r="A278" s="66" t="s">
        <v>183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2">
        <f>AVERAGE(0.74,0.69,0.6,0.6)</f>
        <v>0.6575</v>
      </c>
      <c r="L278" s="82">
        <f t="shared" si="1"/>
        <v>1.3</v>
      </c>
      <c r="M278" s="83">
        <v>44655.0</v>
      </c>
      <c r="N278" s="84" t="s">
        <v>187</v>
      </c>
      <c r="P278" s="66">
        <v>7.909</v>
      </c>
    </row>
    <row r="279">
      <c r="A279" s="66" t="s">
        <v>183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2">
        <f>AVERAGE(0.97,1.55,1.21,0.99)</f>
        <v>1.18</v>
      </c>
      <c r="L279" s="82">
        <f t="shared" si="1"/>
        <v>2.98</v>
      </c>
      <c r="M279" s="83">
        <v>44655.0</v>
      </c>
      <c r="N279" s="84" t="s">
        <v>187</v>
      </c>
      <c r="P279" s="66">
        <v>13.97</v>
      </c>
    </row>
    <row r="280">
      <c r="A280" s="66" t="s">
        <v>183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2">
        <f>AVERAGE(1.34,1.39,1.36,1.33)</f>
        <v>1.355</v>
      </c>
      <c r="L280" s="82">
        <f t="shared" si="1"/>
        <v>1.97</v>
      </c>
      <c r="M280" s="83">
        <v>44655.0</v>
      </c>
      <c r="N280" s="84" t="s">
        <v>187</v>
      </c>
      <c r="P280" s="66">
        <v>43.68</v>
      </c>
    </row>
    <row r="281">
      <c r="A281" s="66" t="s">
        <v>183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2">
        <f>AVERAGE(0.99,1.03,1.1,0.95)</f>
        <v>1.0175</v>
      </c>
      <c r="L281" s="82">
        <f t="shared" si="1"/>
        <v>1.49</v>
      </c>
      <c r="M281" s="83">
        <v>44655.0</v>
      </c>
      <c r="N281" s="84" t="s">
        <v>187</v>
      </c>
      <c r="P281" s="66">
        <v>25.963</v>
      </c>
    </row>
    <row r="282">
      <c r="A282" s="66" t="s">
        <v>183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2">
        <f>AVERAGE(0.77,0.88,0.8,0.68)</f>
        <v>0.7825</v>
      </c>
      <c r="L282" s="82">
        <f t="shared" si="1"/>
        <v>1.81</v>
      </c>
      <c r="M282" s="83">
        <v>44655.0</v>
      </c>
      <c r="N282" s="84" t="s">
        <v>187</v>
      </c>
      <c r="P282" s="66">
        <v>73.987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2">
        <f>AVERAGE(1.6,1.38,1.24,1.34)</f>
        <v>1.39</v>
      </c>
      <c r="L283" s="82">
        <f t="shared" si="1"/>
        <v>2.2</v>
      </c>
      <c r="M283" s="83">
        <v>44655.0</v>
      </c>
      <c r="N283" s="84" t="s">
        <v>187</v>
      </c>
      <c r="P283" s="66">
        <v>3.537</v>
      </c>
    </row>
    <row r="284">
      <c r="A284" s="66" t="s">
        <v>183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2">
        <f>AVERAGE(0.99,1,0.93,1.02)</f>
        <v>0.985</v>
      </c>
      <c r="L284" s="82">
        <f t="shared" si="1"/>
        <v>2.65</v>
      </c>
      <c r="M284" s="83">
        <v>44655.0</v>
      </c>
      <c r="N284" s="84" t="s">
        <v>187</v>
      </c>
      <c r="P284" s="66">
        <v>18.062</v>
      </c>
    </row>
    <row r="285">
      <c r="A285" s="66" t="s">
        <v>183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2">
        <f>AVERAGE(1.03,0.91,0.95,0.91)</f>
        <v>0.95</v>
      </c>
      <c r="L285" s="82">
        <f t="shared" si="1"/>
        <v>2.08</v>
      </c>
      <c r="M285" s="83">
        <v>44655.0</v>
      </c>
      <c r="N285" s="84" t="s">
        <v>187</v>
      </c>
      <c r="P285" s="66">
        <v>20.919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2">
        <f>AVERAGE(0.64,0.58,0.53,0.54)</f>
        <v>0.5725</v>
      </c>
      <c r="L286" s="82">
        <f t="shared" si="1"/>
        <v>0.86</v>
      </c>
      <c r="M286" s="83">
        <v>44655.0</v>
      </c>
      <c r="N286" s="84" t="s">
        <v>187</v>
      </c>
      <c r="P286" s="66">
        <v>6.337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2">
        <f>AVERAGE(1.35,1.49,1.28,1.41)</f>
        <v>1.3825</v>
      </c>
      <c r="L287" s="82">
        <f t="shared" si="1"/>
        <v>4.06</v>
      </c>
      <c r="M287" s="83">
        <v>44655.0</v>
      </c>
      <c r="N287" s="84" t="s">
        <v>187</v>
      </c>
      <c r="P287" s="66">
        <v>66.638</v>
      </c>
    </row>
    <row r="288">
      <c r="A288" s="66" t="s">
        <v>183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2">
        <f>AVERAGE(1.07,0.9,0.99,1.07)</f>
        <v>1.0075</v>
      </c>
      <c r="L288" s="82">
        <f t="shared" si="1"/>
        <v>2.1</v>
      </c>
      <c r="M288" s="83">
        <v>44655.0</v>
      </c>
      <c r="N288" s="84" t="s">
        <v>187</v>
      </c>
      <c r="P288" s="66">
        <v>10.683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2">
        <f>AVERAGE(0.89,0.9,0.89,0.93)</f>
        <v>0.9025</v>
      </c>
      <c r="L289" s="82">
        <f t="shared" si="1"/>
        <v>1.75</v>
      </c>
      <c r="M289" s="83">
        <v>44655.0</v>
      </c>
      <c r="N289" s="84" t="s">
        <v>187</v>
      </c>
      <c r="P289" s="66">
        <v>5.944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2">
        <f>AVERAGE(1.17,1.23,1.17,1.29)</f>
        <v>1.215</v>
      </c>
      <c r="L290" s="82">
        <f t="shared" si="1"/>
        <v>2.16</v>
      </c>
      <c r="M290" s="83">
        <v>44655.0</v>
      </c>
      <c r="N290" s="84" t="s">
        <v>187</v>
      </c>
      <c r="P290" s="66">
        <v>51.332</v>
      </c>
    </row>
    <row r="291">
      <c r="A291" s="66" t="s">
        <v>183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2">
        <f>AVERAGE(1.37,1.27,1.38,1.35)</f>
        <v>1.3425</v>
      </c>
      <c r="L291" s="82">
        <f t="shared" si="1"/>
        <v>5.73</v>
      </c>
      <c r="M291" s="83">
        <v>44655.0</v>
      </c>
      <c r="N291" s="84" t="s">
        <v>187</v>
      </c>
      <c r="P291" s="66">
        <v>34.104</v>
      </c>
    </row>
    <row r="292">
      <c r="A292" s="66" t="s">
        <v>183</v>
      </c>
      <c r="B292" s="66">
        <v>2024.0</v>
      </c>
      <c r="C292" s="66">
        <v>2.0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2">
        <f>AVERAGE(1.66,1.63,1.51,1.8)</f>
        <v>1.65</v>
      </c>
      <c r="L292" s="82">
        <f t="shared" si="1"/>
        <v>1.47</v>
      </c>
      <c r="M292" s="83">
        <v>44655.0</v>
      </c>
      <c r="N292" s="84" t="s">
        <v>187</v>
      </c>
      <c r="P292" s="66">
        <v>47.718</v>
      </c>
    </row>
    <row r="293">
      <c r="A293" s="66" t="s">
        <v>183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2">
        <f>AVERAGE(0.93,0.94,1.18,0.95)</f>
        <v>1</v>
      </c>
      <c r="L293" s="82">
        <f t="shared" si="1"/>
        <v>2.92</v>
      </c>
      <c r="M293" s="83">
        <v>44655.0</v>
      </c>
      <c r="N293" s="84" t="s">
        <v>187</v>
      </c>
      <c r="P293" s="66">
        <v>19.908</v>
      </c>
    </row>
    <row r="294">
      <c r="A294" s="66" t="s">
        <v>183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f t="shared" si="1"/>
        <v>0.92</v>
      </c>
      <c r="M294" s="83">
        <v>44655.0</v>
      </c>
      <c r="N294" s="84" t="s">
        <v>187</v>
      </c>
      <c r="P294" s="66">
        <v>3.77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2">
        <f>AVERAGE(1.69,1.49,1.78,1.63)</f>
        <v>1.6475</v>
      </c>
      <c r="L295" s="82">
        <f t="shared" si="1"/>
        <v>4.82</v>
      </c>
      <c r="M295" s="83">
        <v>44655.0</v>
      </c>
      <c r="N295" s="84" t="s">
        <v>187</v>
      </c>
      <c r="P295" s="66">
        <v>51.742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2">
        <f>AVERAGE(1.75,1.85,1.92,2.03)</f>
        <v>1.8875</v>
      </c>
      <c r="L296" s="82">
        <f t="shared" si="1"/>
        <v>1.53</v>
      </c>
      <c r="M296" s="83">
        <v>44655.0</v>
      </c>
      <c r="N296" s="84" t="s">
        <v>187</v>
      </c>
      <c r="P296" s="66">
        <v>20.092</v>
      </c>
    </row>
    <row r="297">
      <c r="A297" s="66" t="s">
        <v>183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2">
        <f>AVERAGE(1.05,1.05,1.02,1)</f>
        <v>1.03</v>
      </c>
      <c r="L297" s="82">
        <f t="shared" si="1"/>
        <v>1.43</v>
      </c>
      <c r="M297" s="83">
        <v>44655.0</v>
      </c>
      <c r="N297" s="84" t="s">
        <v>187</v>
      </c>
      <c r="P297" s="66">
        <v>34.436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2">
        <f>AVERAGE(1.72,1.59,1.53,1.48)</f>
        <v>1.58</v>
      </c>
      <c r="L298" s="82">
        <f t="shared" si="1"/>
        <v>3.8</v>
      </c>
      <c r="M298" s="83">
        <v>44655.0</v>
      </c>
      <c r="N298" s="84" t="s">
        <v>187</v>
      </c>
      <c r="P298" s="66">
        <v>100.465</v>
      </c>
    </row>
    <row r="299">
      <c r="A299" s="66" t="s">
        <v>183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2">
        <f>AVERAGE(1.13,1.25,1.23,1.14)</f>
        <v>1.1875</v>
      </c>
      <c r="L299" s="82">
        <f t="shared" si="1"/>
        <v>2.49</v>
      </c>
      <c r="M299" s="83">
        <v>44655.0</v>
      </c>
      <c r="N299" s="84" t="s">
        <v>187</v>
      </c>
      <c r="P299" s="66">
        <v>28.167</v>
      </c>
    </row>
    <row r="300">
      <c r="A300" s="66" t="s">
        <v>183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2">
        <f>AVERAGE(0.88,0.93,0.85,0.86)</f>
        <v>0.88</v>
      </c>
      <c r="L300" s="82">
        <f t="shared" si="1"/>
        <v>1.5</v>
      </c>
      <c r="M300" s="83">
        <v>44655.0</v>
      </c>
      <c r="N300" s="84" t="s">
        <v>187</v>
      </c>
      <c r="P300" s="66">
        <v>25.79</v>
      </c>
    </row>
    <row r="301">
      <c r="A301" s="66" t="s">
        <v>183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f t="shared" si="1"/>
        <v>0.66</v>
      </c>
      <c r="M301" s="83">
        <v>44655.0</v>
      </c>
      <c r="N301" s="84" t="s">
        <v>187</v>
      </c>
      <c r="P301" s="66">
        <v>14.84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2">
        <f>AVERAGE(1.59,1.48,1.44,1.52)</f>
        <v>1.5075</v>
      </c>
      <c r="L302" s="82">
        <f t="shared" si="1"/>
        <v>6.26</v>
      </c>
      <c r="M302" s="83">
        <v>44655.0</v>
      </c>
      <c r="N302" s="84" t="s">
        <v>187</v>
      </c>
      <c r="P302" s="66">
        <v>63.182</v>
      </c>
    </row>
    <row r="303">
      <c r="A303" s="66" t="s">
        <v>183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2">
        <f>AVERAGE(0.91,1,0.73,0.7)</f>
        <v>0.835</v>
      </c>
      <c r="L303" s="82">
        <f t="shared" si="1"/>
        <v>1.55</v>
      </c>
      <c r="M303" s="83">
        <v>44655.0</v>
      </c>
      <c r="N303" s="84" t="s">
        <v>187</v>
      </c>
      <c r="P303" s="66">
        <v>23.137</v>
      </c>
    </row>
    <row r="304">
      <c r="A304" s="66" t="s">
        <v>183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2">
        <f>AVERAGE(0.92,0.91,1.05,0.95)</f>
        <v>0.9575</v>
      </c>
      <c r="L304" s="82">
        <f t="shared" si="1"/>
        <v>1.19</v>
      </c>
      <c r="M304" s="83">
        <v>44655.0</v>
      </c>
      <c r="N304" s="84" t="s">
        <v>187</v>
      </c>
      <c r="P304" s="66">
        <v>16.243</v>
      </c>
    </row>
    <row r="305">
      <c r="A305" s="66" t="s">
        <v>183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2">
        <f>AVERAGE(0.73,1.02,1.01,0.82)</f>
        <v>0.895</v>
      </c>
      <c r="L305" s="82">
        <f t="shared" si="1"/>
        <v>1.9</v>
      </c>
      <c r="M305" s="83">
        <v>44655.0</v>
      </c>
      <c r="N305" s="84" t="s">
        <v>187</v>
      </c>
      <c r="P305" s="66">
        <v>19.908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184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2">
        <f>AVERAGE(1.08,1.5,1.29,1.32)</f>
        <v>1.2975</v>
      </c>
      <c r="L306" s="82">
        <f t="shared" si="1"/>
        <v>5.21</v>
      </c>
      <c r="M306" s="83">
        <v>44655.0</v>
      </c>
      <c r="N306" s="84" t="s">
        <v>187</v>
      </c>
      <c r="P306" s="66">
        <v>28.433</v>
      </c>
    </row>
    <row r="307">
      <c r="A307" s="66" t="s">
        <v>183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2">
        <f>AVERAGE(0.71,0.72,0.69,0.72)</f>
        <v>0.71</v>
      </c>
      <c r="L307" s="82">
        <f t="shared" si="1"/>
        <v>0.87</v>
      </c>
      <c r="M307" s="83">
        <v>44655.0</v>
      </c>
      <c r="N307" s="84" t="s">
        <v>187</v>
      </c>
      <c r="P307" s="66">
        <v>16.318</v>
      </c>
    </row>
    <row r="308">
      <c r="A308" s="66" t="s">
        <v>183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2">
        <f>AVERAGE(0.84,0.89,0.81,0.79)</f>
        <v>0.8325</v>
      </c>
      <c r="L308" s="82">
        <f t="shared" si="1"/>
        <v>1.76</v>
      </c>
      <c r="M308" s="83">
        <v>44655.0</v>
      </c>
      <c r="N308" s="84" t="s">
        <v>187</v>
      </c>
      <c r="P308" s="66">
        <v>24.57</v>
      </c>
    </row>
    <row r="309">
      <c r="A309" s="66" t="s">
        <v>183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2">
        <f>AVERAGE(1.3,1.3,1.29,1.37)</f>
        <v>1.315</v>
      </c>
      <c r="L309" s="82">
        <f t="shared" si="1"/>
        <v>4.15</v>
      </c>
      <c r="M309" s="83">
        <v>44655.0</v>
      </c>
      <c r="N309" s="84" t="s">
        <v>187</v>
      </c>
      <c r="P309" s="66">
        <v>3.286</v>
      </c>
    </row>
    <row r="310">
      <c r="A310" s="66" t="s">
        <v>183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2">
        <f>AVERAGE(0.99,0.94,0.92,0.88)</f>
        <v>0.9325</v>
      </c>
      <c r="L310" s="82">
        <f t="shared" si="1"/>
        <v>2.44</v>
      </c>
      <c r="M310" s="83">
        <v>44655.0</v>
      </c>
      <c r="N310" s="84" t="s">
        <v>187</v>
      </c>
      <c r="P310" s="66">
        <v>32.589</v>
      </c>
    </row>
    <row r="311">
      <c r="A311" s="66" t="s">
        <v>183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2">
        <f>AVERAGE(1.08,1.01,1.11,1.12)</f>
        <v>1.08</v>
      </c>
      <c r="L311" s="82">
        <f t="shared" si="1"/>
        <v>3.86</v>
      </c>
      <c r="M311" s="83">
        <v>44655.0</v>
      </c>
      <c r="N311" s="84" t="s">
        <v>187</v>
      </c>
      <c r="P311" s="66">
        <v>11.702</v>
      </c>
    </row>
    <row r="312">
      <c r="A312" s="66" t="s">
        <v>183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2">
        <f>average(1.51,1.18,1.34,1.16)</f>
        <v>1.2975</v>
      </c>
      <c r="L312" s="82">
        <f t="shared" si="1"/>
        <v>1.67</v>
      </c>
      <c r="M312" s="83">
        <v>44655.0</v>
      </c>
      <c r="N312" s="84" t="s">
        <v>187</v>
      </c>
      <c r="P312" s="66">
        <v>24.609</v>
      </c>
    </row>
    <row r="313">
      <c r="A313" s="66" t="s">
        <v>183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2">
        <f>average(1.34,1.27,1.18,1.24)</f>
        <v>1.2575</v>
      </c>
      <c r="L313" s="82">
        <f t="shared" si="1"/>
        <v>3.73</v>
      </c>
      <c r="M313" s="83">
        <v>44655.0</v>
      </c>
      <c r="N313" s="84" t="s">
        <v>187</v>
      </c>
      <c r="P313" s="66">
        <v>22.282</v>
      </c>
    </row>
    <row r="314">
      <c r="A314" s="66" t="s">
        <v>183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2">
        <f>AVERAGE(1.38,1.27,1.24,1.23)</f>
        <v>1.28</v>
      </c>
      <c r="L314" s="82">
        <f t="shared" si="1"/>
        <v>1.1</v>
      </c>
      <c r="M314" s="83">
        <v>44655.0</v>
      </c>
      <c r="N314" s="84" t="s">
        <v>187</v>
      </c>
      <c r="P314" s="66">
        <v>37.636</v>
      </c>
    </row>
    <row r="315">
      <c r="A315" s="66" t="s">
        <v>183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2">
        <f>average(0.98,0.61,0.97,0.85)</f>
        <v>0.8525</v>
      </c>
      <c r="L315" s="82">
        <f t="shared" si="1"/>
        <v>1.07</v>
      </c>
      <c r="M315" s="83">
        <v>44655.0</v>
      </c>
      <c r="N315" s="84" t="s">
        <v>187</v>
      </c>
      <c r="P315" s="66">
        <v>11.685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2">
        <f>AVERAGE(1.46,1.58,1.48,1.5)</f>
        <v>1.505</v>
      </c>
      <c r="L316" s="82">
        <f t="shared" si="1"/>
        <v>3.45</v>
      </c>
      <c r="M316" s="83">
        <v>44655.0</v>
      </c>
      <c r="N316" s="84" t="s">
        <v>187</v>
      </c>
      <c r="P316" s="66">
        <v>20.578</v>
      </c>
    </row>
    <row r="317">
      <c r="A317" s="66" t="s">
        <v>183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2">
        <f>AVERAGE(0.94,0.98,0.99,1)</f>
        <v>0.9775</v>
      </c>
      <c r="L317" s="82">
        <f t="shared" si="1"/>
        <v>4.25</v>
      </c>
      <c r="M317" s="83">
        <v>44655.0</v>
      </c>
      <c r="N317" s="84" t="s">
        <v>187</v>
      </c>
      <c r="P317" s="66">
        <v>8.441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2">
        <f>AVERAGE(1.63,1.84,1.91,1.8)</f>
        <v>1.795</v>
      </c>
      <c r="L318" s="82">
        <f t="shared" si="1"/>
        <v>4.89</v>
      </c>
      <c r="M318" s="83">
        <v>44655.0</v>
      </c>
      <c r="N318" s="84" t="s">
        <v>187</v>
      </c>
      <c r="P318" s="66">
        <v>38.567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2">
        <f>AVERAGE(0.98,0.99,0.94,1.11)</f>
        <v>1.005</v>
      </c>
      <c r="L319" s="82">
        <f t="shared" si="1"/>
        <v>2.31</v>
      </c>
      <c r="M319" s="83">
        <v>44655.0</v>
      </c>
      <c r="N319" s="84" t="s">
        <v>187</v>
      </c>
      <c r="P319" s="66">
        <v>27.541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2">
        <f>AVERAGE(1.94,1.89,1.92,1.89)</f>
        <v>1.91</v>
      </c>
      <c r="L320" s="82">
        <f t="shared" si="1"/>
        <v>7.34</v>
      </c>
      <c r="M320" s="83">
        <v>44655.0</v>
      </c>
      <c r="N320" s="84" t="s">
        <v>187</v>
      </c>
      <c r="P320" s="66" t="s">
        <v>58</v>
      </c>
      <c r="Q320" s="66" t="s">
        <v>188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2">
        <f>AVERAGE(1.26,1.25,1.23,1.34)</f>
        <v>1.27</v>
      </c>
      <c r="L321" s="82">
        <f t="shared" si="1"/>
        <v>3.23</v>
      </c>
      <c r="M321" s="83">
        <v>44655.0</v>
      </c>
      <c r="N321" s="84" t="s">
        <v>187</v>
      </c>
      <c r="P321" s="66">
        <v>41.012</v>
      </c>
    </row>
    <row r="322">
      <c r="A322" s="66" t="s">
        <v>183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f t="shared" si="1"/>
        <v>0.5</v>
      </c>
      <c r="M322" s="83">
        <v>44655.0</v>
      </c>
      <c r="N322" s="84" t="s">
        <v>187</v>
      </c>
      <c r="P322" s="66">
        <v>11.096</v>
      </c>
    </row>
    <row r="323">
      <c r="A323" s="66" t="s">
        <v>183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2">
        <f>AVERAGE(1.04,1.1,0.94,0.97)</f>
        <v>1.0125</v>
      </c>
      <c r="L323" s="82">
        <f t="shared" si="1"/>
        <v>1.22</v>
      </c>
      <c r="M323" s="83">
        <v>44655.0</v>
      </c>
      <c r="N323" s="84" t="s">
        <v>187</v>
      </c>
      <c r="P323" s="66">
        <v>7.618</v>
      </c>
    </row>
    <row r="324">
      <c r="A324" s="66" t="s">
        <v>183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2">
        <f>AVERAGE(0.8,0.76,0.92,0.72)</f>
        <v>0.8</v>
      </c>
      <c r="L324" s="82">
        <f t="shared" si="1"/>
        <v>1.55</v>
      </c>
      <c r="M324" s="83">
        <v>44655.0</v>
      </c>
      <c r="N324" s="84" t="s">
        <v>187</v>
      </c>
      <c r="P324" s="66">
        <v>21.446</v>
      </c>
    </row>
    <row r="325">
      <c r="A325" s="66" t="s">
        <v>183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2">
        <f>AVERAGE(1.21,1.32,1.27,1.51)</f>
        <v>1.3275</v>
      </c>
      <c r="L325" s="82">
        <f t="shared" si="1"/>
        <v>3.06</v>
      </c>
      <c r="M325" s="83">
        <v>44655.0</v>
      </c>
      <c r="N325" s="84" t="s">
        <v>187</v>
      </c>
      <c r="P325" s="66">
        <v>39.497</v>
      </c>
    </row>
    <row r="326">
      <c r="A326" s="66" t="s">
        <v>183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2">
        <f>AVERAGE(0.81,0.76,0.71,0.92)</f>
        <v>0.8</v>
      </c>
      <c r="L326" s="82">
        <f t="shared" si="1"/>
        <v>1.08</v>
      </c>
      <c r="M326" s="83">
        <v>44655.0</v>
      </c>
      <c r="N326" s="84" t="s">
        <v>187</v>
      </c>
      <c r="P326" s="66">
        <v>19.54</v>
      </c>
    </row>
    <row r="327">
      <c r="A327" s="66" t="s">
        <v>183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2">
        <f>AVERAGE(0.91,0.91,1.06,1.11)</f>
        <v>0.9975</v>
      </c>
      <c r="L327" s="82">
        <f t="shared" si="1"/>
        <v>2.65</v>
      </c>
      <c r="M327" s="83">
        <v>44655.0</v>
      </c>
      <c r="N327" s="84" t="s">
        <v>187</v>
      </c>
      <c r="P327" s="66">
        <v>12.873</v>
      </c>
    </row>
    <row r="328">
      <c r="A328" s="66" t="s">
        <v>183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2">
        <f>AVERAGE(1.14,1.09,1,0.98)</f>
        <v>1.0525</v>
      </c>
      <c r="L328" s="82">
        <f t="shared" si="1"/>
        <v>2.39</v>
      </c>
      <c r="M328" s="83">
        <v>44655.0</v>
      </c>
      <c r="N328" s="84" t="s">
        <v>187</v>
      </c>
      <c r="P328" s="66">
        <v>20.749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2">
        <f>AVERAGE(1.48,1.52,1.49,1.54)</f>
        <v>1.5075</v>
      </c>
      <c r="L329" s="82">
        <f t="shared" si="1"/>
        <v>3.69</v>
      </c>
      <c r="M329" s="83">
        <v>44655.0</v>
      </c>
      <c r="N329" s="84" t="s">
        <v>187</v>
      </c>
      <c r="P329" s="66">
        <v>35.834</v>
      </c>
    </row>
    <row r="330">
      <c r="A330" s="66" t="s">
        <v>183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2">
        <f>AVERAGE(1.23,1.17,1.21,1.22)</f>
        <v>1.2075</v>
      </c>
      <c r="L330" s="82">
        <f t="shared" si="1"/>
        <v>2.53</v>
      </c>
      <c r="M330" s="83">
        <v>44655.0</v>
      </c>
      <c r="N330" s="84" t="s">
        <v>187</v>
      </c>
      <c r="P330" s="66">
        <v>28.767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185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2">
        <f>AVERAGE(1.44,1.13,1.33,1.34)</f>
        <v>1.31</v>
      </c>
      <c r="L331" s="82">
        <f t="shared" si="1"/>
        <v>5.63</v>
      </c>
      <c r="M331" s="83">
        <v>44655.0</v>
      </c>
      <c r="N331" s="84" t="s">
        <v>187</v>
      </c>
      <c r="P331" s="66">
        <v>41.591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2">
        <f>AVERAGE(1.02,1.05,1.04,1.15)</f>
        <v>1.065</v>
      </c>
      <c r="L332" s="82">
        <f t="shared" si="1"/>
        <v>2.4</v>
      </c>
      <c r="M332" s="83">
        <v>44655.0</v>
      </c>
      <c r="N332" s="84" t="s">
        <v>187</v>
      </c>
      <c r="P332" s="66">
        <v>38.428</v>
      </c>
    </row>
    <row r="333">
      <c r="A333" s="66" t="s">
        <v>183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2">
        <f>AVERAGE(0.9,1.01,1.07,0.91)</f>
        <v>0.9725</v>
      </c>
      <c r="L333" s="82">
        <f t="shared" si="1"/>
        <v>1.43</v>
      </c>
      <c r="M333" s="83">
        <v>44655.0</v>
      </c>
      <c r="N333" s="84" t="s">
        <v>187</v>
      </c>
      <c r="P333" s="66">
        <v>29.338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2">
        <f>AVERAGE(1.91,1.77,1.98,1.83)</f>
        <v>1.8725</v>
      </c>
      <c r="L334" s="82">
        <f t="shared" si="1"/>
        <v>5.04</v>
      </c>
      <c r="M334" s="83">
        <v>44655.0</v>
      </c>
      <c r="N334" s="84" t="s">
        <v>187</v>
      </c>
      <c r="P334" s="66">
        <v>23.415</v>
      </c>
    </row>
    <row r="335">
      <c r="A335" s="66" t="s">
        <v>183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2">
        <f>AVERAGE(0.84,0.81,0.73,0.8)</f>
        <v>0.795</v>
      </c>
      <c r="L335" s="82">
        <f t="shared" si="1"/>
        <v>1.29</v>
      </c>
      <c r="M335" s="83">
        <v>44655.0</v>
      </c>
      <c r="N335" s="84" t="s">
        <v>187</v>
      </c>
      <c r="P335" s="66">
        <v>16.26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f t="shared" si="1"/>
        <v>0.55</v>
      </c>
      <c r="M336" s="83">
        <v>44655.0</v>
      </c>
      <c r="N336" s="84" t="s">
        <v>187</v>
      </c>
      <c r="P336" s="66">
        <v>3.259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2">
        <f>AVERAGE(0.62,0.59,0.62,0.53)</f>
        <v>0.59</v>
      </c>
      <c r="L337" s="82">
        <f t="shared" si="1"/>
        <v>1.73</v>
      </c>
      <c r="M337" s="83">
        <v>44655.0</v>
      </c>
      <c r="N337" s="84" t="s">
        <v>187</v>
      </c>
      <c r="P337" s="66">
        <v>5.966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2">
        <f>AVERAGE(2.22,2.32,2.15,2.12)</f>
        <v>2.2025</v>
      </c>
      <c r="L338" s="82">
        <f t="shared" si="1"/>
        <v>6.83</v>
      </c>
      <c r="M338" s="83">
        <v>44655.0</v>
      </c>
      <c r="N338" s="84" t="s">
        <v>187</v>
      </c>
      <c r="P338" s="66">
        <v>80.554</v>
      </c>
    </row>
    <row r="339">
      <c r="A339" s="66" t="s">
        <v>183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2">
        <f>AVERAGE(1.08,1.11,1.06,1.03)</f>
        <v>1.07</v>
      </c>
      <c r="L339" s="82">
        <f t="shared" si="1"/>
        <v>1.79</v>
      </c>
      <c r="M339" s="83">
        <v>44655.0</v>
      </c>
      <c r="N339" s="84" t="s">
        <v>187</v>
      </c>
      <c r="P339" s="66">
        <v>23.28</v>
      </c>
    </row>
    <row r="340">
      <c r="A340" s="66" t="s">
        <v>183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2">
        <f>AVERAGE(1.53,1.57,1.55,1.58)</f>
        <v>1.5575</v>
      </c>
      <c r="L340" s="82">
        <f t="shared" si="1"/>
        <v>5.25</v>
      </c>
      <c r="M340" s="83">
        <v>44655.0</v>
      </c>
      <c r="N340" s="84" t="s">
        <v>187</v>
      </c>
      <c r="P340" s="66">
        <v>31.683</v>
      </c>
    </row>
    <row r="341">
      <c r="A341" s="66" t="s">
        <v>183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2">
        <f>AVERAGE(1.14,1.12,1.09,1.02)</f>
        <v>1.0925</v>
      </c>
      <c r="L341" s="82">
        <f t="shared" si="1"/>
        <v>0.81</v>
      </c>
      <c r="M341" s="83">
        <v>44655.0</v>
      </c>
      <c r="N341" s="84" t="s">
        <v>187</v>
      </c>
      <c r="P341" s="66">
        <v>24.584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2">
        <f>AVERAGE(2.05,1.96,1.78,1.81)</f>
        <v>1.9</v>
      </c>
      <c r="L342" s="82">
        <f t="shared" si="1"/>
        <v>8.26</v>
      </c>
      <c r="M342" s="83">
        <v>44655.0</v>
      </c>
      <c r="N342" s="84" t="s">
        <v>187</v>
      </c>
      <c r="P342" s="66">
        <v>65.971</v>
      </c>
    </row>
    <row r="343">
      <c r="A343" s="66" t="s">
        <v>183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2">
        <f>AVERAGE(0.96,1.09,1.04,0.88)</f>
        <v>0.9925</v>
      </c>
      <c r="L343" s="82">
        <f t="shared" si="1"/>
        <v>1.93</v>
      </c>
      <c r="M343" s="83">
        <v>44655.0</v>
      </c>
      <c r="N343" s="84" t="s">
        <v>187</v>
      </c>
      <c r="P343" s="66">
        <v>17.952</v>
      </c>
    </row>
    <row r="344">
      <c r="A344" s="66" t="s">
        <v>183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2">
        <f>AVERAGE(1.27,1.09,1.14,1.16)</f>
        <v>1.165</v>
      </c>
      <c r="L344" s="82">
        <f t="shared" si="1"/>
        <v>2.33</v>
      </c>
      <c r="M344" s="83">
        <v>44655.0</v>
      </c>
      <c r="N344" s="84" t="s">
        <v>187</v>
      </c>
      <c r="P344" s="66">
        <v>26.276</v>
      </c>
    </row>
    <row r="345">
      <c r="A345" s="66" t="s">
        <v>183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2">
        <f>AVERAGE(1.38,1.37,1.35,1.39)</f>
        <v>1.3725</v>
      </c>
      <c r="L345" s="82">
        <f t="shared" si="1"/>
        <v>2.35</v>
      </c>
      <c r="M345" s="83">
        <v>44655.0</v>
      </c>
      <c r="N345" s="84" t="s">
        <v>187</v>
      </c>
      <c r="P345" s="66">
        <v>39.022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2">
        <f>AVERAGE(1.39,1.45,1.39,1.49)</f>
        <v>1.43</v>
      </c>
      <c r="L346" s="82">
        <f t="shared" si="1"/>
        <v>5.66</v>
      </c>
      <c r="M346" s="83">
        <v>44655.0</v>
      </c>
      <c r="N346" s="84" t="s">
        <v>187</v>
      </c>
      <c r="P346" s="66">
        <v>2.809</v>
      </c>
    </row>
    <row r="347">
      <c r="A347" s="66" t="s">
        <v>183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2">
        <f>AVERAGE(1.11,1.25,1.27,1.18)</f>
        <v>1.2025</v>
      </c>
      <c r="L347" s="82">
        <f t="shared" si="1"/>
        <v>2.83</v>
      </c>
      <c r="M347" s="83">
        <v>44655.0</v>
      </c>
      <c r="N347" s="84" t="s">
        <v>187</v>
      </c>
      <c r="P347" s="66">
        <v>9.472</v>
      </c>
    </row>
    <row r="348">
      <c r="A348" s="66" t="s">
        <v>183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2">
        <f>AVERAGE(1.17,1.03,1.11,1)</f>
        <v>1.0775</v>
      </c>
      <c r="L348" s="82">
        <f t="shared" si="1"/>
        <v>1.35</v>
      </c>
      <c r="M348" s="83">
        <v>44655.0</v>
      </c>
      <c r="N348" s="84" t="s">
        <v>187</v>
      </c>
      <c r="P348" s="66">
        <v>32.333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2">
        <f>AVERAGE(1.74,1.68,1.69,1.55)</f>
        <v>1.665</v>
      </c>
      <c r="L349" s="82">
        <f t="shared" si="1"/>
        <v>5.43</v>
      </c>
      <c r="M349" s="83">
        <v>44655.0</v>
      </c>
      <c r="N349" s="84" t="s">
        <v>187</v>
      </c>
      <c r="P349" s="66">
        <v>15.789</v>
      </c>
    </row>
    <row r="350">
      <c r="A350" s="66" t="s">
        <v>183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2">
        <f>AVERAGE(0.93,0.84,0.78,0.84)</f>
        <v>0.8475</v>
      </c>
      <c r="L350" s="82">
        <f t="shared" si="1"/>
        <v>1.1</v>
      </c>
      <c r="M350" s="83">
        <v>44655.0</v>
      </c>
      <c r="N350" s="84" t="s">
        <v>187</v>
      </c>
      <c r="P350" s="66">
        <v>15.678</v>
      </c>
    </row>
    <row r="351">
      <c r="A351" s="66" t="s">
        <v>183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f t="shared" si="1"/>
        <v>1.34</v>
      </c>
      <c r="M351" s="83">
        <v>44655.0</v>
      </c>
      <c r="N351" s="84" t="s">
        <v>187</v>
      </c>
      <c r="P351" s="66">
        <v>15.746</v>
      </c>
    </row>
    <row r="352">
      <c r="A352" s="66" t="s">
        <v>183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f t="shared" si="1"/>
        <v>0.81</v>
      </c>
      <c r="M352" s="83">
        <v>44655.0</v>
      </c>
      <c r="N352" s="84" t="s">
        <v>187</v>
      </c>
      <c r="P352" s="66">
        <v>14.816</v>
      </c>
    </row>
    <row r="353">
      <c r="A353" s="66" t="s">
        <v>183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2">
        <f>AVERAGE(1.35,1.32,1.27,1.39)</f>
        <v>1.3325</v>
      </c>
      <c r="L353" s="82">
        <f t="shared" si="1"/>
        <v>1.72</v>
      </c>
      <c r="M353" s="83">
        <v>44655.0</v>
      </c>
      <c r="N353" s="84" t="s">
        <v>187</v>
      </c>
      <c r="P353" s="66">
        <v>37.132</v>
      </c>
    </row>
    <row r="354">
      <c r="A354" s="66" t="s">
        <v>183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f t="shared" si="1"/>
        <v>0.43</v>
      </c>
      <c r="M354" s="83">
        <v>44655.0</v>
      </c>
      <c r="N354" s="84" t="s">
        <v>187</v>
      </c>
      <c r="P354" s="66">
        <v>9.212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2">
        <f>AVERAGE(1.35,1.45,1.61,1.43)</f>
        <v>1.46</v>
      </c>
      <c r="L355" s="82">
        <f t="shared" si="1"/>
        <v>3.41</v>
      </c>
      <c r="M355" s="83">
        <v>44655.0</v>
      </c>
      <c r="N355" s="84" t="s">
        <v>187</v>
      </c>
      <c r="P355" s="66">
        <v>27.39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f t="shared" si="1"/>
        <v>1.54</v>
      </c>
      <c r="M356" s="83">
        <v>44655.0</v>
      </c>
      <c r="N356" s="84" t="s">
        <v>187</v>
      </c>
      <c r="P356" s="66" t="s">
        <v>58</v>
      </c>
      <c r="Q356" s="66" t="s">
        <v>189</v>
      </c>
    </row>
    <row r="357">
      <c r="A357" s="66" t="s">
        <v>183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2">
        <f>AVERAGE(1.07,1.18,0.97,0.94)</f>
        <v>1.04</v>
      </c>
      <c r="L357" s="82">
        <f t="shared" si="1"/>
        <v>2.58</v>
      </c>
      <c r="M357" s="83">
        <v>44655.0</v>
      </c>
      <c r="N357" s="84" t="s">
        <v>187</v>
      </c>
      <c r="P357" s="66">
        <v>20.632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2">
        <f>AVERAGE(1.77,1.65,1.51,1.76)</f>
        <v>1.6725</v>
      </c>
      <c r="L358" s="82">
        <f t="shared" si="1"/>
        <v>6.25</v>
      </c>
      <c r="M358" s="83">
        <v>44655.0</v>
      </c>
      <c r="N358" s="84" t="s">
        <v>187</v>
      </c>
      <c r="P358" s="66">
        <v>34.512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2">
        <f>AVERAGE(1.24,1.23,1.22,1.23)</f>
        <v>1.23</v>
      </c>
      <c r="L359" s="82">
        <f t="shared" si="1"/>
        <v>3.96</v>
      </c>
      <c r="M359" s="83">
        <v>44655.0</v>
      </c>
      <c r="N359" s="84" t="s">
        <v>187</v>
      </c>
      <c r="P359" s="66">
        <v>96.898</v>
      </c>
    </row>
    <row r="360">
      <c r="A360" s="66" t="s">
        <v>183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2">
        <f>AVERAGE(1.16,1.44,1.33,1.21)</f>
        <v>1.285</v>
      </c>
      <c r="L360" s="82">
        <f t="shared" si="1"/>
        <v>3.07</v>
      </c>
      <c r="M360" s="83">
        <v>44655.0</v>
      </c>
      <c r="N360" s="84" t="s">
        <v>187</v>
      </c>
      <c r="P360" s="66">
        <v>20.86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2">
        <f>AVERAGE(1.03,1.3,1.25,1.37)</f>
        <v>1.2375</v>
      </c>
      <c r="L361" s="82">
        <f t="shared" si="1"/>
        <v>3.17</v>
      </c>
      <c r="M361" s="83">
        <v>44655.0</v>
      </c>
      <c r="N361" s="84" t="s">
        <v>187</v>
      </c>
      <c r="P361" s="66">
        <v>10.728</v>
      </c>
    </row>
    <row r="362">
      <c r="A362" s="66" t="s">
        <v>183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f t="shared" si="1"/>
        <v>0.58</v>
      </c>
      <c r="M362" s="83">
        <v>44655.0</v>
      </c>
      <c r="N362" s="84" t="s">
        <v>187</v>
      </c>
      <c r="P362" s="66">
        <v>8.723</v>
      </c>
    </row>
    <row r="363">
      <c r="A363" s="66" t="s">
        <v>183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2">
        <f>AVERAGE(0.72,0.73,0.82,0.88)</f>
        <v>0.7875</v>
      </c>
      <c r="L363" s="82">
        <f t="shared" si="1"/>
        <v>1.08</v>
      </c>
      <c r="M363" s="83">
        <v>44655.0</v>
      </c>
      <c r="N363" s="84" t="s">
        <v>187</v>
      </c>
      <c r="P363" s="66">
        <v>8.508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2">
        <f>AVERAGE(1.61,1.61,1.61,1.54)</f>
        <v>1.5925</v>
      </c>
      <c r="L364" s="82">
        <f t="shared" si="1"/>
        <v>6.8</v>
      </c>
      <c r="M364" s="83">
        <v>44655.0</v>
      </c>
      <c r="N364" s="84" t="s">
        <v>187</v>
      </c>
      <c r="P364" s="66">
        <v>24.616</v>
      </c>
    </row>
    <row r="365">
      <c r="A365" s="66" t="s">
        <v>183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2">
        <f>AVERAGE(1.27,1.19,1.22,1.19)</f>
        <v>1.2175</v>
      </c>
      <c r="L365" s="82">
        <f t="shared" si="1"/>
        <v>3.34</v>
      </c>
      <c r="M365" s="83">
        <v>44655.0</v>
      </c>
      <c r="N365" s="84" t="s">
        <v>187</v>
      </c>
      <c r="P365" s="66">
        <v>29.371</v>
      </c>
    </row>
    <row r="366">
      <c r="A366" s="66" t="s">
        <v>183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2">
        <f>AVERAGE(0.88,1.03,1.01,0.88)</f>
        <v>0.95</v>
      </c>
      <c r="L366" s="82">
        <f t="shared" si="1"/>
        <v>2.64</v>
      </c>
      <c r="M366" s="83">
        <v>44655.0</v>
      </c>
      <c r="N366" s="84" t="s">
        <v>187</v>
      </c>
      <c r="P366" s="66">
        <v>26.138</v>
      </c>
    </row>
    <row r="367">
      <c r="A367" s="66" t="s">
        <v>183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2">
        <f>AVERAGE(1.04,1.07,0.98,1.1)</f>
        <v>1.0475</v>
      </c>
      <c r="L367" s="82">
        <f t="shared" si="1"/>
        <v>1.8</v>
      </c>
      <c r="M367" s="83">
        <v>44655.0</v>
      </c>
      <c r="N367" s="84" t="s">
        <v>187</v>
      </c>
      <c r="P367" s="66">
        <v>14.228</v>
      </c>
    </row>
    <row r="368">
      <c r="A368" s="66" t="s">
        <v>183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2">
        <f>AVERAGE(0.83,0.65,0.79,0.64)</f>
        <v>0.7275</v>
      </c>
      <c r="L368" s="82">
        <f t="shared" si="1"/>
        <v>1.6</v>
      </c>
      <c r="M368" s="83">
        <v>44655.0</v>
      </c>
      <c r="N368" s="84" t="s">
        <v>187</v>
      </c>
      <c r="P368" s="66">
        <v>16.289</v>
      </c>
    </row>
    <row r="369">
      <c r="A369" s="66" t="s">
        <v>183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2">
        <f>AVERAGE(1.01,0.94,0.91,0.89)</f>
        <v>0.9375</v>
      </c>
      <c r="L369" s="82">
        <f t="shared" si="1"/>
        <v>2.26</v>
      </c>
      <c r="M369" s="83">
        <v>44655.0</v>
      </c>
      <c r="N369" s="84" t="s">
        <v>187</v>
      </c>
      <c r="P369" s="66">
        <v>17.754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2">
        <f>AVERAGE(0.67,0.66,0.61,0.58)</f>
        <v>0.63</v>
      </c>
      <c r="L370" s="82">
        <f t="shared" si="1"/>
        <v>1.07</v>
      </c>
      <c r="M370" s="83">
        <v>44655.0</v>
      </c>
      <c r="N370" s="84" t="s">
        <v>187</v>
      </c>
      <c r="P370" s="66">
        <v>10.193</v>
      </c>
    </row>
    <row r="371">
      <c r="A371" s="66" t="s">
        <v>183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2">
        <f>AVERAGE(1.05,0.99,1.07,1.1)</f>
        <v>1.0525</v>
      </c>
      <c r="L371" s="82">
        <f t="shared" si="1"/>
        <v>6.03</v>
      </c>
      <c r="M371" s="83">
        <v>44655.0</v>
      </c>
      <c r="N371" s="84" t="s">
        <v>187</v>
      </c>
      <c r="P371" s="66">
        <v>13.868</v>
      </c>
    </row>
    <row r="372">
      <c r="A372" s="66" t="s">
        <v>183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2">
        <f>AVERAGE(0.94,1.01,1.09,1.07)</f>
        <v>1.0275</v>
      </c>
      <c r="L372" s="82">
        <f t="shared" si="1"/>
        <v>2.29</v>
      </c>
      <c r="M372" s="83">
        <v>44655.0</v>
      </c>
      <c r="N372" s="84" t="s">
        <v>187</v>
      </c>
      <c r="P372" s="66">
        <v>29.85</v>
      </c>
    </row>
    <row r="373">
      <c r="A373" s="66" t="s">
        <v>183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2">
        <f>AVERAGE(0.88,1.07,0.88,0.96)</f>
        <v>0.9475</v>
      </c>
      <c r="L373" s="82">
        <f t="shared" si="1"/>
        <v>1.9</v>
      </c>
      <c r="M373" s="83">
        <v>44655.0</v>
      </c>
      <c r="N373" s="84" t="s">
        <v>187</v>
      </c>
      <c r="P373" s="66">
        <v>19.35</v>
      </c>
    </row>
    <row r="374">
      <c r="A374" s="66" t="s">
        <v>183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f t="shared" si="1"/>
        <v>0.84</v>
      </c>
      <c r="M374" s="83">
        <v>44655.0</v>
      </c>
      <c r="N374" s="84" t="s">
        <v>187</v>
      </c>
      <c r="P374" s="66">
        <v>18.417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f t="shared" si="1"/>
        <v>0.67</v>
      </c>
      <c r="M375" s="83">
        <v>44655.0</v>
      </c>
      <c r="N375" s="84" t="s">
        <v>187</v>
      </c>
      <c r="P375" s="66">
        <v>5.288</v>
      </c>
    </row>
    <row r="376">
      <c r="A376" s="66" t="s">
        <v>183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f t="shared" si="1"/>
        <v>1.45</v>
      </c>
      <c r="M376" s="83">
        <v>44655.0</v>
      </c>
      <c r="N376" s="84" t="s">
        <v>187</v>
      </c>
      <c r="P376" s="66">
        <v>36.6</v>
      </c>
    </row>
    <row r="377">
      <c r="A377" s="66" t="s">
        <v>183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2">
        <f>AVERAGE(1.33,1.15,1.07,1.3)</f>
        <v>1.2125</v>
      </c>
      <c r="L377" s="82">
        <f t="shared" si="1"/>
        <v>5.98</v>
      </c>
      <c r="M377" s="83">
        <v>44655.0</v>
      </c>
      <c r="N377" s="84" t="s">
        <v>187</v>
      </c>
      <c r="P377" s="66">
        <v>23.943</v>
      </c>
    </row>
    <row r="378">
      <c r="A378" s="66" t="s">
        <v>183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2">
        <f>AVERAGE(1.24,1.09,1.05,1.11)</f>
        <v>1.1225</v>
      </c>
      <c r="L378" s="82">
        <f t="shared" si="1"/>
        <v>1.35</v>
      </c>
      <c r="M378" s="83">
        <v>44655.0</v>
      </c>
      <c r="N378" s="84" t="s">
        <v>187</v>
      </c>
      <c r="P378" s="66">
        <v>31.236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2">
        <f>average(0.84,0.89,0.76,0.81)</f>
        <v>0.825</v>
      </c>
      <c r="L379" s="82">
        <f t="shared" si="1"/>
        <v>2.55</v>
      </c>
      <c r="M379" s="83">
        <v>44655.0</v>
      </c>
      <c r="N379" s="84" t="s">
        <v>187</v>
      </c>
      <c r="P379" s="66">
        <v>29.72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f t="shared" si="1"/>
        <v>6.45</v>
      </c>
      <c r="M380" s="83">
        <v>44676.0</v>
      </c>
      <c r="N380" s="84" t="s">
        <v>187</v>
      </c>
    </row>
    <row r="381">
      <c r="A381" s="66" t="s">
        <v>183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f t="shared" si="1"/>
        <v>0.91</v>
      </c>
      <c r="M381" s="83">
        <v>44676.0</v>
      </c>
      <c r="N381" s="84" t="s">
        <v>187</v>
      </c>
    </row>
    <row r="382">
      <c r="A382" s="66" t="s">
        <v>183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f t="shared" si="1"/>
        <v>1.01</v>
      </c>
      <c r="M382" s="83">
        <v>44676.0</v>
      </c>
      <c r="N382" s="84" t="s">
        <v>187</v>
      </c>
    </row>
    <row r="383">
      <c r="A383" s="66" t="s">
        <v>183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f t="shared" si="1"/>
        <v>0.81</v>
      </c>
      <c r="M383" s="83">
        <v>44676.0</v>
      </c>
      <c r="N383" s="84" t="s">
        <v>187</v>
      </c>
    </row>
    <row r="384">
      <c r="A384" s="66" t="s">
        <v>183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f t="shared" si="1"/>
        <v>0.93</v>
      </c>
      <c r="M384" s="83">
        <v>44676.0</v>
      </c>
      <c r="N384" s="84" t="s">
        <v>187</v>
      </c>
    </row>
    <row r="385">
      <c r="A385" s="66" t="s">
        <v>183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f t="shared" si="1"/>
        <v>2.39</v>
      </c>
      <c r="M385" s="83">
        <v>44676.0</v>
      </c>
      <c r="N385" s="84" t="s">
        <v>187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f t="shared" si="1"/>
        <v>6.66</v>
      </c>
      <c r="M386" s="83">
        <v>44676.0</v>
      </c>
      <c r="N386" s="84" t="s">
        <v>187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f t="shared" si="1"/>
        <v>7.27</v>
      </c>
      <c r="M387" s="83">
        <v>44676.0</v>
      </c>
      <c r="N387" s="84" t="s">
        <v>187</v>
      </c>
    </row>
    <row r="388">
      <c r="A388" s="66" t="s">
        <v>183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f t="shared" si="1"/>
        <v>1.35</v>
      </c>
      <c r="M388" s="83">
        <v>44676.0</v>
      </c>
      <c r="N388" s="84" t="s">
        <v>187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f t="shared" si="1"/>
        <v>2.23</v>
      </c>
      <c r="M389" s="83">
        <v>44676.0</v>
      </c>
      <c r="N389" s="84" t="s">
        <v>187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f t="shared" si="1"/>
        <v>2.07</v>
      </c>
      <c r="M390" s="83">
        <v>44676.0</v>
      </c>
      <c r="N390" s="84" t="s">
        <v>187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f t="shared" si="1"/>
        <v>7.35</v>
      </c>
      <c r="M391" s="83">
        <v>44676.0</v>
      </c>
      <c r="N391" s="84" t="s">
        <v>187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f t="shared" si="1"/>
        <v>5.72</v>
      </c>
      <c r="M392" s="83">
        <v>44676.0</v>
      </c>
      <c r="N392" s="84" t="s">
        <v>187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f t="shared" si="1"/>
        <v>4.66</v>
      </c>
      <c r="M393" s="83">
        <v>44676.0</v>
      </c>
      <c r="N393" s="84" t="s">
        <v>187</v>
      </c>
    </row>
    <row r="394">
      <c r="A394" s="66" t="s">
        <v>183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f t="shared" si="1"/>
        <v>0.89</v>
      </c>
      <c r="M394" s="83">
        <v>44676.0</v>
      </c>
      <c r="N394" s="84" t="s">
        <v>187</v>
      </c>
    </row>
    <row r="395">
      <c r="A395" s="66" t="s">
        <v>183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f t="shared" si="1"/>
        <v>1</v>
      </c>
      <c r="M395" s="83">
        <v>44676.0</v>
      </c>
      <c r="N395" s="84" t="s">
        <v>187</v>
      </c>
    </row>
    <row r="396">
      <c r="A396" s="66" t="s">
        <v>183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f t="shared" si="1"/>
        <v>1.98</v>
      </c>
      <c r="M396" s="83">
        <v>44676.0</v>
      </c>
      <c r="N396" s="84" t="s">
        <v>187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f t="shared" si="1"/>
        <v>5.18</v>
      </c>
      <c r="M397" s="83">
        <v>44676.0</v>
      </c>
      <c r="N397" s="84" t="s">
        <v>187</v>
      </c>
    </row>
    <row r="398">
      <c r="A398" s="66" t="s">
        <v>183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f t="shared" si="1"/>
        <v>1.37</v>
      </c>
      <c r="M398" s="83">
        <v>44676.0</v>
      </c>
      <c r="N398" s="84" t="s">
        <v>187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f t="shared" si="1"/>
        <v>2.94</v>
      </c>
      <c r="M399" s="83">
        <v>44676.0</v>
      </c>
      <c r="N399" s="84" t="s">
        <v>187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f t="shared" si="1"/>
        <v>1.11</v>
      </c>
      <c r="M400" s="83">
        <v>44676.0</v>
      </c>
      <c r="N400" s="84" t="s">
        <v>187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f t="shared" si="1"/>
        <v>2.06</v>
      </c>
      <c r="M401" s="83">
        <v>44676.0</v>
      </c>
      <c r="N401" s="84" t="s">
        <v>187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f t="shared" si="1"/>
        <v>5.89</v>
      </c>
      <c r="M402" s="83">
        <v>44676.0</v>
      </c>
      <c r="N402" s="84" t="s">
        <v>187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f t="shared" si="1"/>
        <v>6.4</v>
      </c>
      <c r="M403" s="83">
        <v>44676.0</v>
      </c>
      <c r="N403" s="84" t="s">
        <v>187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f t="shared" si="1"/>
        <v>2.2</v>
      </c>
      <c r="M404" s="83">
        <v>44676.0</v>
      </c>
      <c r="N404" s="84" t="s">
        <v>187</v>
      </c>
    </row>
    <row r="405">
      <c r="A405" s="66" t="s">
        <v>183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f t="shared" si="1"/>
        <v>2.05</v>
      </c>
      <c r="M405" s="83">
        <v>44676.0</v>
      </c>
      <c r="N405" s="84" t="s">
        <v>187</v>
      </c>
    </row>
    <row r="406">
      <c r="A406" s="66" t="s">
        <v>183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f t="shared" si="1"/>
        <v>1.04</v>
      </c>
      <c r="M406" s="83">
        <v>44676.0</v>
      </c>
      <c r="N406" s="84" t="s">
        <v>187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f t="shared" si="1"/>
        <v>4.81</v>
      </c>
      <c r="M407" s="83">
        <v>44676.0</v>
      </c>
      <c r="N407" s="84" t="s">
        <v>187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f t="shared" si="1"/>
        <v>5.32</v>
      </c>
      <c r="M408" s="83">
        <v>44676.0</v>
      </c>
      <c r="N408" s="84" t="s">
        <v>187</v>
      </c>
    </row>
    <row r="409">
      <c r="A409" s="66" t="s">
        <v>183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f t="shared" si="1"/>
        <v>1.19</v>
      </c>
      <c r="M409" s="83">
        <v>44676.0</v>
      </c>
      <c r="N409" s="84" t="s">
        <v>187</v>
      </c>
    </row>
    <row r="410">
      <c r="A410" s="66" t="s">
        <v>183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f t="shared" si="1"/>
        <v>1.5</v>
      </c>
      <c r="M410" s="83">
        <v>44676.0</v>
      </c>
      <c r="N410" s="84" t="s">
        <v>187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f t="shared" si="1"/>
        <v>4.45</v>
      </c>
      <c r="M411" s="83">
        <v>44676.0</v>
      </c>
      <c r="N411" s="84" t="s">
        <v>187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f t="shared" si="1"/>
        <v>2.65</v>
      </c>
      <c r="M412" s="83">
        <v>44676.0</v>
      </c>
      <c r="N412" s="84" t="s">
        <v>187</v>
      </c>
    </row>
    <row r="413">
      <c r="A413" s="66" t="s">
        <v>183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f t="shared" si="1"/>
        <v>1.2</v>
      </c>
      <c r="M413" s="83">
        <v>44676.0</v>
      </c>
      <c r="N413" s="84" t="s">
        <v>187</v>
      </c>
    </row>
    <row r="414">
      <c r="A414" s="66" t="s">
        <v>183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f t="shared" si="1"/>
        <v>1.11</v>
      </c>
      <c r="M414" s="83">
        <v>44676.0</v>
      </c>
      <c r="N414" s="84" t="s">
        <v>187</v>
      </c>
    </row>
    <row r="415">
      <c r="A415" s="66" t="s">
        <v>183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f t="shared" si="1"/>
        <v>1.47</v>
      </c>
      <c r="M415" s="83">
        <v>44676.0</v>
      </c>
      <c r="N415" s="84" t="s">
        <v>187</v>
      </c>
    </row>
    <row r="416">
      <c r="A416" s="66" t="s">
        <v>183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f t="shared" si="1"/>
        <v>1.79</v>
      </c>
      <c r="M416" s="83">
        <v>44676.0</v>
      </c>
      <c r="N416" s="84" t="s">
        <v>187</v>
      </c>
    </row>
    <row r="417">
      <c r="A417" s="66" t="s">
        <v>183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f t="shared" si="1"/>
        <v>1.92</v>
      </c>
      <c r="M417" s="83">
        <v>44676.0</v>
      </c>
      <c r="N417" s="84" t="s">
        <v>187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f t="shared" si="1"/>
        <v>5.54</v>
      </c>
      <c r="M418" s="83">
        <v>44676.0</v>
      </c>
      <c r="N418" s="84" t="s">
        <v>187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f t="shared" si="1"/>
        <v>2.03</v>
      </c>
      <c r="M419" s="83">
        <v>44676.0</v>
      </c>
      <c r="N419" s="84" t="s">
        <v>187</v>
      </c>
    </row>
    <row r="420">
      <c r="A420" s="66" t="s">
        <v>183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f t="shared" si="1"/>
        <v>2.22</v>
      </c>
      <c r="M420" s="83">
        <v>44676.0</v>
      </c>
      <c r="N420" s="84" t="s">
        <v>187</v>
      </c>
    </row>
    <row r="421">
      <c r="A421" s="66" t="s">
        <v>183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f t="shared" si="1"/>
        <v>1.92</v>
      </c>
      <c r="M421" s="83">
        <v>44676.0</v>
      </c>
      <c r="N421" s="84" t="s">
        <v>187</v>
      </c>
    </row>
    <row r="422">
      <c r="A422" s="66" t="s">
        <v>183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f t="shared" si="1"/>
        <v>1.11</v>
      </c>
      <c r="M422" s="83">
        <v>44676.0</v>
      </c>
      <c r="N422" s="84" t="s">
        <v>187</v>
      </c>
    </row>
    <row r="423">
      <c r="A423" s="66" t="s">
        <v>183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f t="shared" si="1"/>
        <v>1.61</v>
      </c>
      <c r="M423" s="83">
        <v>44676.0</v>
      </c>
      <c r="N423" s="84" t="s">
        <v>187</v>
      </c>
    </row>
    <row r="424">
      <c r="A424" s="66" t="s">
        <v>183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f t="shared" si="1"/>
        <v>1.16</v>
      </c>
      <c r="M424" s="83">
        <v>44676.0</v>
      </c>
      <c r="N424" s="84" t="s">
        <v>187</v>
      </c>
    </row>
    <row r="425">
      <c r="A425" s="66" t="s">
        <v>183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f t="shared" si="1"/>
        <v>0.71</v>
      </c>
      <c r="M425" s="83">
        <v>44676.0</v>
      </c>
      <c r="N425" s="84" t="s">
        <v>187</v>
      </c>
    </row>
    <row r="426">
      <c r="A426" s="66" t="s">
        <v>183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f t="shared" si="1"/>
        <v>1.04</v>
      </c>
      <c r="M426" s="83">
        <v>44676.0</v>
      </c>
      <c r="N426" s="84" t="s">
        <v>187</v>
      </c>
    </row>
    <row r="427">
      <c r="A427" s="66" t="s">
        <v>183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f t="shared" si="1"/>
        <v>0.7</v>
      </c>
      <c r="M427" s="83">
        <v>44676.0</v>
      </c>
      <c r="N427" s="84" t="s">
        <v>187</v>
      </c>
    </row>
    <row r="428">
      <c r="A428" s="66" t="s">
        <v>183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f t="shared" si="1"/>
        <v>1.23</v>
      </c>
      <c r="M428" s="83">
        <v>44676.0</v>
      </c>
      <c r="N428" s="84" t="s">
        <v>187</v>
      </c>
    </row>
    <row r="429">
      <c r="A429" s="66" t="s">
        <v>183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f t="shared" si="1"/>
        <v>1.54</v>
      </c>
      <c r="M429" s="83">
        <v>44676.0</v>
      </c>
      <c r="N429" s="84" t="s">
        <v>187</v>
      </c>
    </row>
    <row r="430">
      <c r="A430" s="66" t="s">
        <v>183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f t="shared" si="1"/>
        <v>2.02</v>
      </c>
      <c r="M430" s="83">
        <v>44676.0</v>
      </c>
      <c r="N430" s="84" t="s">
        <v>187</v>
      </c>
    </row>
    <row r="431">
      <c r="A431" s="66" t="s">
        <v>183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f t="shared" si="1"/>
        <v>1.67</v>
      </c>
      <c r="M431" s="83">
        <v>44676.0</v>
      </c>
      <c r="N431" s="84" t="s">
        <v>187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f t="shared" si="1"/>
        <v>3.87</v>
      </c>
      <c r="M432" s="83">
        <v>44676.0</v>
      </c>
      <c r="N432" s="84" t="s">
        <v>187</v>
      </c>
    </row>
    <row r="433">
      <c r="A433" s="66" t="s">
        <v>183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f t="shared" si="1"/>
        <v>1.37</v>
      </c>
      <c r="M433" s="83">
        <v>44676.0</v>
      </c>
      <c r="N433" s="84" t="s">
        <v>187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f t="shared" si="1"/>
        <v>4.99</v>
      </c>
      <c r="M434" s="83">
        <v>44676.0</v>
      </c>
      <c r="N434" s="84" t="s">
        <v>187</v>
      </c>
    </row>
    <row r="435">
      <c r="A435" s="66" t="s">
        <v>183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f t="shared" si="1"/>
        <v>0.82</v>
      </c>
      <c r="M435" s="83">
        <v>44676.0</v>
      </c>
      <c r="N435" s="84" t="s">
        <v>187</v>
      </c>
    </row>
    <row r="436">
      <c r="A436" s="66" t="s">
        <v>183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f t="shared" si="1"/>
        <v>0.58</v>
      </c>
      <c r="M436" s="83">
        <v>44676.0</v>
      </c>
      <c r="N436" s="84" t="s">
        <v>187</v>
      </c>
    </row>
    <row r="437">
      <c r="A437" s="66" t="s">
        <v>183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f t="shared" si="1"/>
        <v>1</v>
      </c>
      <c r="M437" s="83">
        <v>44676.0</v>
      </c>
      <c r="N437" s="84" t="s">
        <v>187</v>
      </c>
    </row>
    <row r="438">
      <c r="A438" s="66" t="s">
        <v>183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f t="shared" si="1"/>
        <v>1.86</v>
      </c>
      <c r="M438" s="83">
        <v>44676.0</v>
      </c>
      <c r="N438" s="84" t="s">
        <v>187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f t="shared" si="1"/>
        <v>6.32</v>
      </c>
      <c r="M439" s="83">
        <v>44676.0</v>
      </c>
      <c r="N439" s="84" t="s">
        <v>187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f t="shared" si="1"/>
        <v>4.98</v>
      </c>
      <c r="M440" s="83">
        <v>44676.0</v>
      </c>
      <c r="N440" s="84" t="s">
        <v>187</v>
      </c>
    </row>
    <row r="441">
      <c r="A441" s="66" t="s">
        <v>183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f t="shared" si="1"/>
        <v>1.56</v>
      </c>
      <c r="M441" s="83">
        <v>44676.0</v>
      </c>
      <c r="N441" s="84" t="s">
        <v>187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f t="shared" si="1"/>
        <v>5.27</v>
      </c>
      <c r="M442" s="83">
        <v>44676.0</v>
      </c>
      <c r="N442" s="84" t="s">
        <v>187</v>
      </c>
    </row>
    <row r="443">
      <c r="A443" s="66" t="s">
        <v>183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f t="shared" si="1"/>
        <v>2.54</v>
      </c>
      <c r="M443" s="83">
        <v>44676.0</v>
      </c>
      <c r="N443" s="84" t="s">
        <v>187</v>
      </c>
    </row>
    <row r="444">
      <c r="A444" s="66" t="s">
        <v>183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f t="shared" si="1"/>
        <v>1.78</v>
      </c>
      <c r="M444" s="83">
        <v>44676.0</v>
      </c>
      <c r="N444" s="84" t="s">
        <v>187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f t="shared" si="1"/>
        <v>2.31</v>
      </c>
      <c r="M445" s="83">
        <v>44676.0</v>
      </c>
      <c r="N445" s="84" t="s">
        <v>187</v>
      </c>
    </row>
    <row r="446">
      <c r="A446" s="66" t="s">
        <v>183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f t="shared" si="1"/>
        <v>1.35</v>
      </c>
      <c r="M446" s="83">
        <v>44676.0</v>
      </c>
      <c r="N446" s="84" t="s">
        <v>187</v>
      </c>
    </row>
    <row r="447">
      <c r="A447" s="66" t="s">
        <v>183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f t="shared" si="1"/>
        <v>1.54</v>
      </c>
      <c r="M447" s="83">
        <v>44676.0</v>
      </c>
      <c r="N447" s="84" t="s">
        <v>187</v>
      </c>
    </row>
    <row r="448">
      <c r="A448" s="66" t="s">
        <v>183</v>
      </c>
      <c r="B448" s="85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f t="shared" si="1"/>
        <v>1.46</v>
      </c>
      <c r="M448" s="83">
        <v>44676.0</v>
      </c>
      <c r="N448" s="84" t="s">
        <v>187</v>
      </c>
    </row>
    <row r="449">
      <c r="A449" s="66" t="s">
        <v>183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f t="shared" si="1"/>
        <v>1.25</v>
      </c>
      <c r="M449" s="83">
        <v>44676.0</v>
      </c>
      <c r="N449" s="84" t="s">
        <v>187</v>
      </c>
    </row>
    <row r="450">
      <c r="A450" s="66" t="s">
        <v>183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f t="shared" si="1"/>
        <v>1.23</v>
      </c>
      <c r="M450" s="83">
        <v>44676.0</v>
      </c>
      <c r="N450" s="84" t="s">
        <v>187</v>
      </c>
    </row>
    <row r="451">
      <c r="A451" s="66" t="s">
        <v>183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f t="shared" si="1"/>
        <v>1.17</v>
      </c>
      <c r="M451" s="83">
        <v>44676.0</v>
      </c>
      <c r="N451" s="84" t="s">
        <v>187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f t="shared" si="1"/>
        <v>2.94</v>
      </c>
      <c r="M452" s="83">
        <v>44676.0</v>
      </c>
      <c r="N452" s="84" t="s">
        <v>187</v>
      </c>
    </row>
    <row r="453">
      <c r="A453" s="66" t="s">
        <v>183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f t="shared" si="1"/>
        <v>0.99</v>
      </c>
      <c r="M453" s="83">
        <v>44676.0</v>
      </c>
      <c r="N453" s="84" t="s">
        <v>187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f t="shared" si="1"/>
        <v>5.38</v>
      </c>
      <c r="M454" s="83">
        <v>44676.0</v>
      </c>
      <c r="N454" s="84" t="s">
        <v>187</v>
      </c>
    </row>
    <row r="455">
      <c r="A455" s="66" t="s">
        <v>183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f t="shared" si="1"/>
        <v>0.89</v>
      </c>
      <c r="M455" s="83">
        <v>44676.0</v>
      </c>
      <c r="N455" s="84" t="s">
        <v>187</v>
      </c>
    </row>
    <row r="456">
      <c r="A456" s="66" t="s">
        <v>183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f t="shared" si="1"/>
        <v>1.09</v>
      </c>
      <c r="M456" s="83">
        <v>44676.0</v>
      </c>
      <c r="N456" s="84" t="s">
        <v>187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f t="shared" si="1"/>
        <v>3.83</v>
      </c>
      <c r="M457" s="83">
        <v>44676.0</v>
      </c>
      <c r="N457" s="84" t="s">
        <v>187</v>
      </c>
    </row>
    <row r="458">
      <c r="A458" s="66" t="s">
        <v>183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f t="shared" si="1"/>
        <v>1.25</v>
      </c>
      <c r="M458" s="83">
        <v>44676.0</v>
      </c>
      <c r="N458" s="84" t="s">
        <v>187</v>
      </c>
    </row>
    <row r="459">
      <c r="A459" s="66" t="s">
        <v>183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f t="shared" si="1"/>
        <v>1.19</v>
      </c>
      <c r="M459" s="83">
        <v>44676.0</v>
      </c>
      <c r="N459" s="84" t="s">
        <v>187</v>
      </c>
    </row>
    <row r="460">
      <c r="A460" s="66" t="s">
        <v>183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f t="shared" si="1"/>
        <v>0.92</v>
      </c>
      <c r="M460" s="83">
        <v>44676.0</v>
      </c>
      <c r="N460" s="84" t="s">
        <v>187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f t="shared" si="1"/>
        <v>3.22</v>
      </c>
      <c r="M461" s="83">
        <v>44676.0</v>
      </c>
      <c r="N461" s="84" t="s">
        <v>187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f t="shared" si="1"/>
        <v>4.96</v>
      </c>
      <c r="M462" s="83">
        <v>44676.0</v>
      </c>
      <c r="N462" s="84" t="s">
        <v>187</v>
      </c>
    </row>
    <row r="463">
      <c r="A463" s="66" t="s">
        <v>183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f t="shared" si="1"/>
        <v>0.9</v>
      </c>
      <c r="M463" s="83">
        <v>44676.0</v>
      </c>
      <c r="N463" s="84" t="s">
        <v>187</v>
      </c>
    </row>
    <row r="464">
      <c r="A464" s="66" t="s">
        <v>183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f t="shared" si="1"/>
        <v>0.65</v>
      </c>
      <c r="M464" s="83">
        <v>44676.0</v>
      </c>
      <c r="N464" s="84" t="s">
        <v>187</v>
      </c>
    </row>
    <row r="465">
      <c r="A465" s="66" t="s">
        <v>183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f t="shared" si="1"/>
        <v>1.52</v>
      </c>
      <c r="M465" s="83">
        <v>44676.0</v>
      </c>
      <c r="N465" s="84" t="s">
        <v>187</v>
      </c>
    </row>
    <row r="466">
      <c r="A466" s="66" t="s">
        <v>183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f t="shared" si="1"/>
        <v>0.98</v>
      </c>
      <c r="M466" s="83">
        <v>44676.0</v>
      </c>
      <c r="N466" s="84" t="s">
        <v>187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f t="shared" si="1"/>
        <v>3.93</v>
      </c>
      <c r="M467" s="83">
        <v>44676.0</v>
      </c>
      <c r="N467" s="84" t="s">
        <v>187</v>
      </c>
    </row>
    <row r="468">
      <c r="A468" s="66" t="s">
        <v>183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f t="shared" si="1"/>
        <v>1.87</v>
      </c>
      <c r="M468" s="83">
        <v>44676.0</v>
      </c>
      <c r="N468" s="84" t="s">
        <v>187</v>
      </c>
    </row>
    <row r="469">
      <c r="A469" s="66" t="s">
        <v>183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f t="shared" si="1"/>
        <v>1.42</v>
      </c>
      <c r="M469" s="83">
        <v>44676.0</v>
      </c>
      <c r="N469" s="84" t="s">
        <v>187</v>
      </c>
    </row>
    <row r="470">
      <c r="A470" s="66" t="s">
        <v>183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f t="shared" si="1"/>
        <v>1.51</v>
      </c>
      <c r="M470" s="83">
        <v>44676.0</v>
      </c>
      <c r="N470" s="84" t="s">
        <v>187</v>
      </c>
    </row>
    <row r="471">
      <c r="A471" s="66" t="s">
        <v>183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f t="shared" si="1"/>
        <v>1.39</v>
      </c>
      <c r="M471" s="83">
        <v>44676.0</v>
      </c>
      <c r="N471" s="84" t="s">
        <v>187</v>
      </c>
    </row>
    <row r="472">
      <c r="A472" s="66" t="s">
        <v>183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f t="shared" si="1"/>
        <v>1.04</v>
      </c>
      <c r="M472" s="83">
        <v>44676.0</v>
      </c>
      <c r="N472" s="84" t="s">
        <v>187</v>
      </c>
    </row>
    <row r="473">
      <c r="A473" s="66" t="s">
        <v>183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f t="shared" si="1"/>
        <v>1.156</v>
      </c>
      <c r="M473" s="83">
        <v>44678.0</v>
      </c>
      <c r="N473" s="84" t="s">
        <v>187</v>
      </c>
    </row>
    <row r="474">
      <c r="A474" s="66" t="s">
        <v>183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f t="shared" si="1"/>
        <v>3.702</v>
      </c>
      <c r="M474" s="83">
        <v>44678.0</v>
      </c>
      <c r="N474" s="84" t="s">
        <v>187</v>
      </c>
    </row>
    <row r="475">
      <c r="A475" s="66" t="s">
        <v>183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f t="shared" si="1"/>
        <v>1.97</v>
      </c>
      <c r="M475" s="83">
        <v>44678.0</v>
      </c>
      <c r="N475" s="84" t="s">
        <v>187</v>
      </c>
    </row>
    <row r="476">
      <c r="A476" s="66" t="s">
        <v>183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f t="shared" si="1"/>
        <v>2.47</v>
      </c>
      <c r="M476" s="83">
        <v>44678.0</v>
      </c>
      <c r="N476" s="84" t="s">
        <v>187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f t="shared" si="1"/>
        <v>2.301</v>
      </c>
      <c r="M477" s="83">
        <v>44678.0</v>
      </c>
      <c r="N477" s="84" t="s">
        <v>187</v>
      </c>
    </row>
    <row r="478">
      <c r="A478" s="66" t="s">
        <v>183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f t="shared" si="1"/>
        <v>1.683</v>
      </c>
      <c r="M478" s="83">
        <v>44678.0</v>
      </c>
      <c r="N478" s="84" t="s">
        <v>187</v>
      </c>
    </row>
    <row r="479">
      <c r="A479" s="66" t="s">
        <v>183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f t="shared" si="1"/>
        <v>2.92</v>
      </c>
      <c r="M479" s="83">
        <v>44678.0</v>
      </c>
      <c r="N479" s="84" t="s">
        <v>187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f t="shared" si="1"/>
        <v>4.055</v>
      </c>
      <c r="M480" s="83">
        <v>44678.0</v>
      </c>
      <c r="N480" s="84" t="s">
        <v>187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f t="shared" si="1"/>
        <v>5.705</v>
      </c>
      <c r="M481" s="83">
        <v>44678.0</v>
      </c>
      <c r="N481" s="84" t="s">
        <v>187</v>
      </c>
    </row>
    <row r="482">
      <c r="A482" s="66" t="s">
        <v>183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f t="shared" si="1"/>
        <v>3.66</v>
      </c>
      <c r="M482" s="83">
        <v>44678.0</v>
      </c>
      <c r="N482" s="84" t="s">
        <v>187</v>
      </c>
    </row>
    <row r="483">
      <c r="A483" s="66" t="s">
        <v>183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f t="shared" si="1"/>
        <v>1.716</v>
      </c>
      <c r="M483" s="83">
        <v>44678.0</v>
      </c>
      <c r="N483" s="84" t="s">
        <v>187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f t="shared" si="1"/>
        <v>2.546</v>
      </c>
      <c r="M484" s="83">
        <v>44678.0</v>
      </c>
      <c r="N484" s="84" t="s">
        <v>187</v>
      </c>
    </row>
    <row r="485">
      <c r="A485" s="66" t="s">
        <v>183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f t="shared" si="1"/>
        <v>0.792</v>
      </c>
      <c r="M485" s="83">
        <v>44678.0</v>
      </c>
      <c r="N485" s="84" t="s">
        <v>187</v>
      </c>
    </row>
    <row r="486">
      <c r="A486" s="66" t="s">
        <v>183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f t="shared" si="1"/>
        <v>1.764</v>
      </c>
      <c r="M486" s="83">
        <v>44678.0</v>
      </c>
      <c r="N486" s="84" t="s">
        <v>187</v>
      </c>
    </row>
    <row r="487">
      <c r="A487" s="66" t="s">
        <v>183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f t="shared" si="1"/>
        <v>2.529</v>
      </c>
      <c r="M487" s="83">
        <v>44678.0</v>
      </c>
      <c r="N487" s="84" t="s">
        <v>187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f t="shared" si="1"/>
        <v>1.578</v>
      </c>
      <c r="M488" s="83">
        <v>44678.0</v>
      </c>
      <c r="N488" s="84" t="s">
        <v>187</v>
      </c>
    </row>
    <row r="489">
      <c r="A489" s="66" t="s">
        <v>183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f t="shared" si="1"/>
        <v>1.85</v>
      </c>
      <c r="M489" s="83">
        <v>44678.0</v>
      </c>
      <c r="N489" s="84" t="s">
        <v>187</v>
      </c>
    </row>
    <row r="490">
      <c r="A490" s="66" t="s">
        <v>183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f t="shared" si="1"/>
        <v>1.48</v>
      </c>
      <c r="M490" s="83">
        <v>44678.0</v>
      </c>
      <c r="N490" s="84" t="s">
        <v>187</v>
      </c>
    </row>
    <row r="491">
      <c r="A491" s="66" t="s">
        <v>183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f t="shared" si="1"/>
        <v>2.858</v>
      </c>
      <c r="M491" s="83">
        <v>44678.0</v>
      </c>
      <c r="N491" s="84" t="s">
        <v>187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f t="shared" si="1"/>
        <v>5.967</v>
      </c>
      <c r="M492" s="83">
        <v>44678.0</v>
      </c>
      <c r="N492" s="84" t="s">
        <v>187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f t="shared" si="1"/>
        <v>4.565</v>
      </c>
      <c r="M493" s="83">
        <v>44678.0</v>
      </c>
      <c r="N493" s="84" t="s">
        <v>187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f t="shared" si="1"/>
        <v>3.337</v>
      </c>
      <c r="M494" s="83">
        <v>44678.0</v>
      </c>
      <c r="N494" s="84" t="s">
        <v>187</v>
      </c>
    </row>
    <row r="495">
      <c r="A495" s="66" t="s">
        <v>183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f t="shared" si="1"/>
        <v>1.04</v>
      </c>
      <c r="M495" s="83">
        <v>44678.0</v>
      </c>
      <c r="N495" s="84" t="s">
        <v>187</v>
      </c>
    </row>
    <row r="496">
      <c r="A496" s="66" t="s">
        <v>183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f t="shared" si="1"/>
        <v>1.664</v>
      </c>
      <c r="M496" s="83">
        <v>44678.0</v>
      </c>
      <c r="N496" s="84" t="s">
        <v>187</v>
      </c>
    </row>
    <row r="497">
      <c r="A497" s="66" t="s">
        <v>183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f t="shared" si="1"/>
        <v>4.077</v>
      </c>
      <c r="M497" s="83">
        <v>44678.0</v>
      </c>
      <c r="N497" s="84" t="s">
        <v>187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f t="shared" si="1"/>
        <v>0.921</v>
      </c>
      <c r="M498" s="83">
        <v>44678.0</v>
      </c>
      <c r="N498" s="84" t="s">
        <v>187</v>
      </c>
    </row>
    <row r="499">
      <c r="A499" s="66" t="s">
        <v>183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f t="shared" si="1"/>
        <v>2.029</v>
      </c>
      <c r="M499" s="83">
        <v>44678.0</v>
      </c>
      <c r="N499" s="84" t="s">
        <v>187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f t="shared" si="1"/>
        <v>3.402</v>
      </c>
      <c r="M500" s="83">
        <v>44678.0</v>
      </c>
      <c r="N500" s="84" t="s">
        <v>187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f t="shared" si="1"/>
        <v>1.484</v>
      </c>
      <c r="M501" s="83">
        <v>44678.0</v>
      </c>
      <c r="N501" s="84" t="s">
        <v>187</v>
      </c>
    </row>
    <row r="502">
      <c r="A502" s="66" t="s">
        <v>183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f t="shared" si="1"/>
        <v>1.415</v>
      </c>
      <c r="M502" s="83">
        <v>44678.0</v>
      </c>
      <c r="N502" s="84" t="s">
        <v>187</v>
      </c>
    </row>
    <row r="503">
      <c r="A503" s="66" t="s">
        <v>183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f t="shared" si="1"/>
        <v>6.785</v>
      </c>
      <c r="M503" s="83">
        <v>44678.0</v>
      </c>
      <c r="N503" s="84" t="s">
        <v>187</v>
      </c>
    </row>
    <row r="504">
      <c r="A504" s="66" t="s">
        <v>183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f t="shared" si="1"/>
        <v>1.819</v>
      </c>
      <c r="M504" s="83">
        <v>44678.0</v>
      </c>
      <c r="N504" s="84" t="s">
        <v>187</v>
      </c>
    </row>
    <row r="505">
      <c r="A505" s="66" t="s">
        <v>183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f t="shared" si="1"/>
        <v>2.369</v>
      </c>
      <c r="M505" s="83">
        <v>44678.0</v>
      </c>
      <c r="N505" s="84" t="s">
        <v>187</v>
      </c>
    </row>
    <row r="506">
      <c r="A506" s="66" t="s">
        <v>183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f t="shared" si="1"/>
        <v>4.39</v>
      </c>
      <c r="M506" s="83">
        <v>44678.0</v>
      </c>
      <c r="N506" s="84" t="s">
        <v>187</v>
      </c>
    </row>
    <row r="507">
      <c r="A507" s="66" t="s">
        <v>183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f t="shared" si="1"/>
        <v>3.147</v>
      </c>
      <c r="M507" s="83">
        <v>44678.0</v>
      </c>
      <c r="N507" s="84" t="s">
        <v>187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f t="shared" si="1"/>
        <v>3.054</v>
      </c>
      <c r="M508" s="83">
        <v>44678.0</v>
      </c>
      <c r="N508" s="84" t="s">
        <v>187</v>
      </c>
    </row>
    <row r="509">
      <c r="A509" s="66" t="s">
        <v>183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f t="shared" si="1"/>
        <v>2.458</v>
      </c>
      <c r="M509" s="83">
        <v>44678.0</v>
      </c>
      <c r="N509" s="84" t="s">
        <v>187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f t="shared" si="1"/>
        <v>2.953</v>
      </c>
      <c r="M510" s="83">
        <v>44678.0</v>
      </c>
      <c r="N510" s="84" t="s">
        <v>187</v>
      </c>
    </row>
    <row r="511">
      <c r="A511" s="66" t="s">
        <v>183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f t="shared" si="1"/>
        <v>0.926</v>
      </c>
      <c r="M511" s="83">
        <v>44678.0</v>
      </c>
      <c r="N511" s="84" t="s">
        <v>187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f t="shared" si="1"/>
        <v>3.805</v>
      </c>
      <c r="M512" s="83">
        <v>44678.0</v>
      </c>
      <c r="N512" s="84" t="s">
        <v>187</v>
      </c>
    </row>
    <row r="513">
      <c r="A513" s="66" t="s">
        <v>183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f t="shared" si="1"/>
        <v>1.848</v>
      </c>
      <c r="M513" s="83">
        <v>44678.0</v>
      </c>
      <c r="N513" s="84" t="s">
        <v>187</v>
      </c>
    </row>
    <row r="514">
      <c r="A514" s="66" t="s">
        <v>183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f t="shared" si="1"/>
        <v>2.628</v>
      </c>
      <c r="M514" s="83">
        <v>44678.0</v>
      </c>
      <c r="N514" s="84" t="s">
        <v>187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f t="shared" si="1"/>
        <v>2.42</v>
      </c>
      <c r="M515" s="83">
        <v>44678.0</v>
      </c>
      <c r="N515" s="84" t="s">
        <v>187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f t="shared" si="1"/>
        <v>4.056</v>
      </c>
      <c r="M516" s="83">
        <v>44678.0</v>
      </c>
      <c r="N516" s="84" t="s">
        <v>187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f t="shared" si="1"/>
        <v>3.879</v>
      </c>
      <c r="M517" s="83">
        <v>44678.0</v>
      </c>
      <c r="N517" s="84" t="s">
        <v>187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f t="shared" si="1"/>
        <v>3.829</v>
      </c>
      <c r="M518" s="83">
        <v>44678.0</v>
      </c>
      <c r="N518" s="84" t="s">
        <v>187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f t="shared" si="1"/>
        <v>5.35</v>
      </c>
      <c r="M519" s="83">
        <v>44678.0</v>
      </c>
      <c r="N519" s="84" t="s">
        <v>187</v>
      </c>
    </row>
    <row r="520">
      <c r="A520" s="66" t="s">
        <v>183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f t="shared" si="1"/>
        <v>0.583</v>
      </c>
      <c r="M520" s="83">
        <v>44678.0</v>
      </c>
      <c r="N520" s="84" t="s">
        <v>187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f t="shared" si="1"/>
        <v>2.372</v>
      </c>
      <c r="M521" s="83">
        <v>44678.0</v>
      </c>
      <c r="N521" s="84" t="s">
        <v>187</v>
      </c>
    </row>
    <row r="522">
      <c r="A522" s="66" t="s">
        <v>183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f t="shared" si="1"/>
        <v>4.754</v>
      </c>
      <c r="M522" s="83">
        <v>44678.0</v>
      </c>
      <c r="N522" s="84" t="s">
        <v>187</v>
      </c>
    </row>
    <row r="523">
      <c r="A523" s="66" t="s">
        <v>183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f t="shared" si="1"/>
        <v>2.472</v>
      </c>
      <c r="M523" s="83">
        <v>44678.0</v>
      </c>
      <c r="N523" s="84" t="s">
        <v>187</v>
      </c>
    </row>
    <row r="524">
      <c r="A524" s="66" t="s">
        <v>183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f t="shared" si="1"/>
        <v>0.881</v>
      </c>
      <c r="M524" s="83">
        <v>44678.0</v>
      </c>
      <c r="N524" s="84" t="s">
        <v>187</v>
      </c>
    </row>
    <row r="525">
      <c r="A525" s="66" t="s">
        <v>183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f t="shared" si="1"/>
        <v>3.021</v>
      </c>
      <c r="M525" s="83">
        <v>44678.0</v>
      </c>
      <c r="N525" s="84" t="s">
        <v>187</v>
      </c>
    </row>
    <row r="526">
      <c r="A526" s="66" t="s">
        <v>183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f t="shared" si="1"/>
        <v>3.211</v>
      </c>
      <c r="M526" s="83">
        <v>44678.0</v>
      </c>
      <c r="N526" s="84" t="s">
        <v>187</v>
      </c>
    </row>
    <row r="527">
      <c r="A527" s="66" t="s">
        <v>183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f t="shared" si="1"/>
        <v>0.653</v>
      </c>
      <c r="M527" s="83">
        <v>44678.0</v>
      </c>
      <c r="N527" s="84" t="s">
        <v>187</v>
      </c>
    </row>
    <row r="528">
      <c r="A528" s="66" t="s">
        <v>183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f t="shared" si="1"/>
        <v>0.861</v>
      </c>
      <c r="M528" s="83">
        <v>44678.0</v>
      </c>
      <c r="N528" s="84" t="s">
        <v>187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f t="shared" si="1"/>
        <v>4.526</v>
      </c>
      <c r="M529" s="83">
        <v>44678.0</v>
      </c>
      <c r="N529" s="84" t="s">
        <v>187</v>
      </c>
    </row>
    <row r="530">
      <c r="A530" s="66" t="s">
        <v>183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f t="shared" si="1"/>
        <v>0.749</v>
      </c>
      <c r="M530" s="83">
        <v>44678.0</v>
      </c>
      <c r="N530" s="84" t="s">
        <v>187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f t="shared" si="1"/>
        <v>4.342</v>
      </c>
      <c r="M531" s="83">
        <v>44678.0</v>
      </c>
      <c r="N531" s="84" t="s">
        <v>187</v>
      </c>
    </row>
    <row r="532">
      <c r="A532" s="66" t="s">
        <v>183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f t="shared" si="1"/>
        <v>1.777</v>
      </c>
      <c r="M532" s="83">
        <v>44678.0</v>
      </c>
      <c r="N532" s="84" t="s">
        <v>187</v>
      </c>
    </row>
    <row r="533">
      <c r="A533" s="66" t="s">
        <v>183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f t="shared" si="1"/>
        <v>2.274</v>
      </c>
      <c r="M533" s="83">
        <v>44678.0</v>
      </c>
      <c r="N533" s="84" t="s">
        <v>187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f t="shared" si="1"/>
        <v>2.488</v>
      </c>
      <c r="M534" s="83">
        <v>44678.0</v>
      </c>
      <c r="N534" s="84" t="s">
        <v>187</v>
      </c>
    </row>
    <row r="535">
      <c r="A535" s="66" t="s">
        <v>183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f t="shared" si="1"/>
        <v>1.741</v>
      </c>
      <c r="M535" s="83">
        <v>44678.0</v>
      </c>
      <c r="N535" s="84" t="s">
        <v>187</v>
      </c>
    </row>
    <row r="536">
      <c r="A536" s="66" t="s">
        <v>183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f t="shared" si="1"/>
        <v>1.647</v>
      </c>
      <c r="M536" s="83">
        <v>44678.0</v>
      </c>
      <c r="N536" s="84" t="s">
        <v>187</v>
      </c>
    </row>
    <row r="537">
      <c r="A537" s="66" t="s">
        <v>183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f t="shared" si="1"/>
        <v>0.926</v>
      </c>
      <c r="M537" s="83">
        <v>44678.0</v>
      </c>
      <c r="N537" s="84" t="s">
        <v>187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f t="shared" si="1"/>
        <v>2.597</v>
      </c>
      <c r="M538" s="83">
        <v>44678.0</v>
      </c>
      <c r="N538" s="84" t="s">
        <v>187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f t="shared" si="1"/>
        <v>1.735</v>
      </c>
      <c r="M539" s="83">
        <v>44678.0</v>
      </c>
      <c r="N539" s="84" t="s">
        <v>187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f t="shared" si="1"/>
        <v>4.816</v>
      </c>
      <c r="M540" s="83">
        <v>44678.0</v>
      </c>
      <c r="N540" s="84" t="s">
        <v>187</v>
      </c>
    </row>
    <row r="541">
      <c r="A541" s="66" t="s">
        <v>183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f t="shared" si="1"/>
        <v>0.898</v>
      </c>
      <c r="M541" s="83">
        <v>44678.0</v>
      </c>
      <c r="N541" s="84" t="s">
        <v>187</v>
      </c>
    </row>
    <row r="542">
      <c r="A542" s="66" t="s">
        <v>183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f t="shared" si="1"/>
        <v>1.113</v>
      </c>
      <c r="M542" s="83">
        <v>44678.0</v>
      </c>
      <c r="N542" s="84" t="s">
        <v>187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f t="shared" si="1"/>
        <v>7.933</v>
      </c>
      <c r="M543" s="83">
        <v>44678.0</v>
      </c>
      <c r="N543" s="84" t="s">
        <v>187</v>
      </c>
    </row>
    <row r="544">
      <c r="A544" s="66" t="s">
        <v>183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f t="shared" si="1"/>
        <v>2.317</v>
      </c>
      <c r="M544" s="83">
        <v>44678.0</v>
      </c>
      <c r="N544" s="84" t="s">
        <v>187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f t="shared" si="1"/>
        <v>5.248</v>
      </c>
      <c r="M545" s="83">
        <v>44678.0</v>
      </c>
      <c r="N545" s="84" t="s">
        <v>187</v>
      </c>
    </row>
    <row r="546">
      <c r="A546" s="66" t="s">
        <v>183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f t="shared" si="1"/>
        <v>2.411</v>
      </c>
      <c r="M546" s="83">
        <v>44678.0</v>
      </c>
      <c r="N546" s="84" t="s">
        <v>187</v>
      </c>
    </row>
    <row r="547">
      <c r="A547" s="66" t="s">
        <v>183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f t="shared" si="1"/>
        <v>1.699</v>
      </c>
      <c r="M547" s="83">
        <v>44678.0</v>
      </c>
      <c r="N547" s="84" t="s">
        <v>187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f t="shared" si="1"/>
        <v>4.234</v>
      </c>
      <c r="M548" s="83">
        <v>44678.0</v>
      </c>
      <c r="N548" s="84" t="s">
        <v>187</v>
      </c>
    </row>
    <row r="549">
      <c r="A549" s="66" t="s">
        <v>183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f t="shared" si="1"/>
        <v>0.766</v>
      </c>
      <c r="M549" s="83">
        <v>44678.0</v>
      </c>
      <c r="N549" s="84" t="s">
        <v>187</v>
      </c>
    </row>
    <row r="550">
      <c r="A550" s="66" t="s">
        <v>183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f t="shared" si="1"/>
        <v>1.778</v>
      </c>
      <c r="M550" s="83">
        <v>44678.0</v>
      </c>
      <c r="N550" s="84" t="s">
        <v>187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f t="shared" si="1"/>
        <v>2.757</v>
      </c>
      <c r="M551" s="83">
        <v>44678.0</v>
      </c>
      <c r="N551" s="84" t="s">
        <v>187</v>
      </c>
    </row>
    <row r="552">
      <c r="A552" s="66" t="s">
        <v>183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f t="shared" si="1"/>
        <v>0.526</v>
      </c>
      <c r="M552" s="83">
        <v>44678.0</v>
      </c>
      <c r="N552" s="84" t="s">
        <v>187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f t="shared" si="1"/>
        <v>5.458</v>
      </c>
      <c r="M553" s="83">
        <v>44678.0</v>
      </c>
      <c r="N553" s="84" t="s">
        <v>187</v>
      </c>
    </row>
    <row r="554">
      <c r="A554" s="66" t="s">
        <v>183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f t="shared" si="1"/>
        <v>2.436</v>
      </c>
      <c r="M554" s="83">
        <v>44678.0</v>
      </c>
      <c r="N554" s="84" t="s">
        <v>187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f t="shared" si="1"/>
        <v>1.412</v>
      </c>
      <c r="M555" s="83">
        <v>44678.0</v>
      </c>
      <c r="N555" s="84" t="s">
        <v>187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f t="shared" si="1"/>
        <v>4.584</v>
      </c>
      <c r="M556" s="83">
        <v>44678.0</v>
      </c>
      <c r="N556" s="84" t="s">
        <v>187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f t="shared" si="1"/>
        <v>9.247</v>
      </c>
      <c r="M557" s="83">
        <v>44678.0</v>
      </c>
      <c r="N557" s="84" t="s">
        <v>187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f t="shared" si="1"/>
        <v>11.042</v>
      </c>
      <c r="M558" s="83">
        <v>44678.0</v>
      </c>
      <c r="N558" s="84" t="s">
        <v>187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f t="shared" si="1"/>
        <v>2.512</v>
      </c>
      <c r="M559" s="83">
        <v>44678.0</v>
      </c>
      <c r="N559" s="84" t="s">
        <v>187</v>
      </c>
    </row>
    <row r="560">
      <c r="A560" s="66" t="s">
        <v>183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f t="shared" si="1"/>
        <v>1.636</v>
      </c>
      <c r="M560" s="83">
        <v>44678.0</v>
      </c>
      <c r="N560" s="84" t="s">
        <v>187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f t="shared" si="1"/>
        <v>1.932</v>
      </c>
      <c r="M561" s="83">
        <v>44678.0</v>
      </c>
      <c r="N561" s="84" t="s">
        <v>187</v>
      </c>
    </row>
    <row r="562">
      <c r="A562" s="66" t="s">
        <v>183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f t="shared" si="1"/>
        <v>2.371</v>
      </c>
      <c r="M562" s="83">
        <v>44678.0</v>
      </c>
      <c r="N562" s="84" t="s">
        <v>187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f t="shared" si="1"/>
        <v>2.436</v>
      </c>
      <c r="M563" s="83">
        <v>44678.0</v>
      </c>
      <c r="N563" s="84" t="s">
        <v>187</v>
      </c>
    </row>
    <row r="564">
      <c r="A564" s="66" t="s">
        <v>183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f t="shared" si="1"/>
        <v>2.87</v>
      </c>
      <c r="M564" s="83">
        <v>44678.0</v>
      </c>
      <c r="N564" s="84" t="s">
        <v>187</v>
      </c>
    </row>
    <row r="565">
      <c r="A565" s="66" t="s">
        <v>183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f t="shared" si="1"/>
        <v>0.73</v>
      </c>
      <c r="M565" s="83">
        <v>44678.0</v>
      </c>
      <c r="N565" s="84" t="s">
        <v>187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f t="shared" si="1"/>
        <v>4.059</v>
      </c>
      <c r="M566" s="83">
        <v>44678.0</v>
      </c>
      <c r="N566" s="84" t="s">
        <v>187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f t="shared" si="1"/>
        <v>1.275</v>
      </c>
      <c r="M567" s="83">
        <v>44678.0</v>
      </c>
      <c r="N567" s="84" t="s">
        <v>187</v>
      </c>
    </row>
    <row r="568">
      <c r="A568" s="66" t="s">
        <v>183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f t="shared" si="1"/>
        <v>1.788</v>
      </c>
      <c r="M568" s="83">
        <v>44678.0</v>
      </c>
      <c r="N568" s="84" t="s">
        <v>187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f t="shared" si="1"/>
        <v>1.847</v>
      </c>
      <c r="M569" s="83">
        <v>44678.0</v>
      </c>
      <c r="N569" s="84" t="s">
        <v>187</v>
      </c>
    </row>
    <row r="570">
      <c r="A570" s="66" t="s">
        <v>183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f t="shared" si="1"/>
        <v>4.731</v>
      </c>
      <c r="M570" s="83">
        <v>44678.0</v>
      </c>
      <c r="N570" s="84" t="s">
        <v>187</v>
      </c>
    </row>
    <row r="571">
      <c r="A571" s="66" t="s">
        <v>183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f t="shared" si="1"/>
        <v>2.292</v>
      </c>
      <c r="M571" s="83">
        <v>44678.0</v>
      </c>
      <c r="N571" s="84" t="s">
        <v>187</v>
      </c>
    </row>
    <row r="572">
      <c r="A572" s="66" t="s">
        <v>183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f t="shared" si="1"/>
        <v>1.288</v>
      </c>
      <c r="M572" s="83">
        <v>44678.0</v>
      </c>
      <c r="N572" s="84" t="s">
        <v>187</v>
      </c>
    </row>
    <row r="573">
      <c r="A573" s="66" t="s">
        <v>183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f t="shared" si="1"/>
        <v>2.485</v>
      </c>
      <c r="M573" s="83">
        <v>44678.0</v>
      </c>
      <c r="N573" s="84" t="s">
        <v>187</v>
      </c>
    </row>
    <row r="574">
      <c r="A574" s="66" t="s">
        <v>183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f t="shared" si="1"/>
        <v>2.054</v>
      </c>
      <c r="M574" s="83">
        <v>44678.0</v>
      </c>
      <c r="N574" s="84" t="s">
        <v>187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f t="shared" si="1"/>
        <v>2.1735</v>
      </c>
      <c r="M575" s="83">
        <v>44678.0</v>
      </c>
      <c r="N575" s="84" t="s">
        <v>187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f t="shared" si="1"/>
        <v>2.513</v>
      </c>
      <c r="M576" s="83">
        <v>44678.0</v>
      </c>
      <c r="N576" s="84" t="s">
        <v>187</v>
      </c>
    </row>
    <row r="577">
      <c r="A577" s="66" t="s">
        <v>183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f t="shared" si="1"/>
        <v>1.367</v>
      </c>
      <c r="M577" s="83">
        <v>44678.0</v>
      </c>
      <c r="N577" s="84" t="s">
        <v>187</v>
      </c>
    </row>
    <row r="578">
      <c r="A578" s="66" t="s">
        <v>183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f t="shared" si="1"/>
        <v>1.675</v>
      </c>
      <c r="M578" s="83">
        <v>44678.0</v>
      </c>
      <c r="N578" s="84" t="s">
        <v>187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f t="shared" si="1"/>
        <v>3.557</v>
      </c>
      <c r="M579" s="83">
        <v>44678.0</v>
      </c>
      <c r="N579" s="84" t="s">
        <v>187</v>
      </c>
    </row>
    <row r="580">
      <c r="A580" s="66" t="s">
        <v>183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2">
        <f>AVERAGE(1.51,1.41,1.48,1.55)</f>
        <v>1.4875</v>
      </c>
      <c r="L580" s="82">
        <f t="shared" si="1"/>
        <v>2.06</v>
      </c>
      <c r="M580" s="83">
        <v>44704.0</v>
      </c>
      <c r="N580" s="84" t="s">
        <v>187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2">
        <f>AVERAGE(1.53,1.59,1.44,1.57)</f>
        <v>1.5325</v>
      </c>
      <c r="L581" s="82">
        <f t="shared" si="1"/>
        <v>5.65</v>
      </c>
      <c r="M581" s="83">
        <v>44704.0</v>
      </c>
      <c r="N581" s="84" t="s">
        <v>187</v>
      </c>
    </row>
    <row r="582">
      <c r="A582" s="66" t="s">
        <v>183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2">
        <f>AVERAGE(1.28,0.9,1.04,1.02)</f>
        <v>1.06</v>
      </c>
      <c r="L582" s="82">
        <f t="shared" si="1"/>
        <v>1.56</v>
      </c>
      <c r="M582" s="83">
        <v>44704.0</v>
      </c>
      <c r="N582" s="84" t="s">
        <v>187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2">
        <f>AVERAGE(1.88,1.83,1.84,1.99)</f>
        <v>1.885</v>
      </c>
      <c r="L583" s="82">
        <f t="shared" si="1"/>
        <v>3.51</v>
      </c>
      <c r="M583" s="83">
        <v>44704.0</v>
      </c>
      <c r="N583" s="84" t="s">
        <v>187</v>
      </c>
    </row>
    <row r="584">
      <c r="A584" s="66" t="s">
        <v>183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2">
        <f>AVERAGE(2.28,2.38,2.34,2.44)</f>
        <v>2.36</v>
      </c>
      <c r="L584" s="82">
        <f t="shared" si="1"/>
        <v>2.94</v>
      </c>
      <c r="M584" s="83">
        <v>44704.0</v>
      </c>
      <c r="N584" s="84" t="s">
        <v>187</v>
      </c>
    </row>
    <row r="585">
      <c r="A585" s="66" t="s">
        <v>183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2">
        <f>AVERAGE(1.99,1.95,1.74,2.04)</f>
        <v>1.93</v>
      </c>
      <c r="L585" s="82">
        <f t="shared" si="1"/>
        <v>2.47</v>
      </c>
      <c r="M585" s="83">
        <v>44704.0</v>
      </c>
      <c r="N585" s="84" t="s">
        <v>187</v>
      </c>
    </row>
    <row r="586">
      <c r="A586" s="66" t="s">
        <v>183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2">
        <f>AVERAGE(1.22,1.15,1.34,1.23)</f>
        <v>1.235</v>
      </c>
      <c r="L586" s="82">
        <f t="shared" si="1"/>
        <v>2.99</v>
      </c>
      <c r="M586" s="83">
        <v>44704.0</v>
      </c>
      <c r="N586" s="84" t="s">
        <v>187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2">
        <f>AVERAGE(1.69,1.63,1.73,1.65)</f>
        <v>1.675</v>
      </c>
      <c r="L587" s="82">
        <f t="shared" si="1"/>
        <v>6</v>
      </c>
      <c r="M587" s="83">
        <v>44704.0</v>
      </c>
      <c r="N587" s="84" t="s">
        <v>187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2">
        <f>AVERAGE(1.73,1.82,1.89,1.65)</f>
        <v>1.7725</v>
      </c>
      <c r="L588" s="82">
        <f t="shared" si="1"/>
        <v>10.19</v>
      </c>
      <c r="M588" s="83">
        <v>44704.0</v>
      </c>
      <c r="N588" s="84" t="s">
        <v>187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2">
        <f>AVERAGE(1.91,1.93,1.97,2.03)</f>
        <v>1.96</v>
      </c>
      <c r="L589" s="82">
        <f t="shared" si="1"/>
        <v>7.28</v>
      </c>
      <c r="M589" s="83">
        <v>44704.0</v>
      </c>
      <c r="N589" s="84" t="s">
        <v>187</v>
      </c>
    </row>
    <row r="590">
      <c r="A590" s="66" t="s">
        <v>183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2">
        <f>AVERAGE(1.48,1.64,1.53,1.64)</f>
        <v>1.5725</v>
      </c>
      <c r="L590" s="82">
        <f t="shared" si="1"/>
        <v>2.37</v>
      </c>
      <c r="M590" s="83">
        <v>44704.0</v>
      </c>
      <c r="N590" s="84" t="s">
        <v>187</v>
      </c>
    </row>
    <row r="591">
      <c r="A591" s="66" t="s">
        <v>183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2">
        <f>AVERAGE(1.35,1.49,1.53,1.43)</f>
        <v>1.45</v>
      </c>
      <c r="L591" s="82">
        <f t="shared" si="1"/>
        <v>4.13</v>
      </c>
      <c r="M591" s="83">
        <v>44704.0</v>
      </c>
      <c r="N591" s="84" t="s">
        <v>187</v>
      </c>
    </row>
    <row r="592">
      <c r="A592" s="66" t="s">
        <v>183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2">
        <f>AVERAGE(1.6,1.31,1.33,1.42)</f>
        <v>1.415</v>
      </c>
      <c r="L592" s="82">
        <f t="shared" si="1"/>
        <v>2.95</v>
      </c>
      <c r="M592" s="83">
        <v>44704.0</v>
      </c>
      <c r="N592" s="84" t="s">
        <v>187</v>
      </c>
    </row>
    <row r="593">
      <c r="A593" s="66" t="s">
        <v>183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2">
        <f>AVERAGE(0.64,0.71,0.69,0.74)</f>
        <v>0.695</v>
      </c>
      <c r="L593" s="82">
        <f t="shared" si="1"/>
        <v>0.63</v>
      </c>
      <c r="M593" s="83">
        <v>44704.0</v>
      </c>
      <c r="N593" s="84" t="s">
        <v>187</v>
      </c>
    </row>
    <row r="594">
      <c r="A594" s="66" t="s">
        <v>183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2">
        <f>AVERAGE(0.89,0.97,0.99,1)</f>
        <v>0.9625</v>
      </c>
      <c r="L594" s="82">
        <f t="shared" si="1"/>
        <v>1.19</v>
      </c>
      <c r="M594" s="83">
        <v>44704.0</v>
      </c>
      <c r="N594" s="84" t="s">
        <v>187</v>
      </c>
    </row>
    <row r="595">
      <c r="A595" s="66" t="s">
        <v>183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2">
        <f>AVERAGE(1.11,1.17,1.03,1.1)</f>
        <v>1.1025</v>
      </c>
      <c r="L595" s="82">
        <f t="shared" si="1"/>
        <v>0.95</v>
      </c>
      <c r="M595" s="83">
        <v>44704.0</v>
      </c>
      <c r="N595" s="84" t="s">
        <v>187</v>
      </c>
    </row>
    <row r="596">
      <c r="A596" s="66" t="s">
        <v>183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2">
        <f>AVERAGE(1.28,1.32,1.28,1.32)</f>
        <v>1.3</v>
      </c>
      <c r="L596" s="82">
        <f t="shared" si="1"/>
        <v>2.69</v>
      </c>
      <c r="M596" s="83">
        <v>44704.0</v>
      </c>
      <c r="N596" s="84" t="s">
        <v>187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2">
        <f>AVERAGE(1.75,1.77,1.85,1.74)</f>
        <v>1.7775</v>
      </c>
      <c r="L597" s="82">
        <f t="shared" si="1"/>
        <v>6.06</v>
      </c>
      <c r="M597" s="83">
        <v>44704.0</v>
      </c>
      <c r="N597" s="84" t="s">
        <v>187</v>
      </c>
    </row>
    <row r="598">
      <c r="A598" s="66" t="s">
        <v>183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2">
        <f>AVERAGE(1.26,1.27,1.26,1.37)</f>
        <v>1.29</v>
      </c>
      <c r="L598" s="82">
        <f t="shared" si="1"/>
        <v>1.47</v>
      </c>
      <c r="M598" s="83">
        <v>44704.0</v>
      </c>
      <c r="N598" s="84" t="s">
        <v>187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184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2">
        <f>AVERAGE(0.77,9.83,0.93,0.79)</f>
        <v>3.08</v>
      </c>
      <c r="L599" s="82">
        <f t="shared" si="1"/>
        <v>1.68</v>
      </c>
      <c r="M599" s="83">
        <v>44704.0</v>
      </c>
      <c r="N599" s="84" t="s">
        <v>187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2">
        <f>AVERAGE(1.07,1.1,1.11,1.03)</f>
        <v>1.0775</v>
      </c>
      <c r="L600" s="82">
        <f t="shared" si="1"/>
        <v>7.61</v>
      </c>
      <c r="M600" s="83">
        <v>44704.0</v>
      </c>
      <c r="N600" s="84" t="s">
        <v>187</v>
      </c>
    </row>
    <row r="601">
      <c r="A601" s="66" t="s">
        <v>183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2">
        <f>AVERAGE(1.57,1.33,1.63,1.43)</f>
        <v>1.49</v>
      </c>
      <c r="L601" s="82">
        <f t="shared" si="1"/>
        <v>1.25</v>
      </c>
      <c r="M601" s="83">
        <v>44704.0</v>
      </c>
      <c r="N601" s="84" t="s">
        <v>187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2">
        <f>AVERAGE(1.35,1.36,1.45,1.47)</f>
        <v>1.4075</v>
      </c>
      <c r="L602" s="82">
        <f t="shared" si="1"/>
        <v>2.18</v>
      </c>
      <c r="M602" s="83">
        <v>44704.0</v>
      </c>
      <c r="N602" s="84" t="s">
        <v>187</v>
      </c>
    </row>
    <row r="603">
      <c r="A603" s="66" t="s">
        <v>183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2">
        <f>AVERAGE(2.14,2.15,2.19,2.24)</f>
        <v>2.18</v>
      </c>
      <c r="L603" s="82">
        <f t="shared" si="1"/>
        <v>8.49</v>
      </c>
      <c r="M603" s="83">
        <v>44704.0</v>
      </c>
      <c r="N603" s="84" t="s">
        <v>187</v>
      </c>
    </row>
    <row r="604">
      <c r="A604" s="66" t="s">
        <v>183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2">
        <f>AVERAGE(1.03,1.05,1.07,1.1)</f>
        <v>1.0625</v>
      </c>
      <c r="L604" s="82">
        <f t="shared" si="1"/>
        <v>1.31</v>
      </c>
      <c r="M604" s="83">
        <v>44704.0</v>
      </c>
      <c r="N604" s="84" t="s">
        <v>187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2">
        <f>AVERAGE(1.81,1.74,1.88,1.88)</f>
        <v>1.8275</v>
      </c>
      <c r="L605" s="82">
        <f t="shared" si="1"/>
        <v>7.15</v>
      </c>
      <c r="M605" s="83">
        <v>44704.0</v>
      </c>
      <c r="N605" s="84" t="s">
        <v>187</v>
      </c>
    </row>
    <row r="606">
      <c r="A606" s="66" t="s">
        <v>183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2">
        <f>AVERAGE(1.04,1.07,1.09,1.24)</f>
        <v>1.11</v>
      </c>
      <c r="L606" s="82">
        <f t="shared" si="1"/>
        <v>1.57</v>
      </c>
      <c r="M606" s="83">
        <v>44704.0</v>
      </c>
      <c r="N606" s="84" t="s">
        <v>187</v>
      </c>
    </row>
    <row r="607">
      <c r="A607" s="66" t="s">
        <v>183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2">
        <f>AVERAGE(1.37,1.31,1.35,1.32)</f>
        <v>1.3375</v>
      </c>
      <c r="L607" s="82">
        <f t="shared" si="1"/>
        <v>0.92</v>
      </c>
      <c r="M607" s="83">
        <v>44704.0</v>
      </c>
      <c r="N607" s="84" t="s">
        <v>187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2">
        <f>AVERAGE(1.73,1.8,1.7,1.73)</f>
        <v>1.74</v>
      </c>
      <c r="L608" s="82">
        <f t="shared" si="1"/>
        <v>5.14</v>
      </c>
      <c r="M608" s="83">
        <v>44704.0</v>
      </c>
      <c r="N608" s="84" t="s">
        <v>187</v>
      </c>
    </row>
    <row r="609">
      <c r="A609" s="66" t="s">
        <v>183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2">
        <f>AVERAGE(0.91,0.95,1.02,1.04)</f>
        <v>0.98</v>
      </c>
      <c r="L609" s="82">
        <f t="shared" si="1"/>
        <v>0.74</v>
      </c>
      <c r="M609" s="83">
        <v>44704.0</v>
      </c>
      <c r="N609" s="84" t="s">
        <v>187</v>
      </c>
    </row>
    <row r="610">
      <c r="A610" s="66" t="s">
        <v>183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2">
        <f>AVERAGE(1.4,1.48,1.38,1.25)</f>
        <v>1.3775</v>
      </c>
      <c r="L610" s="82">
        <f t="shared" si="1"/>
        <v>0.77</v>
      </c>
      <c r="M610" s="83">
        <v>44704.0</v>
      </c>
      <c r="N610" s="84" t="s">
        <v>187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2">
        <f>AVERAGE(1.63,1.66,1.67,1.73)</f>
        <v>1.6725</v>
      </c>
      <c r="L611" s="82">
        <f t="shared" si="1"/>
        <v>3.15</v>
      </c>
      <c r="M611" s="83">
        <v>44704.0</v>
      </c>
      <c r="N611" s="84" t="s">
        <v>187</v>
      </c>
    </row>
    <row r="612">
      <c r="A612" s="66" t="s">
        <v>183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2">
        <f>AVERAGE(1.35,1.25,1.22,1.3)</f>
        <v>1.28</v>
      </c>
      <c r="L612" s="82">
        <f t="shared" si="1"/>
        <v>1.07</v>
      </c>
      <c r="M612" s="83">
        <v>44704.0</v>
      </c>
      <c r="N612" s="84" t="s">
        <v>187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2">
        <f>AVERAGE(1.81,1.79,1.76,1.79)</f>
        <v>1.7875</v>
      </c>
      <c r="L613" s="82">
        <f t="shared" si="1"/>
        <v>6.57</v>
      </c>
      <c r="M613" s="83">
        <v>44704.0</v>
      </c>
      <c r="N613" s="84" t="s">
        <v>187</v>
      </c>
    </row>
    <row r="614">
      <c r="A614" s="66" t="s">
        <v>183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2">
        <f>AVERAGE(1.85,1.89,1.9,2.01)</f>
        <v>1.9125</v>
      </c>
      <c r="L614" s="82">
        <f t="shared" si="1"/>
        <v>2.67</v>
      </c>
      <c r="M614" s="83">
        <v>44704.0</v>
      </c>
      <c r="N614" s="84" t="s">
        <v>187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2">
        <f>AVERAGE(2.19,2.04,2.09,2)</f>
        <v>2.08</v>
      </c>
      <c r="L615" s="82">
        <f t="shared" si="1"/>
        <v>15.7</v>
      </c>
      <c r="M615" s="83">
        <v>44704.0</v>
      </c>
      <c r="N615" s="84" t="s">
        <v>187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2">
        <f>AVERAGE(1.09,1.07,1.1,1.08)</f>
        <v>1.085</v>
      </c>
      <c r="L616" s="82">
        <f t="shared" si="1"/>
        <v>2.19</v>
      </c>
      <c r="M616" s="83">
        <v>44704.0</v>
      </c>
      <c r="N616" s="84" t="s">
        <v>187</v>
      </c>
    </row>
    <row r="617">
      <c r="A617" s="66" t="s">
        <v>183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2">
        <f>AVERAGE(1.54,1.56,1.58,1.49)</f>
        <v>1.5425</v>
      </c>
      <c r="L617" s="82">
        <f t="shared" si="1"/>
        <v>1.86</v>
      </c>
      <c r="M617" s="83">
        <v>44704.0</v>
      </c>
      <c r="N617" s="84" t="s">
        <v>187</v>
      </c>
    </row>
    <row r="618">
      <c r="A618" s="66" t="s">
        <v>183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2">
        <f>AVERAGE(1.24,1.25,1.26,1.32)</f>
        <v>1.2675</v>
      </c>
      <c r="L618" s="82">
        <f t="shared" si="1"/>
        <v>0.89</v>
      </c>
      <c r="M618" s="83">
        <v>44704.0</v>
      </c>
      <c r="N618" s="84" t="s">
        <v>187</v>
      </c>
    </row>
    <row r="619">
      <c r="A619" s="66" t="s">
        <v>183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2">
        <f>AVERAGE(0.8,0.85,0.95,0.87)</f>
        <v>0.8675</v>
      </c>
      <c r="L619" s="82">
        <f t="shared" si="1"/>
        <v>1.41</v>
      </c>
      <c r="M619" s="83">
        <v>44704.0</v>
      </c>
      <c r="N619" s="84" t="s">
        <v>187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2">
        <f>AVERAGE(1.55,1.44,1.95,1.49)</f>
        <v>1.6075</v>
      </c>
      <c r="L620" s="82">
        <f t="shared" si="1"/>
        <v>6.9</v>
      </c>
      <c r="M620" s="83">
        <v>44704.0</v>
      </c>
      <c r="N620" s="84" t="s">
        <v>187</v>
      </c>
    </row>
    <row r="621">
      <c r="A621" s="66" t="s">
        <v>183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2">
        <f>AVERAGE(1.6,1.03,0.86,0.93)</f>
        <v>1.105</v>
      </c>
      <c r="L621" s="82">
        <f t="shared" si="1"/>
        <v>1.17</v>
      </c>
      <c r="M621" s="83">
        <v>44704.0</v>
      </c>
      <c r="N621" s="84" t="s">
        <v>187</v>
      </c>
    </row>
    <row r="622">
      <c r="A622" s="66" t="s">
        <v>183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2">
        <f>AVERAGE(1.75,1.65,1.77,1.53)</f>
        <v>1.675</v>
      </c>
      <c r="L622" s="82">
        <f t="shared" si="1"/>
        <v>5.89</v>
      </c>
      <c r="M622" s="83">
        <v>44704.0</v>
      </c>
      <c r="N622" s="84" t="s">
        <v>187</v>
      </c>
    </row>
    <row r="623">
      <c r="A623" s="66" t="s">
        <v>183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2">
        <f>AVERAGE(1.22,1.27,1.29,1.1)</f>
        <v>1.22</v>
      </c>
      <c r="L623" s="82">
        <f t="shared" si="1"/>
        <v>1.05</v>
      </c>
      <c r="M623" s="83">
        <v>44704.0</v>
      </c>
      <c r="N623" s="84" t="s">
        <v>187</v>
      </c>
    </row>
    <row r="624">
      <c r="A624" s="66" t="s">
        <v>183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2">
        <f>AVERAGE(1.29,1.31,1.34,1.37)</f>
        <v>1.3275</v>
      </c>
      <c r="L624" s="82">
        <f t="shared" si="1"/>
        <v>2.4</v>
      </c>
      <c r="M624" s="83">
        <v>44704.0</v>
      </c>
      <c r="N624" s="84" t="s">
        <v>187</v>
      </c>
    </row>
    <row r="625">
      <c r="A625" s="66" t="s">
        <v>183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2">
        <f>AVERAGE(1.29,1.39,1.25,1.25)</f>
        <v>1.295</v>
      </c>
      <c r="L625" s="82">
        <f t="shared" si="1"/>
        <v>1.11</v>
      </c>
      <c r="M625" s="83">
        <v>44704.0</v>
      </c>
      <c r="N625" s="84" t="s">
        <v>187</v>
      </c>
    </row>
    <row r="626">
      <c r="A626" s="66" t="s">
        <v>183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2">
        <f>AVERAGE(1.25,1.15,1.03,1.13)</f>
        <v>1.14</v>
      </c>
      <c r="L626" s="82">
        <f t="shared" si="1"/>
        <v>1.01</v>
      </c>
      <c r="M626" s="83">
        <v>44704.0</v>
      </c>
      <c r="N626" s="84" t="s">
        <v>187</v>
      </c>
    </row>
    <row r="627">
      <c r="A627" s="66" t="s">
        <v>183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2">
        <f>AVERAGE(0.83,0.84,0.85,0.84)</f>
        <v>0.84</v>
      </c>
      <c r="L627" s="82">
        <f t="shared" si="1"/>
        <v>0.82</v>
      </c>
      <c r="M627" s="83">
        <v>44704.0</v>
      </c>
      <c r="N627" s="84" t="s">
        <v>187</v>
      </c>
    </row>
    <row r="628">
      <c r="A628" s="66" t="s">
        <v>183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2">
        <f>AVERAGE(0.9,0.97,0.87,0.81)</f>
        <v>0.8875</v>
      </c>
      <c r="L628" s="82">
        <f t="shared" si="1"/>
        <v>0.9</v>
      </c>
      <c r="M628" s="83">
        <v>44704.0</v>
      </c>
      <c r="N628" s="84" t="s">
        <v>187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2">
        <f>AVERAGE(1.7,1.71,1.63,1.8)</f>
        <v>1.71</v>
      </c>
      <c r="L629" s="82">
        <f t="shared" si="1"/>
        <v>7.84</v>
      </c>
      <c r="M629" s="83">
        <v>44704.0</v>
      </c>
      <c r="N629" s="84" t="s">
        <v>187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2">
        <f>AVERAGE(2.28,2.28,2.23,2.29)</f>
        <v>2.27</v>
      </c>
      <c r="L630" s="82">
        <f t="shared" si="1"/>
        <v>7.75</v>
      </c>
      <c r="M630" s="83">
        <v>44704.0</v>
      </c>
      <c r="N630" s="84" t="s">
        <v>187</v>
      </c>
    </row>
    <row r="631">
      <c r="A631" s="66" t="s">
        <v>183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2">
        <f>AVERAGE(1.43,1.4,1.51,1.4)</f>
        <v>1.435</v>
      </c>
      <c r="L631" s="82">
        <f t="shared" si="1"/>
        <v>1.12</v>
      </c>
      <c r="M631" s="83">
        <v>44704.0</v>
      </c>
      <c r="N631" s="84" t="s">
        <v>187</v>
      </c>
    </row>
    <row r="632">
      <c r="A632" s="66" t="s">
        <v>183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2">
        <f>AVERAGE(1.42,1.44,1.58,1.58)</f>
        <v>1.505</v>
      </c>
      <c r="L632" s="82">
        <f t="shared" si="1"/>
        <v>0.8</v>
      </c>
      <c r="M632" s="83">
        <v>44704.0</v>
      </c>
      <c r="N632" s="84" t="s">
        <v>187</v>
      </c>
    </row>
    <row r="633">
      <c r="A633" s="66" t="s">
        <v>183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2">
        <f>AVERAGE(1.4,1.49,1.28,1.31)</f>
        <v>1.37</v>
      </c>
      <c r="L633" s="82">
        <f t="shared" si="1"/>
        <v>1.93</v>
      </c>
      <c r="M633" s="83">
        <v>44704.0</v>
      </c>
      <c r="N633" s="84" t="s">
        <v>187</v>
      </c>
    </row>
    <row r="634">
      <c r="A634" s="66" t="s">
        <v>183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2">
        <f>AVERAGE(1.4,1.38,1.39,1.39)</f>
        <v>1.39</v>
      </c>
      <c r="L634" s="82">
        <f t="shared" si="1"/>
        <v>1.3</v>
      </c>
      <c r="M634" s="83">
        <v>44704.0</v>
      </c>
      <c r="N634" s="84" t="s">
        <v>187</v>
      </c>
    </row>
    <row r="635">
      <c r="A635" s="66" t="s">
        <v>183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2">
        <f>AVERAGE(1.07,1.09,0.99,1.27)</f>
        <v>1.105</v>
      </c>
      <c r="L635" s="82">
        <f t="shared" si="1"/>
        <v>0.96</v>
      </c>
      <c r="M635" s="83">
        <v>44704.0</v>
      </c>
      <c r="N635" s="84" t="s">
        <v>187</v>
      </c>
    </row>
    <row r="636">
      <c r="A636" s="66" t="s">
        <v>183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2">
        <f>AVERAGE(1.02,1.06,0.96,0.99)</f>
        <v>1.0075</v>
      </c>
      <c r="L636" s="82">
        <f t="shared" si="1"/>
        <v>0.8</v>
      </c>
      <c r="M636" s="83">
        <v>44704.0</v>
      </c>
      <c r="N636" s="84" t="s">
        <v>187</v>
      </c>
    </row>
    <row r="637">
      <c r="A637" s="66" t="s">
        <v>183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2">
        <f>AVERAGE(1.02,1.09,1.09,1.13)</f>
        <v>1.0825</v>
      </c>
      <c r="L637" s="82">
        <f t="shared" si="1"/>
        <v>1.05</v>
      </c>
      <c r="M637" s="83">
        <v>44704.0</v>
      </c>
      <c r="N637" s="84" t="s">
        <v>187</v>
      </c>
    </row>
    <row r="638">
      <c r="A638" s="66" t="s">
        <v>183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2">
        <f>AVERAGE(1.75,1.6,1.91,1.84)</f>
        <v>1.775</v>
      </c>
      <c r="L638" s="82">
        <f t="shared" si="1"/>
        <v>2.11</v>
      </c>
      <c r="M638" s="83">
        <v>44704.0</v>
      </c>
      <c r="N638" s="84" t="s">
        <v>187</v>
      </c>
    </row>
    <row r="639">
      <c r="A639" s="66" t="s">
        <v>183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2">
        <f>AVERAGE(1.27,1.09,1.22,1.32)</f>
        <v>1.225</v>
      </c>
      <c r="L639" s="82">
        <f t="shared" si="1"/>
        <v>1.28</v>
      </c>
      <c r="M639" s="83">
        <v>44704.0</v>
      </c>
      <c r="N639" s="84" t="s">
        <v>187</v>
      </c>
    </row>
    <row r="640">
      <c r="A640" s="66" t="s">
        <v>183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2">
        <f>AVERAGE(1.56,1.66,1.64,1.66)</f>
        <v>1.63</v>
      </c>
      <c r="L640" s="82">
        <f t="shared" si="1"/>
        <v>1.51</v>
      </c>
      <c r="M640" s="83">
        <v>44704.0</v>
      </c>
      <c r="N640" s="84" t="s">
        <v>187</v>
      </c>
    </row>
    <row r="641">
      <c r="A641" s="66" t="s">
        <v>183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2">
        <f>AVERAGE(1.29,1.33,1.37,1.29)</f>
        <v>1.32</v>
      </c>
      <c r="L641" s="82">
        <f t="shared" si="1"/>
        <v>3.94</v>
      </c>
      <c r="M641" s="83">
        <v>44704.0</v>
      </c>
      <c r="N641" s="84" t="s">
        <v>187</v>
      </c>
    </row>
    <row r="642">
      <c r="A642" s="66" t="s">
        <v>183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2">
        <f>AVERAGE(1.04,1.09,0.96,0.86)</f>
        <v>0.9875</v>
      </c>
      <c r="L642" s="82">
        <f t="shared" si="1"/>
        <v>1.45</v>
      </c>
      <c r="M642" s="83">
        <v>44704.0</v>
      </c>
      <c r="N642" s="84" t="s">
        <v>187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2">
        <f>AVERAGE(1.5,1.63,1.67,1.57)</f>
        <v>1.5925</v>
      </c>
      <c r="L643" s="82">
        <f t="shared" si="1"/>
        <v>4.34</v>
      </c>
      <c r="M643" s="83">
        <v>44704.0</v>
      </c>
      <c r="N643" s="84" t="s">
        <v>187</v>
      </c>
    </row>
    <row r="644">
      <c r="A644" s="66" t="s">
        <v>183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2">
        <f>AVERAGE(1.83,1.74,1.53,1.83)</f>
        <v>1.7325</v>
      </c>
      <c r="L644" s="82">
        <f t="shared" si="1"/>
        <v>1.94</v>
      </c>
      <c r="M644" s="83">
        <v>44704.0</v>
      </c>
      <c r="N644" s="84" t="s">
        <v>187</v>
      </c>
    </row>
    <row r="645">
      <c r="A645" s="66" t="s">
        <v>183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2">
        <f>AVERAGE(1.53,1.41,1.3,1.64)</f>
        <v>1.47</v>
      </c>
      <c r="L645" s="82">
        <f t="shared" si="1"/>
        <v>2.2</v>
      </c>
      <c r="M645" s="83">
        <v>44704.0</v>
      </c>
      <c r="N645" s="84" t="s">
        <v>187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2">
        <f>AVERAGE(1.44,1.39,1.57,1.49)</f>
        <v>1.4725</v>
      </c>
      <c r="L646" s="82">
        <f t="shared" si="1"/>
        <v>4.01</v>
      </c>
      <c r="M646" s="83">
        <v>44704.0</v>
      </c>
      <c r="N646" s="84" t="s">
        <v>187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2">
        <f>AVERAGE(1.65,1.69,1.73,1.76)</f>
        <v>1.7075</v>
      </c>
      <c r="L647" s="82">
        <f t="shared" si="1"/>
        <v>3.54</v>
      </c>
      <c r="M647" s="83">
        <v>44704.0</v>
      </c>
      <c r="N647" s="84" t="s">
        <v>187</v>
      </c>
    </row>
    <row r="648">
      <c r="A648" s="66" t="s">
        <v>183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2">
        <f>AVERAGE(1.17,1.19,1.2,1.22)</f>
        <v>1.195</v>
      </c>
      <c r="L648" s="82">
        <f t="shared" si="1"/>
        <v>1.86</v>
      </c>
      <c r="M648" s="83">
        <v>44704.0</v>
      </c>
      <c r="N648" s="84" t="s">
        <v>187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2">
        <f>AVERAGE(1.55,1.21,1.09,1.45)</f>
        <v>1.325</v>
      </c>
      <c r="L649" s="82">
        <f t="shared" si="1"/>
        <v>3.27</v>
      </c>
      <c r="M649" s="83">
        <v>44704.0</v>
      </c>
      <c r="N649" s="84" t="s">
        <v>187</v>
      </c>
    </row>
    <row r="650">
      <c r="A650" s="66" t="s">
        <v>183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2">
        <f>AVERAGE(1.24,1.25,1.3,1.3)</f>
        <v>1.2725</v>
      </c>
      <c r="L650" s="82">
        <f t="shared" si="1"/>
        <v>1.15</v>
      </c>
      <c r="M650" s="83">
        <v>44704.0</v>
      </c>
      <c r="N650" s="84" t="s">
        <v>187</v>
      </c>
    </row>
    <row r="651">
      <c r="A651" s="66" t="s">
        <v>183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2">
        <f>AVERAGE(1.27,1.09,1.07,1)</f>
        <v>1.1075</v>
      </c>
      <c r="L651" s="82">
        <f t="shared" si="1"/>
        <v>1.24</v>
      </c>
      <c r="M651" s="83">
        <v>44704.0</v>
      </c>
      <c r="N651" s="84" t="s">
        <v>187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2">
        <f>AVERAGE(1.81,1.83,1.81,1.91)</f>
        <v>1.84</v>
      </c>
      <c r="L652" s="82">
        <f t="shared" si="1"/>
        <v>13</v>
      </c>
      <c r="M652" s="83">
        <v>44704.0</v>
      </c>
      <c r="N652" s="84" t="s">
        <v>187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185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2">
        <f>AVERAGE(1.03,1.03,1.11,1.1)</f>
        <v>1.0675</v>
      </c>
      <c r="L653" s="82">
        <f t="shared" si="1"/>
        <v>1.14</v>
      </c>
      <c r="M653" s="83">
        <v>44704.0</v>
      </c>
      <c r="N653" s="84" t="s">
        <v>187</v>
      </c>
    </row>
    <row r="654">
      <c r="A654" s="66" t="s">
        <v>183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2">
        <f>AVERAGE(0.94,0.77,0.8,0.89)</f>
        <v>0.85</v>
      </c>
      <c r="L654" s="82">
        <f t="shared" si="1"/>
        <v>0.67</v>
      </c>
      <c r="M654" s="83">
        <v>44704.0</v>
      </c>
      <c r="N654" s="84" t="s">
        <v>187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2">
        <f>AVERAGE(1.55,1.8,1.9,1.99)</f>
        <v>1.81</v>
      </c>
      <c r="L655" s="82">
        <f t="shared" si="1"/>
        <v>9.12</v>
      </c>
      <c r="M655" s="83">
        <v>44704.0</v>
      </c>
      <c r="N655" s="84" t="s">
        <v>187</v>
      </c>
    </row>
    <row r="656">
      <c r="A656" s="66" t="s">
        <v>183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2">
        <f>AVERAGE(1.28,0.89,1.1,1.09)</f>
        <v>1.09</v>
      </c>
      <c r="L656" s="82">
        <f t="shared" si="1"/>
        <v>1.92</v>
      </c>
      <c r="M656" s="83">
        <v>44704.0</v>
      </c>
      <c r="N656" s="84" t="s">
        <v>187</v>
      </c>
    </row>
    <row r="657">
      <c r="A657" s="66" t="s">
        <v>183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2">
        <f>AVERAGE(1.58,1.52,1.64,1.58)</f>
        <v>1.58</v>
      </c>
      <c r="L657" s="82">
        <f t="shared" si="1"/>
        <v>3.9</v>
      </c>
      <c r="M657" s="83">
        <v>44704.0</v>
      </c>
      <c r="N657" s="84" t="s">
        <v>187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2">
        <f>AVERAGE(1.07,1.18,1.15,1.17)</f>
        <v>1.1425</v>
      </c>
      <c r="L658" s="82">
        <f t="shared" si="1"/>
        <v>2.1</v>
      </c>
      <c r="M658" s="83">
        <v>44704.0</v>
      </c>
      <c r="N658" s="84" t="s">
        <v>187</v>
      </c>
    </row>
    <row r="659">
      <c r="A659" s="66" t="s">
        <v>183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2">
        <f>AVERAGE(1.67,1.59,1.46,1.63)</f>
        <v>1.5875</v>
      </c>
      <c r="L659" s="82">
        <f t="shared" si="1"/>
        <v>4.26</v>
      </c>
      <c r="M659" s="83">
        <v>44704.0</v>
      </c>
      <c r="N659" s="84" t="s">
        <v>187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2">
        <f>AVERAGE(1.24,1.26,1.28,1.17)</f>
        <v>1.2375</v>
      </c>
      <c r="L660" s="82">
        <f t="shared" si="1"/>
        <v>1.71</v>
      </c>
      <c r="M660" s="83">
        <v>44704.0</v>
      </c>
      <c r="N660" s="84" t="s">
        <v>187</v>
      </c>
    </row>
    <row r="661">
      <c r="A661" s="66" t="s">
        <v>183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2">
        <f>AVERAGE(1.18,1.06,1.02,1.03)</f>
        <v>1.0725</v>
      </c>
      <c r="L661" s="82">
        <f t="shared" si="1"/>
        <v>1.22</v>
      </c>
      <c r="M661" s="83">
        <v>44704.0</v>
      </c>
      <c r="N661" s="84" t="s">
        <v>187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2">
        <f>AVERAGE(1.25,1.25,1.33,1.35)</f>
        <v>1.295</v>
      </c>
      <c r="L662" s="82">
        <f t="shared" si="1"/>
        <v>3.58</v>
      </c>
      <c r="M662" s="83">
        <v>44704.0</v>
      </c>
      <c r="N662" s="84" t="s">
        <v>187</v>
      </c>
    </row>
    <row r="663">
      <c r="A663" s="66" t="s">
        <v>183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2">
        <f>AVERAGE(1.2,1.17,1.08,1.19)</f>
        <v>1.16</v>
      </c>
      <c r="L663" s="82">
        <f t="shared" si="1"/>
        <v>1.16</v>
      </c>
      <c r="M663" s="83">
        <v>44704.0</v>
      </c>
      <c r="N663" s="84" t="s">
        <v>187</v>
      </c>
    </row>
    <row r="664">
      <c r="A664" s="66" t="s">
        <v>183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2">
        <f>AVERAGE(1.73,1.63,1.57,1.77)</f>
        <v>1.675</v>
      </c>
      <c r="L664" s="82">
        <f t="shared" si="1"/>
        <v>2.19</v>
      </c>
      <c r="M664" s="83">
        <v>44704.0</v>
      </c>
      <c r="N664" s="84" t="s">
        <v>187</v>
      </c>
    </row>
    <row r="665">
      <c r="A665" s="66" t="s">
        <v>183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2">
        <f>AVERAGE(1.15,1.05,1.03,1.21)</f>
        <v>1.11</v>
      </c>
      <c r="L665" s="82">
        <f t="shared" si="1"/>
        <v>1.7</v>
      </c>
      <c r="M665" s="83">
        <v>44704.0</v>
      </c>
      <c r="N665" s="84" t="s">
        <v>187</v>
      </c>
    </row>
    <row r="666">
      <c r="A666" s="66" t="s">
        <v>183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2">
        <f>AVERAGE(0.91,1.1,1.07,1.04)</f>
        <v>1.03</v>
      </c>
      <c r="L666" s="82">
        <f t="shared" si="1"/>
        <v>1.12</v>
      </c>
      <c r="M666" s="83">
        <v>44704.0</v>
      </c>
      <c r="N666" s="84" t="s">
        <v>187</v>
      </c>
    </row>
    <row r="667">
      <c r="A667" s="66" t="s">
        <v>183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2">
        <f>AVERAGE(1.25,1.57,1.34,1.46)</f>
        <v>1.405</v>
      </c>
      <c r="L667" s="82">
        <f t="shared" si="1"/>
        <v>3.33</v>
      </c>
      <c r="M667" s="83">
        <v>44704.0</v>
      </c>
      <c r="N667" s="84" t="s">
        <v>187</v>
      </c>
    </row>
    <row r="668">
      <c r="A668" s="66" t="s">
        <v>183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2">
        <f>AVERAGE(1.14,1.23,1.15,1.15)</f>
        <v>1.1675</v>
      </c>
      <c r="L668" s="82">
        <f t="shared" si="1"/>
        <v>0.72</v>
      </c>
      <c r="M668" s="83">
        <v>44704.0</v>
      </c>
      <c r="N668" s="84" t="s">
        <v>187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2">
        <f>AVERAGE(1.75,1.69,1.74,1.81)</f>
        <v>1.7475</v>
      </c>
      <c r="L669" s="82">
        <f t="shared" si="1"/>
        <v>4.49</v>
      </c>
      <c r="M669" s="83">
        <v>44704.0</v>
      </c>
      <c r="N669" s="84" t="s">
        <v>187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2">
        <f>AVERAGE(1.13,1.14,1.05,1.07)</f>
        <v>1.0975</v>
      </c>
      <c r="L670" s="82">
        <f t="shared" si="1"/>
        <v>3.35</v>
      </c>
      <c r="M670" s="83">
        <v>44704.0</v>
      </c>
      <c r="N670" s="84" t="s">
        <v>187</v>
      </c>
    </row>
    <row r="671">
      <c r="A671" s="66" t="s">
        <v>183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2">
        <f>AVERAGE(1.01,1.08,1.22,1.24)</f>
        <v>1.1375</v>
      </c>
      <c r="L671" s="82">
        <f t="shared" si="1"/>
        <v>1.14</v>
      </c>
      <c r="M671" s="83">
        <v>44704.0</v>
      </c>
      <c r="N671" s="84" t="s">
        <v>187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2">
        <f>AVERAGE(2.26,2.17,2.56,2.51)</f>
        <v>2.375</v>
      </c>
      <c r="L672" s="82">
        <f t="shared" si="1"/>
        <v>11.74</v>
      </c>
      <c r="M672" s="83">
        <v>44704.0</v>
      </c>
      <c r="N672" s="84" t="s">
        <v>187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2">
        <f>AVERAGE(1.6,1.64,1.79,1.81)</f>
        <v>1.71</v>
      </c>
      <c r="L673" s="82">
        <f t="shared" si="1"/>
        <v>7.37</v>
      </c>
      <c r="M673" s="83">
        <v>44704.0</v>
      </c>
      <c r="N673" s="84" t="s">
        <v>187</v>
      </c>
    </row>
    <row r="674">
      <c r="A674" s="66" t="s">
        <v>183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2">
        <f>AVERAGE(1.11,1.19,1.23,1.2)</f>
        <v>1.1825</v>
      </c>
      <c r="L674" s="82">
        <f t="shared" si="1"/>
        <v>0.95</v>
      </c>
      <c r="M674" s="83">
        <v>44704.0</v>
      </c>
      <c r="N674" s="84" t="s">
        <v>187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2">
        <f>AVERAGE(1.87,2,2.1,2.11)</f>
        <v>2.02</v>
      </c>
      <c r="L675" s="82">
        <f t="shared" si="1"/>
        <v>7.68</v>
      </c>
      <c r="M675" s="83">
        <v>44704.0</v>
      </c>
      <c r="N675" s="84" t="s">
        <v>187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2">
        <f>AVERAGE(1.21,1.22,1.33,1.33)</f>
        <v>1.2725</v>
      </c>
      <c r="L676" s="82">
        <f t="shared" si="1"/>
        <v>4.1</v>
      </c>
      <c r="M676" s="83">
        <v>44704.0</v>
      </c>
      <c r="N676" s="84" t="s">
        <v>187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2">
        <f>AVERAGE(1.64,1.64,1.68,1.67)</f>
        <v>1.6575</v>
      </c>
      <c r="L677" s="82">
        <f t="shared" si="1"/>
        <v>7.35</v>
      </c>
      <c r="M677" s="83">
        <v>44704.0</v>
      </c>
      <c r="N677" s="84" t="s">
        <v>187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2">
        <f>AVERAGE(1.4,1.29,1.2,1.13)</f>
        <v>1.255</v>
      </c>
      <c r="L678" s="82">
        <f t="shared" si="1"/>
        <v>2.52</v>
      </c>
      <c r="M678" s="83">
        <v>44704.0</v>
      </c>
      <c r="N678" s="84" t="s">
        <v>187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2">
        <f>AVERAGE(1.07,1.03,1.05,1.17)</f>
        <v>1.08</v>
      </c>
      <c r="L679" s="82">
        <f t="shared" si="1"/>
        <v>1.69</v>
      </c>
      <c r="M679" s="83">
        <v>44704.0</v>
      </c>
      <c r="N679" s="84" t="s">
        <v>187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2">
        <f>AVERAGE(1.32,1.36,1.37,1.39)</f>
        <v>1.36</v>
      </c>
      <c r="L680" s="82">
        <f t="shared" si="1"/>
        <v>1.45</v>
      </c>
      <c r="M680" s="83">
        <v>44704.0</v>
      </c>
      <c r="N680" s="84" t="s">
        <v>187</v>
      </c>
    </row>
    <row r="681">
      <c r="A681" s="66" t="s">
        <v>183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2">
        <f>AVERAGE(1.42,1.43,1.48,1.24)</f>
        <v>1.3925</v>
      </c>
      <c r="L681" s="82">
        <f t="shared" si="1"/>
        <v>1.42</v>
      </c>
      <c r="M681" s="83">
        <v>44704.0</v>
      </c>
      <c r="N681" s="84" t="s">
        <v>187</v>
      </c>
    </row>
    <row r="682">
      <c r="A682" s="66" t="s">
        <v>183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2">
        <f>AVERAGE(1.74,1.58,1.66,2.1)</f>
        <v>1.77</v>
      </c>
      <c r="L682" s="82">
        <f t="shared" si="1"/>
        <v>4.2</v>
      </c>
      <c r="M682" s="83">
        <v>44704.0</v>
      </c>
      <c r="N682" s="84" t="s">
        <v>187</v>
      </c>
    </row>
    <row r="683">
      <c r="A683" s="66" t="s">
        <v>183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2">
        <f>AVERAGE(1.1,1.16,1.12,1.11)</f>
        <v>1.1225</v>
      </c>
      <c r="L683" s="82">
        <f t="shared" si="1"/>
        <v>1.82</v>
      </c>
      <c r="M683" s="83">
        <v>44704.0</v>
      </c>
      <c r="N683" s="84" t="s">
        <v>187</v>
      </c>
    </row>
    <row r="684">
      <c r="A684" s="66" t="s">
        <v>183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2">
        <f>AVERAGE(1.35,1.32,1.44,1.4)</f>
        <v>1.3775</v>
      </c>
      <c r="L684" s="82">
        <f t="shared" si="1"/>
        <v>1</v>
      </c>
      <c r="M684" s="83">
        <v>44704.0</v>
      </c>
      <c r="N684" s="84" t="s">
        <v>187</v>
      </c>
    </row>
    <row r="685">
      <c r="A685" s="66" t="s">
        <v>183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2">
        <f>AVERAGE(1.16,1.21,1.21,1.17)</f>
        <v>1.1875</v>
      </c>
      <c r="L685" s="82">
        <f t="shared" si="1"/>
        <v>3.08</v>
      </c>
      <c r="M685" s="83">
        <v>44704.0</v>
      </c>
      <c r="N685" s="84" t="s">
        <v>187</v>
      </c>
    </row>
    <row r="686">
      <c r="A686" s="66" t="s">
        <v>183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2">
        <f>AVERAGE(1.3,1.27,1.33,1.21)</f>
        <v>1.2775</v>
      </c>
      <c r="L686" s="82">
        <f t="shared" si="1"/>
        <v>2.92</v>
      </c>
      <c r="M686" s="83">
        <v>44704.0</v>
      </c>
      <c r="N686" s="84" t="s">
        <v>187</v>
      </c>
    </row>
    <row r="687">
      <c r="A687" s="66" t="s">
        <v>183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2">
        <f>AVERAGE(1.14,1.08,1.02,1.1)</f>
        <v>1.085</v>
      </c>
      <c r="L687" s="82">
        <f t="shared" si="1"/>
        <v>1.37</v>
      </c>
      <c r="M687" s="83">
        <v>44704.0</v>
      </c>
      <c r="N687" s="84" t="s">
        <v>187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2">
        <f>AVERAGE(1.28,1.42,1.44,1.45)</f>
        <v>1.3975</v>
      </c>
      <c r="L688" s="82">
        <f t="shared" si="1"/>
        <v>5.65</v>
      </c>
      <c r="M688" s="83">
        <v>44704.0</v>
      </c>
      <c r="N688" s="84" t="s">
        <v>187</v>
      </c>
    </row>
    <row r="689">
      <c r="A689" s="66" t="s">
        <v>183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2">
        <f>AVERAGE(1.48,1.55,1.64,1.77)</f>
        <v>1.61</v>
      </c>
      <c r="L689" s="82">
        <f t="shared" si="1"/>
        <v>4.36</v>
      </c>
      <c r="M689" s="83">
        <v>44704.0</v>
      </c>
      <c r="N689" s="84" t="s">
        <v>187</v>
      </c>
    </row>
    <row r="690">
      <c r="A690" s="66" t="s">
        <v>183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2">
        <f>AVERAGE(1.44,1.47,1.48,1.23)</f>
        <v>1.405</v>
      </c>
      <c r="L690" s="82">
        <f t="shared" si="1"/>
        <v>2.06</v>
      </c>
      <c r="M690" s="83">
        <v>44704.0</v>
      </c>
      <c r="N690" s="84" t="s">
        <v>187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2">
        <f>AVERAGE(1.08,1.14,1.22,1.19)</f>
        <v>1.1575</v>
      </c>
      <c r="L691" s="82">
        <f t="shared" si="1"/>
        <v>3.63</v>
      </c>
      <c r="M691" s="83">
        <v>44704.0</v>
      </c>
      <c r="N691" s="84" t="s">
        <v>187</v>
      </c>
    </row>
    <row r="692">
      <c r="A692" s="66" t="s">
        <v>183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2">
        <f>AVERAGE(1.14,1.12,1.19,0.99)</f>
        <v>1.11</v>
      </c>
      <c r="L692" s="82">
        <f t="shared" si="1"/>
        <v>0.8</v>
      </c>
      <c r="M692" s="83">
        <v>44704.0</v>
      </c>
      <c r="N692" s="84" t="s">
        <v>187</v>
      </c>
    </row>
    <row r="693">
      <c r="A693" s="66" t="s">
        <v>183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2">
        <f>AVERAGE(1.01,1.07,1.08,0.93)</f>
        <v>1.0225</v>
      </c>
      <c r="L693" s="82">
        <f t="shared" si="1"/>
        <v>0.94</v>
      </c>
      <c r="M693" s="83">
        <v>44704.0</v>
      </c>
      <c r="N693" s="84" t="s">
        <v>187</v>
      </c>
    </row>
    <row r="694">
      <c r="A694" s="66" t="s">
        <v>183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2">
        <f>AVERAGE(1.18,1.12,1.02,1.06)</f>
        <v>1.095</v>
      </c>
      <c r="L694" s="82">
        <f t="shared" si="1"/>
        <v>0.97</v>
      </c>
      <c r="M694" s="83">
        <v>44704.0</v>
      </c>
      <c r="N694" s="84" t="s">
        <v>187</v>
      </c>
    </row>
    <row r="695">
      <c r="A695" s="66" t="s">
        <v>183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2">
        <f>AVERAGE(1.21,1.21,1.23,1.21)</f>
        <v>1.215</v>
      </c>
      <c r="L695" s="82">
        <f t="shared" si="1"/>
        <v>0.85</v>
      </c>
      <c r="M695" s="83">
        <v>44704.0</v>
      </c>
      <c r="N695" s="84" t="s">
        <v>187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2">
        <f>AVERAGE(1.54,1.67,1.45,1.6)</f>
        <v>1.565</v>
      </c>
      <c r="L696" s="82">
        <f t="shared" si="1"/>
        <v>2.15</v>
      </c>
      <c r="M696" s="83">
        <v>44704.0</v>
      </c>
      <c r="N696" s="84" t="s">
        <v>187</v>
      </c>
    </row>
    <row r="697">
      <c r="A697" s="66" t="s">
        <v>183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2">
        <f>AVERAGE(1.26,1.23,1.26,1.51)</f>
        <v>1.315</v>
      </c>
      <c r="L697" s="82">
        <f t="shared" si="1"/>
        <v>2.22</v>
      </c>
      <c r="M697" s="83">
        <v>44704.0</v>
      </c>
      <c r="N697" s="84" t="s">
        <v>187</v>
      </c>
    </row>
    <row r="698">
      <c r="A698" s="66" t="s">
        <v>183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2">
        <f>AVERAGE(1.27,1.33,1.43,1.31)</f>
        <v>1.335</v>
      </c>
      <c r="L698" s="82">
        <f t="shared" si="1"/>
        <v>1.62</v>
      </c>
      <c r="M698" s="83">
        <v>44704.0</v>
      </c>
      <c r="N698" s="84" t="s">
        <v>187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2">
        <f>AVERAGE(1.61,1.48,1.4,1.52)</f>
        <v>1.5025</v>
      </c>
      <c r="L699" s="82">
        <f t="shared" si="1"/>
        <v>2.78</v>
      </c>
      <c r="M699" s="83">
        <v>44704.0</v>
      </c>
      <c r="N699" s="84" t="s">
        <v>187</v>
      </c>
    </row>
    <row r="700">
      <c r="A700" s="66" t="s">
        <v>183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2">
        <f>AVERAGE(1.42,1.55,1.3,1.55)</f>
        <v>1.455</v>
      </c>
      <c r="L700" s="82">
        <f t="shared" si="1"/>
        <v>2.73</v>
      </c>
      <c r="M700" s="83">
        <v>44704.0</v>
      </c>
      <c r="N700" s="84" t="s">
        <v>187</v>
      </c>
    </row>
    <row r="701">
      <c r="A701" s="66" t="s">
        <v>183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2">
        <f>AVERAGE(1.14,1.09,1.05,1.05)</f>
        <v>1.0825</v>
      </c>
      <c r="L701" s="82">
        <f t="shared" si="1"/>
        <v>0.95</v>
      </c>
      <c r="M701" s="83">
        <v>44704.0</v>
      </c>
      <c r="N701" s="84" t="s">
        <v>187</v>
      </c>
    </row>
    <row r="702">
      <c r="A702" s="66" t="s">
        <v>183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2">
        <f>AVERAGE(1.28,1.1,1.25,1.18)</f>
        <v>1.2025</v>
      </c>
      <c r="L702" s="82">
        <f t="shared" si="1"/>
        <v>1.34</v>
      </c>
      <c r="M702" s="83">
        <v>44704.0</v>
      </c>
      <c r="N702" s="84" t="s">
        <v>187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2">
        <f>AVERAGE(1.65,1.69,1.75,1.77)</f>
        <v>1.715</v>
      </c>
      <c r="L703" s="82">
        <f t="shared" si="1"/>
        <v>8.1</v>
      </c>
      <c r="M703" s="83">
        <v>44704.0</v>
      </c>
      <c r="N703" s="84" t="s">
        <v>187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2">
        <f>AVERAGE(1.58,1.91,1.73,1.58)</f>
        <v>1.7</v>
      </c>
      <c r="L704" s="82">
        <f t="shared" si="1"/>
        <v>3.42</v>
      </c>
      <c r="M704" s="83">
        <v>44704.0</v>
      </c>
      <c r="N704" s="84" t="s">
        <v>187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2">
        <f>AVERAGE(1.57,1.56,1.41,1.57)</f>
        <v>1.5275</v>
      </c>
      <c r="L705" s="82">
        <f t="shared" si="1"/>
        <v>2.18</v>
      </c>
      <c r="M705" s="83">
        <v>44704.0</v>
      </c>
      <c r="N705" s="84" t="s">
        <v>187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2">
        <f>AVERAGE(1.48,1.58,1.44,1.58)</f>
        <v>1.52</v>
      </c>
      <c r="L706" s="82">
        <f t="shared" si="1"/>
        <v>5.14</v>
      </c>
      <c r="M706" s="83">
        <v>44704.0</v>
      </c>
      <c r="N706" s="84" t="s">
        <v>187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2">
        <f>AVERAGE(1.72,1.74,1.78,1.82)</f>
        <v>1.765</v>
      </c>
      <c r="L707" s="82">
        <f t="shared" si="1"/>
        <v>1.87</v>
      </c>
      <c r="M707" s="83">
        <v>44704.0</v>
      </c>
      <c r="N707" s="84" t="s">
        <v>187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2">
        <f>AVERAGE(2.08,2.18,2.26,2.46)</f>
        <v>2.245</v>
      </c>
      <c r="L708" s="82">
        <f t="shared" si="1"/>
        <v>9.18</v>
      </c>
      <c r="M708" s="83">
        <v>44704.0</v>
      </c>
      <c r="N708" s="84" t="s">
        <v>187</v>
      </c>
    </row>
    <row r="709">
      <c r="A709" s="66" t="s">
        <v>183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2">
        <f>AVERAGE(1.14,1.4,1.22,1.04)</f>
        <v>1.2</v>
      </c>
      <c r="L709" s="82">
        <f t="shared" si="1"/>
        <v>1.42</v>
      </c>
      <c r="M709" s="83">
        <v>44704.0</v>
      </c>
      <c r="N709" s="84" t="s">
        <v>187</v>
      </c>
    </row>
    <row r="710">
      <c r="A710" s="66" t="s">
        <v>183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2">
        <f>AVERAGE(1.7,1.64,1.56,1.62)</f>
        <v>1.63</v>
      </c>
      <c r="L710" s="82">
        <f t="shared" si="1"/>
        <v>2.73</v>
      </c>
      <c r="M710" s="83">
        <v>44704.0</v>
      </c>
      <c r="N710" s="84" t="s">
        <v>187</v>
      </c>
    </row>
    <row r="711">
      <c r="A711" s="66" t="s">
        <v>183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2">
        <f>AVERAGE(1.11,1.27,1.28,1.16)</f>
        <v>1.205</v>
      </c>
      <c r="L711" s="82">
        <f t="shared" si="1"/>
        <v>2.06</v>
      </c>
      <c r="M711" s="83">
        <v>44704.0</v>
      </c>
      <c r="N711" s="84" t="s">
        <v>187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2">
        <f>(0.85+0.87+0.91+0.93)/4</f>
        <v>0.89</v>
      </c>
      <c r="L712" s="82">
        <f t="shared" si="1"/>
        <v>2.3</v>
      </c>
      <c r="M712" s="83">
        <v>44761.0</v>
      </c>
      <c r="N712" s="84" t="s">
        <v>187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2">
        <f>(2.28+2.27+2.38+2.32)/4</f>
        <v>2.3125</v>
      </c>
      <c r="L713" s="82">
        <f t="shared" si="1"/>
        <v>11.48</v>
      </c>
      <c r="M713" s="83">
        <v>44761.0</v>
      </c>
      <c r="N713" s="84" t="s">
        <v>187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2">
        <f>(1.58+1.51+1.42+1.4)/4</f>
        <v>1.4775</v>
      </c>
      <c r="L714" s="82">
        <f t="shared" si="1"/>
        <v>3.27</v>
      </c>
      <c r="M714" s="83">
        <v>44761.0</v>
      </c>
      <c r="N714" s="84" t="s">
        <v>187</v>
      </c>
    </row>
    <row r="715">
      <c r="A715" s="66" t="s">
        <v>183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2">
        <f>AVERAGE(1.7, 1.66, 1.58, 1.59)</f>
        <v>1.6325</v>
      </c>
      <c r="L715" s="82">
        <f t="shared" si="1"/>
        <v>3.63</v>
      </c>
      <c r="M715" s="83">
        <v>44761.0</v>
      </c>
      <c r="N715" s="84" t="s">
        <v>187</v>
      </c>
    </row>
    <row r="716">
      <c r="A716" s="66" t="s">
        <v>183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2">
        <f>AVERAGE(1.11,1.09,1.19,1.23)</f>
        <v>1.155</v>
      </c>
      <c r="L716" s="82">
        <f t="shared" si="1"/>
        <v>1.07</v>
      </c>
      <c r="M716" s="83">
        <v>44761.0</v>
      </c>
      <c r="N716" s="84" t="s">
        <v>187</v>
      </c>
    </row>
    <row r="717">
      <c r="A717" s="66" t="s">
        <v>183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2">
        <f>AVERAGE(1.12,1.02,1.08,1.18)</f>
        <v>1.1</v>
      </c>
      <c r="L717" s="82">
        <f t="shared" si="1"/>
        <v>1.13</v>
      </c>
      <c r="M717" s="83">
        <v>44761.0</v>
      </c>
      <c r="N717" s="84" t="s">
        <v>187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2">
        <f>AVERAGE(1.75,1.75,1.84,1.79)</f>
        <v>1.7825</v>
      </c>
      <c r="L718" s="82">
        <f t="shared" si="1"/>
        <v>4.75</v>
      </c>
      <c r="M718" s="83">
        <v>44761.0</v>
      </c>
      <c r="N718" s="84" t="s">
        <v>187</v>
      </c>
    </row>
    <row r="719">
      <c r="A719" s="66" t="s">
        <v>183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2">
        <f>AVERAGE(1.28,1.18,1.24,1.28)</f>
        <v>1.245</v>
      </c>
      <c r="L719" s="82">
        <f t="shared" si="1"/>
        <v>1.19</v>
      </c>
      <c r="M719" s="83">
        <v>44761.0</v>
      </c>
      <c r="N719" s="84" t="s">
        <v>187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2">
        <f>AVERAGE(1.26,1.27,1.23,1.26)</f>
        <v>1.255</v>
      </c>
      <c r="L720" s="82">
        <f t="shared" si="1"/>
        <v>5.7</v>
      </c>
      <c r="M720" s="83">
        <v>44761.0</v>
      </c>
      <c r="N720" s="84" t="s">
        <v>187</v>
      </c>
    </row>
    <row r="721">
      <c r="A721" s="66" t="s">
        <v>183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2">
        <f>AVERAGE(1.06,1.23,1.21,1.03)</f>
        <v>1.1325</v>
      </c>
      <c r="L721" s="82">
        <f t="shared" si="1"/>
        <v>0.72</v>
      </c>
      <c r="M721" s="83">
        <v>44761.0</v>
      </c>
      <c r="N721" s="84" t="s">
        <v>187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2">
        <f>AVERAGE(1.88,1.67,1.87,1.89)</f>
        <v>1.8275</v>
      </c>
      <c r="L722" s="82">
        <f t="shared" si="1"/>
        <v>5.28</v>
      </c>
      <c r="M722" s="83">
        <v>44761.0</v>
      </c>
      <c r="N722" s="84" t="s">
        <v>187</v>
      </c>
    </row>
    <row r="723">
      <c r="A723" s="66" t="s">
        <v>183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2">
        <f>AVERAGE(0.89,0.99,1.05,0.98)</f>
        <v>0.9775</v>
      </c>
      <c r="L723" s="82">
        <f t="shared" si="1"/>
        <v>0.57</v>
      </c>
      <c r="M723" s="83">
        <v>44761.0</v>
      </c>
      <c r="N723" s="84" t="s">
        <v>187</v>
      </c>
    </row>
    <row r="724">
      <c r="A724" s="66" t="s">
        <v>183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2">
        <f>AVERAGE(1.17,1.15,1.26,1.26)</f>
        <v>1.21</v>
      </c>
      <c r="L724" s="82">
        <f t="shared" si="1"/>
        <v>0.91</v>
      </c>
      <c r="M724" s="83">
        <v>44761.0</v>
      </c>
      <c r="N724" s="84" t="s">
        <v>187</v>
      </c>
    </row>
    <row r="725">
      <c r="A725" s="66" t="s">
        <v>183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2">
        <f>AVERAGE(1.24,1.25,1.26,1.3)</f>
        <v>1.2625</v>
      </c>
      <c r="L725" s="82">
        <f t="shared" si="1"/>
        <v>1.34</v>
      </c>
      <c r="M725" s="83">
        <v>44761.0</v>
      </c>
      <c r="N725" s="84" t="s">
        <v>187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2">
        <f>AVERAGE(1.4,1.34,1.34,1.43)</f>
        <v>1.3775</v>
      </c>
      <c r="L726" s="82">
        <f t="shared" si="1"/>
        <v>5.11</v>
      </c>
      <c r="M726" s="83">
        <v>44761.0</v>
      </c>
      <c r="N726" s="84" t="s">
        <v>187</v>
      </c>
    </row>
    <row r="727">
      <c r="A727" s="66" t="s">
        <v>183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2">
        <f>AVERAGE(1.02,1.26,1.04,1.18)</f>
        <v>1.125</v>
      </c>
      <c r="L727" s="82">
        <f t="shared" si="1"/>
        <v>1.35</v>
      </c>
      <c r="M727" s="83">
        <v>44761.0</v>
      </c>
      <c r="N727" s="84" t="s">
        <v>187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2">
        <f>AVERAGE(0.99,0.99,1.07,0.96)</f>
        <v>1.0025</v>
      </c>
      <c r="L728" s="82">
        <f t="shared" si="1"/>
        <v>2.77</v>
      </c>
      <c r="M728" s="83">
        <v>44761.0</v>
      </c>
      <c r="N728" s="84" t="s">
        <v>187</v>
      </c>
    </row>
    <row r="729">
      <c r="A729" s="66" t="s">
        <v>183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2">
        <f>AVERAGE(1.41,1.37,1.32,1.31)</f>
        <v>1.3525</v>
      </c>
      <c r="L729" s="82">
        <f t="shared" si="1"/>
        <v>1.42</v>
      </c>
      <c r="M729" s="83">
        <v>44761.0</v>
      </c>
      <c r="N729" s="84" t="s">
        <v>187</v>
      </c>
    </row>
    <row r="730">
      <c r="A730" s="66" t="s">
        <v>183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2">
        <f>AVERAGE(1.01,1.15,1.07,0.95)</f>
        <v>1.045</v>
      </c>
      <c r="L730" s="82">
        <f t="shared" si="1"/>
        <v>1.14</v>
      </c>
      <c r="M730" s="83">
        <v>44761.0</v>
      </c>
      <c r="N730" s="84" t="s">
        <v>187</v>
      </c>
    </row>
    <row r="731">
      <c r="A731" s="66" t="s">
        <v>183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2">
        <f>AVERAGE(0.88,0.87,0.88,0.8)</f>
        <v>0.8575</v>
      </c>
      <c r="L731" s="82">
        <f t="shared" si="1"/>
        <v>0.6</v>
      </c>
      <c r="M731" s="83">
        <v>44761.0</v>
      </c>
      <c r="N731" s="84" t="s">
        <v>187</v>
      </c>
    </row>
    <row r="732">
      <c r="A732" s="66" t="s">
        <v>183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2">
        <f>AVERAGE(0.66,0.69,0.82,0.8)</f>
        <v>0.7425</v>
      </c>
      <c r="L732" s="82">
        <f t="shared" si="1"/>
        <v>0.59</v>
      </c>
      <c r="M732" s="83">
        <v>44761.0</v>
      </c>
      <c r="N732" s="84" t="s">
        <v>187</v>
      </c>
    </row>
    <row r="733">
      <c r="A733" s="66" t="s">
        <v>183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2">
        <f>AVERAGE(1.42,1.45,1.55,1.5)</f>
        <v>1.48</v>
      </c>
      <c r="L733" s="82">
        <f t="shared" si="1"/>
        <v>2.29</v>
      </c>
      <c r="M733" s="83">
        <v>44761.0</v>
      </c>
      <c r="N733" s="84" t="s">
        <v>187</v>
      </c>
    </row>
    <row r="734">
      <c r="A734" s="66" t="s">
        <v>183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2">
        <f>AVERAGE(1.39,1.51,1.38,1.42)</f>
        <v>1.425</v>
      </c>
      <c r="L734" s="82">
        <f t="shared" si="1"/>
        <v>2.19</v>
      </c>
      <c r="M734" s="83">
        <v>44761.0</v>
      </c>
      <c r="N734" s="84" t="s">
        <v>187</v>
      </c>
    </row>
    <row r="735">
      <c r="A735" s="66" t="s">
        <v>183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2">
        <f>AVERAGE(1.17,1.27,1.21,1.2)</f>
        <v>1.2125</v>
      </c>
      <c r="L735" s="82">
        <f t="shared" si="1"/>
        <v>1.39</v>
      </c>
      <c r="M735" s="83">
        <v>44761.0</v>
      </c>
      <c r="N735" s="84" t="s">
        <v>187</v>
      </c>
    </row>
    <row r="736">
      <c r="A736" s="66" t="s">
        <v>183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2">
        <f>AVERAGE(1.17,1.2,1.03,1.14)</f>
        <v>1.135</v>
      </c>
      <c r="L736" s="82">
        <f t="shared" si="1"/>
        <v>2.1</v>
      </c>
      <c r="M736" s="83">
        <v>44761.0</v>
      </c>
      <c r="N736" s="84" t="s">
        <v>187</v>
      </c>
    </row>
    <row r="737">
      <c r="A737" s="66" t="s">
        <v>183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2">
        <f>AVERAGE(1.05,1.08,1.38,1.2)</f>
        <v>1.1775</v>
      </c>
      <c r="L737" s="82">
        <f t="shared" si="1"/>
        <v>1.09</v>
      </c>
      <c r="M737" s="83">
        <v>44761.0</v>
      </c>
      <c r="N737" s="84" t="s">
        <v>187</v>
      </c>
    </row>
    <row r="738">
      <c r="A738" s="66" t="s">
        <v>183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2">
        <f>AVERAGE(1.28,1.02,1.04,1.06)</f>
        <v>1.1</v>
      </c>
      <c r="L738" s="82">
        <f t="shared" si="1"/>
        <v>1.04</v>
      </c>
      <c r="M738" s="83">
        <v>44761.0</v>
      </c>
      <c r="N738" s="84" t="s">
        <v>187</v>
      </c>
    </row>
    <row r="739">
      <c r="A739" s="66" t="s">
        <v>183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2">
        <f>AVERAGE(1.49,1.63,1.58,1.5)</f>
        <v>1.55</v>
      </c>
      <c r="L739" s="82">
        <f t="shared" si="1"/>
        <v>2.06</v>
      </c>
      <c r="M739" s="83">
        <v>44761.0</v>
      </c>
      <c r="N739" s="84" t="s">
        <v>187</v>
      </c>
    </row>
    <row r="740">
      <c r="A740" s="66" t="s">
        <v>183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2">
        <f>AVERAGE(0.96,0.92,0.96,0.91)</f>
        <v>0.9375</v>
      </c>
      <c r="L740" s="82">
        <f t="shared" si="1"/>
        <v>0.63</v>
      </c>
      <c r="M740" s="83">
        <v>44761.0</v>
      </c>
      <c r="N740" s="84" t="s">
        <v>187</v>
      </c>
    </row>
    <row r="741">
      <c r="A741" s="66" t="s">
        <v>183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2">
        <f>AVERAGE(1.66, 1.6,1.77,1.5)</f>
        <v>1.6325</v>
      </c>
      <c r="L741" s="82">
        <f t="shared" si="1"/>
        <v>1.18</v>
      </c>
      <c r="M741" s="83">
        <v>44761.0</v>
      </c>
      <c r="N741" s="84" t="s">
        <v>187</v>
      </c>
    </row>
    <row r="742">
      <c r="A742" s="66" t="s">
        <v>183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2">
        <f>AVERAGE(2.29,2.33,2.4,2.44)</f>
        <v>2.365</v>
      </c>
      <c r="L742" s="82">
        <f t="shared" si="1"/>
        <v>3.1</v>
      </c>
      <c r="M742" s="83">
        <v>44761.0</v>
      </c>
      <c r="N742" s="84" t="s">
        <v>187</v>
      </c>
    </row>
    <row r="743">
      <c r="A743" s="66" t="s">
        <v>190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2">
        <f>AVERAGE(1.57,1.44,1.28,1.45)</f>
        <v>1.435</v>
      </c>
      <c r="L743" s="82">
        <f t="shared" si="1"/>
        <v>1.56</v>
      </c>
      <c r="M743" s="83">
        <v>44761.0</v>
      </c>
      <c r="N743" s="84" t="s">
        <v>187</v>
      </c>
    </row>
    <row r="744">
      <c r="A744" s="66" t="s">
        <v>183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2">
        <f>AVERAGE(1.27,1.26,1.04,1.06)</f>
        <v>1.1575</v>
      </c>
      <c r="L744" s="82">
        <f t="shared" si="1"/>
        <v>0.94</v>
      </c>
      <c r="M744" s="83">
        <v>44761.0</v>
      </c>
      <c r="N744" s="84" t="s">
        <v>187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2">
        <f>AVERAGE(1.73,1.69,1.73,1.66)</f>
        <v>1.7025</v>
      </c>
      <c r="L745" s="82">
        <f t="shared" si="1"/>
        <v>4.11</v>
      </c>
      <c r="M745" s="83">
        <v>44761.0</v>
      </c>
      <c r="N745" s="84" t="s">
        <v>187</v>
      </c>
    </row>
    <row r="746">
      <c r="A746" s="66" t="s">
        <v>183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2">
        <f>AVERAGE(1.12,1.14,1.16,1.17)</f>
        <v>1.1475</v>
      </c>
      <c r="L746" s="82">
        <f t="shared" si="1"/>
        <v>2.73</v>
      </c>
      <c r="M746" s="83">
        <v>44761.0</v>
      </c>
      <c r="N746" s="84" t="s">
        <v>187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2">
        <f>AVERAGE(1.75,1.86,1.91,1.91)</f>
        <v>1.8575</v>
      </c>
      <c r="L747" s="82">
        <f t="shared" si="1"/>
        <v>4.56</v>
      </c>
      <c r="M747" s="83">
        <v>44761.0</v>
      </c>
      <c r="N747" s="84" t="s">
        <v>187</v>
      </c>
    </row>
    <row r="748">
      <c r="A748" s="66" t="s">
        <v>183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2">
        <f>AVERAGE(1.61,1.67,1.68,1.69)</f>
        <v>1.6625</v>
      </c>
      <c r="L748" s="82">
        <f t="shared" si="1"/>
        <v>4.02</v>
      </c>
      <c r="M748" s="83">
        <v>44761.0</v>
      </c>
      <c r="N748" s="84" t="s">
        <v>187</v>
      </c>
    </row>
    <row r="749">
      <c r="A749" s="66" t="s">
        <v>183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2">
        <f>AVERAGE(1.18,1.31,1.27,1.2)</f>
        <v>1.24</v>
      </c>
      <c r="L749" s="82">
        <f t="shared" si="1"/>
        <v>1.49</v>
      </c>
      <c r="M749" s="83">
        <v>44761.0</v>
      </c>
      <c r="N749" s="84" t="s">
        <v>187</v>
      </c>
    </row>
    <row r="750">
      <c r="A750" s="66" t="s">
        <v>183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2">
        <f>AVERAGE(1.8,2.02,1.72,1.55)</f>
        <v>1.7725</v>
      </c>
      <c r="L750" s="82">
        <f t="shared" si="1"/>
        <v>2.94</v>
      </c>
      <c r="M750" s="83">
        <v>44761.0</v>
      </c>
      <c r="N750" s="84" t="s">
        <v>187</v>
      </c>
    </row>
    <row r="751">
      <c r="A751" s="66" t="s">
        <v>183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2">
        <f>AVERAGE(1.34,1.32,1.37,1.34)</f>
        <v>1.3425</v>
      </c>
      <c r="L751" s="82">
        <f t="shared" si="1"/>
        <v>1.39</v>
      </c>
      <c r="M751" s="83">
        <v>44761.0</v>
      </c>
      <c r="N751" s="84" t="s">
        <v>187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2">
        <f>AVERAGE(1.37,1.42,1.35,1.38)</f>
        <v>1.38</v>
      </c>
      <c r="L752" s="82">
        <f t="shared" si="1"/>
        <v>4.36</v>
      </c>
      <c r="M752" s="83">
        <v>44761.0</v>
      </c>
      <c r="N752" s="84" t="s">
        <v>187</v>
      </c>
    </row>
    <row r="753">
      <c r="A753" s="66" t="s">
        <v>183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2">
        <f>AVERAGE(1.12,1.11,1.1,1.05)</f>
        <v>1.095</v>
      </c>
      <c r="L753" s="82">
        <f t="shared" si="1"/>
        <v>1.15</v>
      </c>
      <c r="M753" s="83">
        <v>44761.0</v>
      </c>
      <c r="N753" s="84" t="s">
        <v>187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2">
        <f>AVERAGE(1.69,1.76,1.76,1.84)</f>
        <v>1.7625</v>
      </c>
      <c r="L754" s="82">
        <f t="shared" si="1"/>
        <v>3.3</v>
      </c>
      <c r="M754" s="83">
        <v>44761.0</v>
      </c>
      <c r="N754" s="84" t="s">
        <v>187</v>
      </c>
    </row>
    <row r="755">
      <c r="A755" s="66" t="s">
        <v>183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2">
        <f>AVERAGE(1.26,1.41,1.46,1.39)</f>
        <v>1.38</v>
      </c>
      <c r="L755" s="82">
        <f t="shared" si="1"/>
        <v>1.77</v>
      </c>
      <c r="M755" s="83">
        <v>44761.0</v>
      </c>
      <c r="N755" s="84" t="s">
        <v>187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2">
        <f>AVERAGE(1.44,1.55,1.64,1.61)</f>
        <v>1.56</v>
      </c>
      <c r="L756" s="82">
        <f t="shared" si="1"/>
        <v>5.31</v>
      </c>
      <c r="M756" s="83">
        <v>44761.0</v>
      </c>
      <c r="N756" s="84" t="s">
        <v>187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2">
        <f>AVERAGE(1.55,1.41,1.51,1.73)</f>
        <v>1.55</v>
      </c>
      <c r="L757" s="82">
        <f t="shared" si="1"/>
        <v>4.66</v>
      </c>
      <c r="M757" s="83">
        <v>44761.0</v>
      </c>
      <c r="N757" s="84" t="s">
        <v>187</v>
      </c>
    </row>
    <row r="758">
      <c r="A758" s="66" t="s">
        <v>183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2">
        <f>AVERAGE(1.42,1.67,1.67,1.52)</f>
        <v>1.57</v>
      </c>
      <c r="L758" s="82">
        <f t="shared" si="1"/>
        <v>1.37</v>
      </c>
      <c r="M758" s="83">
        <v>44761.0</v>
      </c>
      <c r="N758" s="84" t="s">
        <v>187</v>
      </c>
    </row>
    <row r="759">
      <c r="A759" s="66" t="s">
        <v>183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2">
        <f>AVERAGE(1.13,1.22,1.24,1.29)</f>
        <v>1.22</v>
      </c>
      <c r="L759" s="82">
        <f t="shared" si="1"/>
        <v>2.09</v>
      </c>
      <c r="M759" s="83">
        <v>44761.0</v>
      </c>
      <c r="N759" s="84" t="s">
        <v>187</v>
      </c>
    </row>
    <row r="760">
      <c r="A760" s="66" t="s">
        <v>183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2">
        <f>AVERAGE(0.71,0.58,0.61,0.78)</f>
        <v>0.67</v>
      </c>
      <c r="L760" s="82">
        <f t="shared" si="1"/>
        <v>0.53</v>
      </c>
      <c r="M760" s="83">
        <v>44761.0</v>
      </c>
      <c r="N760" s="84" t="s">
        <v>187</v>
      </c>
    </row>
    <row r="761">
      <c r="A761" s="66" t="s">
        <v>183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2">
        <f>AVERAGE(1.04,1.12,1.02,0.96)</f>
        <v>1.035</v>
      </c>
      <c r="L761" s="82">
        <f t="shared" si="1"/>
        <v>0.92</v>
      </c>
      <c r="M761" s="83">
        <v>44761.0</v>
      </c>
      <c r="N761" s="84" t="s">
        <v>187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2">
        <f>AVERAGE(1.25,1.07,1.15,1.05)</f>
        <v>1.13</v>
      </c>
      <c r="L762" s="82">
        <f t="shared" si="1"/>
        <v>2.68</v>
      </c>
      <c r="M762" s="83">
        <v>44761.0</v>
      </c>
      <c r="N762" s="84" t="s">
        <v>187</v>
      </c>
    </row>
    <row r="763">
      <c r="A763" s="66" t="s">
        <v>183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2">
        <f>AVERAGE(1.17,1.27,1.28,1.32)</f>
        <v>1.26</v>
      </c>
      <c r="L763" s="82">
        <f t="shared" si="1"/>
        <v>1.05</v>
      </c>
      <c r="M763" s="83">
        <v>44761.0</v>
      </c>
      <c r="N763" s="84" t="s">
        <v>187</v>
      </c>
    </row>
    <row r="764">
      <c r="A764" s="66" t="s">
        <v>191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2">
        <f>AVERAGE(1.75,1.76,1.74,1.74)</f>
        <v>1.7475</v>
      </c>
      <c r="L764" s="82">
        <f t="shared" si="1"/>
        <v>3.15</v>
      </c>
      <c r="M764" s="83">
        <v>44761.0</v>
      </c>
      <c r="N764" s="84" t="s">
        <v>187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2">
        <f>AVERAGE(0.99,1.05,1.15,1.05)</f>
        <v>1.06</v>
      </c>
      <c r="L765" s="82">
        <f t="shared" si="1"/>
        <v>1.71</v>
      </c>
      <c r="M765" s="83">
        <v>44761.0</v>
      </c>
      <c r="N765" s="84" t="s">
        <v>187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2">
        <f>AVERAGE(0.98,0.95,0.85,1.11)</f>
        <v>0.9725</v>
      </c>
      <c r="L766" s="82">
        <f t="shared" si="1"/>
        <v>1.62</v>
      </c>
      <c r="M766" s="83">
        <v>44761.0</v>
      </c>
      <c r="N766" s="84" t="s">
        <v>187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2">
        <f>AVERAGE(1.23,1.25,1.27,1.3)</f>
        <v>1.2625</v>
      </c>
      <c r="L767" s="82">
        <f t="shared" si="1"/>
        <v>2.66</v>
      </c>
      <c r="M767" s="83">
        <v>44761.0</v>
      </c>
      <c r="N767" s="84" t="s">
        <v>187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2">
        <f>AVERAGE(1.5,1.39,1.33,1.37)</f>
        <v>1.3975</v>
      </c>
      <c r="L768" s="82">
        <f t="shared" si="1"/>
        <v>3.64</v>
      </c>
      <c r="M768" s="83">
        <v>44761.0</v>
      </c>
      <c r="N768" s="84" t="s">
        <v>187</v>
      </c>
    </row>
    <row r="769">
      <c r="A769" s="66" t="s">
        <v>183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2">
        <f>AVERAGE(1.16,1.18,1.2,1.15)</f>
        <v>1.1725</v>
      </c>
      <c r="L769" s="82">
        <f t="shared" si="1"/>
        <v>2.48</v>
      </c>
      <c r="M769" s="83">
        <v>44761.0</v>
      </c>
      <c r="N769" s="84" t="s">
        <v>187</v>
      </c>
    </row>
    <row r="770">
      <c r="A770" s="66" t="s">
        <v>183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2">
        <f>AVERAGE(1.69,1.69,1.91,1.79)</f>
        <v>1.77</v>
      </c>
      <c r="L770" s="82">
        <f t="shared" si="1"/>
        <v>4.9</v>
      </c>
      <c r="M770" s="83">
        <v>44761.0</v>
      </c>
      <c r="N770" s="84" t="s">
        <v>187</v>
      </c>
    </row>
    <row r="771">
      <c r="A771" s="66" t="s">
        <v>183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2">
        <f>AVERAGE(1.11,1.12,1.18,0.99)</f>
        <v>1.1</v>
      </c>
      <c r="L771" s="82">
        <f t="shared" si="1"/>
        <v>0.86</v>
      </c>
      <c r="M771" s="83">
        <v>44761.0</v>
      </c>
      <c r="N771" s="84" t="s">
        <v>187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2">
        <f>AVERAGE(1.21,1.09,1.03,1.12)</f>
        <v>1.1125</v>
      </c>
      <c r="L772" s="82">
        <f t="shared" si="1"/>
        <v>3.98</v>
      </c>
      <c r="M772" s="83">
        <v>44761.0</v>
      </c>
      <c r="N772" s="84" t="s">
        <v>187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2">
        <f>AVERAGE(1.83,1.85,1.87,1.97)</f>
        <v>1.88</v>
      </c>
      <c r="L773" s="82">
        <f t="shared" si="1"/>
        <v>10.28</v>
      </c>
      <c r="M773" s="83">
        <v>44761.0</v>
      </c>
      <c r="N773" s="84" t="s">
        <v>187</v>
      </c>
    </row>
    <row r="774">
      <c r="A774" s="66" t="s">
        <v>183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2">
        <f>AVERAGE(1.36,1.66,1.6,1.36)</f>
        <v>1.495</v>
      </c>
      <c r="L774" s="82">
        <f t="shared" si="1"/>
        <v>4.58</v>
      </c>
      <c r="M774" s="83">
        <v>44761.0</v>
      </c>
      <c r="N774" s="84" t="s">
        <v>187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2">
        <f>AVERAGE(1.16,1.3,1.43,1.37)</f>
        <v>1.315</v>
      </c>
      <c r="L775" s="82">
        <f t="shared" si="1"/>
        <v>2.83</v>
      </c>
      <c r="M775" s="83">
        <v>44761.0</v>
      </c>
      <c r="N775" s="84" t="s">
        <v>187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2">
        <f>AVERAGE(1.56,1.67,1.72,1.85)</f>
        <v>1.7</v>
      </c>
      <c r="L776" s="82">
        <f t="shared" si="1"/>
        <v>5.47</v>
      </c>
      <c r="M776" s="83">
        <v>44761.0</v>
      </c>
      <c r="N776" s="84" t="s">
        <v>187</v>
      </c>
    </row>
    <row r="777">
      <c r="A777" s="66" t="s">
        <v>183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2">
        <f>AVERAGE(0.71,0.7,0.71,0.8)</f>
        <v>0.73</v>
      </c>
      <c r="L777" s="82">
        <f t="shared" si="1"/>
        <v>0.59</v>
      </c>
      <c r="M777" s="83">
        <v>44761.0</v>
      </c>
      <c r="N777" s="84" t="s">
        <v>187</v>
      </c>
    </row>
    <row r="778">
      <c r="A778" s="66" t="s">
        <v>183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2">
        <f>AVERAGE(1.62,1.62,1.69,1.82)</f>
        <v>1.6875</v>
      </c>
      <c r="L778" s="82">
        <f t="shared" si="1"/>
        <v>2.3</v>
      </c>
      <c r="M778" s="83">
        <v>44761.0</v>
      </c>
      <c r="N778" s="84" t="s">
        <v>187</v>
      </c>
    </row>
    <row r="779">
      <c r="A779" s="66" t="s">
        <v>183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2">
        <f>AVERAGE(1.13,1.2,1.25,1.23)</f>
        <v>1.2025</v>
      </c>
      <c r="L779" s="82">
        <f t="shared" si="1"/>
        <v>0.8</v>
      </c>
      <c r="M779" s="83">
        <v>44761.0</v>
      </c>
      <c r="N779" s="84" t="s">
        <v>187</v>
      </c>
    </row>
    <row r="780">
      <c r="A780" s="66" t="s">
        <v>183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2">
        <f>AVERAGE(1.47,1.48,1.5,1.51)</f>
        <v>1.49</v>
      </c>
      <c r="L780" s="82">
        <f t="shared" si="1"/>
        <v>1.57</v>
      </c>
      <c r="M780" s="83">
        <v>44761.0</v>
      </c>
      <c r="N780" s="84" t="s">
        <v>187</v>
      </c>
    </row>
    <row r="781">
      <c r="A781" s="66" t="s">
        <v>183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2">
        <f>AVERAGE(1.33,1.1,1.08,1.31)</f>
        <v>1.205</v>
      </c>
      <c r="L781" s="82">
        <f t="shared" si="1"/>
        <v>1.05</v>
      </c>
      <c r="M781" s="83">
        <v>44761.0</v>
      </c>
      <c r="N781" s="84" t="s">
        <v>187</v>
      </c>
    </row>
    <row r="782">
      <c r="A782" s="66" t="s">
        <v>183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2">
        <f>AVERAGE(0.83,0.91,0.92,0.93)</f>
        <v>0.8975</v>
      </c>
      <c r="L782" s="82">
        <f t="shared" si="1"/>
        <v>0.74</v>
      </c>
      <c r="M782" s="83">
        <v>44761.0</v>
      </c>
      <c r="N782" s="84" t="s">
        <v>187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2">
        <f>AVERAGE(1.44,1.46,1.51,1.53)</f>
        <v>1.485</v>
      </c>
      <c r="L783" s="82">
        <f t="shared" si="1"/>
        <v>6.53</v>
      </c>
      <c r="M783" s="83">
        <v>44761.0</v>
      </c>
      <c r="N783" s="84" t="s">
        <v>187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2">
        <f>AVERAGE(1.34,1.35,1.43,1.48)</f>
        <v>1.4</v>
      </c>
      <c r="L784" s="82">
        <f t="shared" si="1"/>
        <v>3.19</v>
      </c>
      <c r="M784" s="83">
        <v>44761.0</v>
      </c>
      <c r="N784" s="84" t="s">
        <v>187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2">
        <f>AVERAGE(1.31,1.3,1.34,1.29)</f>
        <v>1.31</v>
      </c>
      <c r="L785" s="82">
        <f t="shared" si="1"/>
        <v>1.98</v>
      </c>
      <c r="M785" s="83">
        <v>44761.0</v>
      </c>
      <c r="N785" s="84" t="s">
        <v>187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2">
        <f>AVERAGE(1.28,1.32,1.42,1.5)</f>
        <v>1.38</v>
      </c>
      <c r="L786" s="82">
        <f t="shared" si="1"/>
        <v>5.62</v>
      </c>
      <c r="M786" s="83">
        <v>44761.0</v>
      </c>
      <c r="N786" s="84" t="s">
        <v>187</v>
      </c>
    </row>
    <row r="787">
      <c r="A787" s="66" t="s">
        <v>183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f t="shared" si="1"/>
        <v>1.12</v>
      </c>
      <c r="M787" s="83">
        <v>44761.0</v>
      </c>
      <c r="N787" s="84" t="s">
        <v>187</v>
      </c>
    </row>
    <row r="788">
      <c r="A788" s="66" t="s">
        <v>183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2">
        <f>AVERAGE(1.35,1.33,1.38,1.43)</f>
        <v>1.3725</v>
      </c>
      <c r="L788" s="82">
        <f t="shared" si="1"/>
        <v>1.45</v>
      </c>
      <c r="M788" s="83">
        <v>44761.0</v>
      </c>
      <c r="N788" s="84" t="s">
        <v>187</v>
      </c>
    </row>
    <row r="789">
      <c r="A789" s="66" t="s">
        <v>183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2">
        <f>AVERAGE(1.22,1.12,1.16,1.27)</f>
        <v>1.1925</v>
      </c>
      <c r="L789" s="82">
        <f t="shared" si="1"/>
        <v>1.45</v>
      </c>
      <c r="M789" s="83">
        <v>44761.0</v>
      </c>
      <c r="N789" s="84" t="s">
        <v>187</v>
      </c>
    </row>
    <row r="790">
      <c r="A790" s="66" t="s">
        <v>183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2">
        <f>AVERAGE(1.01,1.04,0.94,0.91)</f>
        <v>0.975</v>
      </c>
      <c r="L790" s="82">
        <f t="shared" si="1"/>
        <v>0.86</v>
      </c>
      <c r="M790" s="83">
        <v>44761.0</v>
      </c>
      <c r="N790" s="84" t="s">
        <v>187</v>
      </c>
    </row>
    <row r="791">
      <c r="A791" s="66" t="s">
        <v>183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2">
        <f>AVERAGE(1.06,1.01,0.99,1.04)</f>
        <v>1.025</v>
      </c>
      <c r="L791" s="82">
        <f t="shared" si="1"/>
        <v>1.31</v>
      </c>
      <c r="M791" s="83">
        <v>44761.0</v>
      </c>
      <c r="N791" s="84" t="s">
        <v>187</v>
      </c>
    </row>
    <row r="792">
      <c r="A792" s="66" t="s">
        <v>183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2">
        <f>AVERAGE(1.61,1.62,1.57,1.58)</f>
        <v>1.595</v>
      </c>
      <c r="L792" s="82">
        <f t="shared" si="1"/>
        <v>1.28</v>
      </c>
      <c r="M792" s="83">
        <v>44761.0</v>
      </c>
      <c r="N792" s="84" t="s">
        <v>187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2">
        <f>AVERAGE(1.61,1.65,1.67,1.6)</f>
        <v>1.6325</v>
      </c>
      <c r="L793" s="82">
        <f t="shared" si="1"/>
        <v>3.38</v>
      </c>
      <c r="M793" s="83">
        <v>44761.0</v>
      </c>
      <c r="N793" s="84" t="s">
        <v>187</v>
      </c>
    </row>
    <row r="794">
      <c r="A794" s="66" t="s">
        <v>183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2">
        <f>AVERAGE(1.25,1.35,1.41,1.61)</f>
        <v>1.405</v>
      </c>
      <c r="L794" s="82">
        <f t="shared" si="1"/>
        <v>1.92</v>
      </c>
      <c r="M794" s="83">
        <v>44761.0</v>
      </c>
      <c r="N794" s="84" t="s">
        <v>187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2">
        <f>AVERAGE(1.19,1.27,1.37,1.35)</f>
        <v>1.295</v>
      </c>
      <c r="L795" s="82">
        <f t="shared" si="1"/>
        <v>2.55</v>
      </c>
      <c r="M795" s="83">
        <v>44761.0</v>
      </c>
      <c r="N795" s="84" t="s">
        <v>187</v>
      </c>
    </row>
    <row r="796">
      <c r="A796" s="66" t="s">
        <v>183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2">
        <f>AVERAGE(1.36,1.26,1.2,1.24)</f>
        <v>1.265</v>
      </c>
      <c r="L796" s="82">
        <f t="shared" si="1"/>
        <v>1.56</v>
      </c>
      <c r="M796" s="83">
        <v>44761.0</v>
      </c>
      <c r="N796" s="84" t="s">
        <v>187</v>
      </c>
    </row>
    <row r="797">
      <c r="A797" s="66" t="s">
        <v>183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2">
        <f>AVERAGE(1.79,1.52,1.63,1.71)</f>
        <v>1.6625</v>
      </c>
      <c r="L797" s="82">
        <f t="shared" si="1"/>
        <v>2.11</v>
      </c>
      <c r="M797" s="83">
        <v>44761.0</v>
      </c>
      <c r="N797" s="84" t="s">
        <v>187</v>
      </c>
    </row>
    <row r="798">
      <c r="A798" s="66" t="s">
        <v>183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2">
        <f>AVERAGE(0.7,0.9,0.95,0.85)</f>
        <v>0.85</v>
      </c>
      <c r="L798" s="82">
        <f t="shared" si="1"/>
        <v>0.6</v>
      </c>
      <c r="M798" s="83">
        <v>44761.0</v>
      </c>
      <c r="N798" s="84" t="s">
        <v>187</v>
      </c>
    </row>
    <row r="799">
      <c r="A799" s="66" t="s">
        <v>183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2">
        <f>AVERAGE(1.42,1.3,1.29,1.29)</f>
        <v>1.325</v>
      </c>
      <c r="L799" s="82">
        <f t="shared" si="1"/>
        <v>1.8</v>
      </c>
      <c r="M799" s="83">
        <v>44761.0</v>
      </c>
      <c r="N799" s="84" t="s">
        <v>187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2">
        <f>AVERAGE(0.88,0.88,0.91,0.99)</f>
        <v>0.915</v>
      </c>
      <c r="L800" s="82">
        <f t="shared" si="1"/>
        <v>1.68</v>
      </c>
      <c r="M800" s="83">
        <v>44761.0</v>
      </c>
      <c r="N800" s="84" t="s">
        <v>187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2">
        <f>AVERAGE(2.13,2.07,2.08,2.18)</f>
        <v>2.115</v>
      </c>
      <c r="L801" s="82">
        <f t="shared" si="1"/>
        <v>7.88</v>
      </c>
      <c r="M801" s="83">
        <v>44761.0</v>
      </c>
      <c r="N801" s="84" t="s">
        <v>187</v>
      </c>
    </row>
    <row r="802">
      <c r="A802" s="66" t="s">
        <v>183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2">
        <f>AVERAGE(1.31,1.16,1.15,1.33)</f>
        <v>1.2375</v>
      </c>
      <c r="L802" s="82">
        <f t="shared" si="1"/>
        <v>1.84</v>
      </c>
      <c r="M802" s="83">
        <v>44761.0</v>
      </c>
      <c r="N802" s="84" t="s">
        <v>187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2">
        <f>AVERAGE(0.78,0.87,0.89,0.99)</f>
        <v>0.8825</v>
      </c>
      <c r="L803" s="82">
        <f t="shared" si="1"/>
        <v>1.66</v>
      </c>
      <c r="M803" s="83">
        <v>44761.0</v>
      </c>
      <c r="N803" s="84" t="s">
        <v>187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2">
        <f>AVERAGE(1.57,1.46,1.41,1.56)</f>
        <v>1.5</v>
      </c>
      <c r="L804" s="82">
        <f t="shared" si="1"/>
        <v>5.64</v>
      </c>
      <c r="M804" s="83">
        <v>44761.0</v>
      </c>
      <c r="N804" s="84" t="s">
        <v>187</v>
      </c>
    </row>
    <row r="805">
      <c r="A805" s="66" t="s">
        <v>183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2">
        <f>AVERAGE(1.24,1.42,1.42,1.28)</f>
        <v>1.34</v>
      </c>
      <c r="L805" s="82">
        <f t="shared" si="1"/>
        <v>2.16</v>
      </c>
      <c r="M805" s="83">
        <v>44761.0</v>
      </c>
      <c r="N805" s="84" t="s">
        <v>187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2">
        <f>AVERAGE(0.78,0.89,0.9,0.8)</f>
        <v>0.8425</v>
      </c>
      <c r="L806" s="82">
        <f t="shared" si="1"/>
        <v>1.83</v>
      </c>
      <c r="M806" s="83">
        <v>44761.0</v>
      </c>
      <c r="N806" s="84" t="s">
        <v>187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2">
        <f>AVERAGE(2.15,2.1,1.85,1.65)</f>
        <v>1.9375</v>
      </c>
      <c r="L807" s="82">
        <f t="shared" si="1"/>
        <v>5.88</v>
      </c>
      <c r="M807" s="83">
        <v>44761.0</v>
      </c>
      <c r="N807" s="84" t="s">
        <v>187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2">
        <f>AVERAGE(1.26,1.38,1.35,1.37)</f>
        <v>1.34</v>
      </c>
      <c r="L808" s="82">
        <f t="shared" si="1"/>
        <v>1.47</v>
      </c>
      <c r="M808" s="83">
        <v>44761.0</v>
      </c>
      <c r="N808" s="84" t="s">
        <v>187</v>
      </c>
    </row>
    <row r="809">
      <c r="A809" s="66" t="s">
        <v>183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2">
        <f>AVERAGE(1.51,1.53,1.61,1.59)</f>
        <v>1.56</v>
      </c>
      <c r="L809" s="82">
        <f t="shared" si="1"/>
        <v>1.86</v>
      </c>
      <c r="M809" s="83">
        <v>44761.0</v>
      </c>
      <c r="N809" s="84" t="s">
        <v>187</v>
      </c>
    </row>
    <row r="810">
      <c r="A810" s="66" t="s">
        <v>183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2">
        <f>AVERAGE(1.26,1.2,1.28,1.28)</f>
        <v>1.255</v>
      </c>
      <c r="L810" s="82">
        <f t="shared" si="1"/>
        <v>1.39</v>
      </c>
      <c r="M810" s="83">
        <v>44761.0</v>
      </c>
      <c r="N810" s="84" t="s">
        <v>187</v>
      </c>
    </row>
    <row r="811">
      <c r="A811" s="66" t="s">
        <v>183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2">
        <f>AVERAGE(1.41,1.44,1.47,1.58)</f>
        <v>1.475</v>
      </c>
      <c r="L811" s="82">
        <f t="shared" si="1"/>
        <v>1.7</v>
      </c>
      <c r="M811" s="83">
        <v>44761.0</v>
      </c>
      <c r="N811" s="84" t="s">
        <v>187</v>
      </c>
    </row>
    <row r="812">
      <c r="A812" s="66" t="s">
        <v>183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2">
        <f>AVERAGE(0.78,0.81,0.78,0.89)</f>
        <v>0.815</v>
      </c>
      <c r="L812" s="82">
        <f t="shared" si="1"/>
        <v>0.74</v>
      </c>
      <c r="M812" s="83">
        <v>44761.0</v>
      </c>
      <c r="N812" s="84" t="s">
        <v>187</v>
      </c>
    </row>
    <row r="813">
      <c r="A813" s="66" t="s">
        <v>183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2">
        <f>AVERAGE(1.41,1.61,1.71,1.61)</f>
        <v>1.585</v>
      </c>
      <c r="L813" s="82">
        <f t="shared" si="1"/>
        <v>3.66</v>
      </c>
      <c r="M813" s="83">
        <v>44761.0</v>
      </c>
      <c r="N813" s="84" t="s">
        <v>187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2">
        <f>AVERAGE(1.75,1.76,1.82,1.98)</f>
        <v>1.8275</v>
      </c>
      <c r="L814" s="82">
        <f t="shared" si="1"/>
        <v>8.58</v>
      </c>
      <c r="M814" s="83">
        <v>44761.0</v>
      </c>
      <c r="N814" s="84" t="s">
        <v>187</v>
      </c>
    </row>
    <row r="815">
      <c r="A815" s="66" t="s">
        <v>183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2">
        <f>AVERAGE(1.8,1.9,1.8,2)</f>
        <v>1.875</v>
      </c>
      <c r="L815" s="82">
        <f t="shared" si="1"/>
        <v>2.35</v>
      </c>
      <c r="M815" s="83">
        <v>44761.0</v>
      </c>
      <c r="N815" s="84" t="s">
        <v>187</v>
      </c>
    </row>
    <row r="816">
      <c r="A816" s="66" t="s">
        <v>183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2">
        <f>AVERAGE(1.04,1.2,1.17,1.16)</f>
        <v>1.1425</v>
      </c>
      <c r="L816" s="82">
        <f t="shared" si="1"/>
        <v>1.32</v>
      </c>
      <c r="M816" s="83">
        <v>44761.0</v>
      </c>
      <c r="N816" s="84" t="s">
        <v>187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2">
        <f>AVERAGE(1.62,1.62,1.79,1.53)</f>
        <v>1.64</v>
      </c>
      <c r="L817" s="82">
        <f t="shared" si="1"/>
        <v>3.72</v>
      </c>
      <c r="M817" s="83">
        <v>44761.0</v>
      </c>
      <c r="N817" s="84" t="s">
        <v>187</v>
      </c>
    </row>
    <row r="818">
      <c r="A818" s="66" t="s">
        <v>183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2">
        <f>AVERAGE(1.43,1.47, 1.43,1.37)</f>
        <v>1.425</v>
      </c>
      <c r="L818" s="82">
        <f t="shared" si="1"/>
        <v>1.78</v>
      </c>
      <c r="M818" s="83">
        <v>44761.0</v>
      </c>
      <c r="N818" s="84" t="s">
        <v>187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2">
        <f>AVERAGE(1.97, 2, 2.11,2.07)</f>
        <v>2.0375</v>
      </c>
      <c r="L819" s="82">
        <f t="shared" si="1"/>
        <v>12.76</v>
      </c>
      <c r="M819" s="83">
        <v>44761.0</v>
      </c>
      <c r="N819" s="84" t="s">
        <v>187</v>
      </c>
    </row>
    <row r="820">
      <c r="A820" s="66" t="s">
        <v>183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2">
        <f>AVERAGE(1.33,1.36,1.33,1.3)</f>
        <v>1.33</v>
      </c>
      <c r="L820" s="82">
        <f t="shared" si="1"/>
        <v>1.35</v>
      </c>
      <c r="M820" s="83">
        <v>44761.0</v>
      </c>
      <c r="N820" s="84" t="s">
        <v>187</v>
      </c>
    </row>
    <row r="821">
      <c r="A821" s="66" t="s">
        <v>183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2">
        <f>AVERAGE(1.1,1.12,1.14,1.06)</f>
        <v>1.105</v>
      </c>
      <c r="L821" s="82">
        <f t="shared" si="1"/>
        <v>0.95</v>
      </c>
      <c r="M821" s="83">
        <v>44761.0</v>
      </c>
      <c r="N821" s="84" t="s">
        <v>187</v>
      </c>
    </row>
    <row r="822">
      <c r="A822" s="66" t="s">
        <v>183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2">
        <f>AVERAGE(1.35,1.36,1.37,1.38)</f>
        <v>1.365</v>
      </c>
      <c r="L822" s="82">
        <f t="shared" si="1"/>
        <v>1.94</v>
      </c>
      <c r="M822" s="83">
        <v>44761.0</v>
      </c>
      <c r="N822" s="84" t="s">
        <v>187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2">
        <f>AVERAGE(1.64,1.68,1.58,1.72)</f>
        <v>1.655</v>
      </c>
      <c r="L823" s="82">
        <f t="shared" si="1"/>
        <v>2.88</v>
      </c>
      <c r="M823" s="83">
        <v>44761.0</v>
      </c>
      <c r="N823" s="84" t="s">
        <v>187</v>
      </c>
    </row>
    <row r="824">
      <c r="A824" s="66" t="s">
        <v>183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2">
        <f>AVERAGE(1.49,1.68,1.52,1.5)</f>
        <v>1.5475</v>
      </c>
      <c r="L824" s="82">
        <f t="shared" si="1"/>
        <v>1.38</v>
      </c>
      <c r="M824" s="83">
        <v>44761.0</v>
      </c>
      <c r="N824" s="84" t="s">
        <v>187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2">
        <f>AVERAGE(1.41,1.42,1.39,1.28)</f>
        <v>1.375</v>
      </c>
      <c r="L825" s="82">
        <f t="shared" si="1"/>
        <v>4.05</v>
      </c>
      <c r="M825" s="83">
        <v>44761.0</v>
      </c>
      <c r="N825" s="84" t="s">
        <v>187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2">
        <f>AVERAGE(0.97, 0.92,0.91,0.89)</f>
        <v>0.9225</v>
      </c>
      <c r="L826" s="82">
        <f t="shared" si="1"/>
        <v>1.56</v>
      </c>
      <c r="M826" s="83">
        <v>44761.0</v>
      </c>
      <c r="N826" s="84" t="s">
        <v>187</v>
      </c>
    </row>
    <row r="827">
      <c r="A827" s="66" t="s">
        <v>183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2">
        <f>AVERAGE(1.05,1.04,1.08,1.09)</f>
        <v>1.065</v>
      </c>
      <c r="L827" s="82">
        <f t="shared" si="1"/>
        <v>0.96</v>
      </c>
      <c r="M827" s="83">
        <v>44761.0</v>
      </c>
      <c r="N827" s="84" t="s">
        <v>187</v>
      </c>
    </row>
    <row r="828">
      <c r="A828" s="66" t="s">
        <v>183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2">
        <f>AVERAGE(0.79,0.93,0.96,0.73)</f>
        <v>0.8525</v>
      </c>
      <c r="L828" s="82">
        <f t="shared" si="1"/>
        <v>1</v>
      </c>
      <c r="M828" s="83">
        <v>44761.0</v>
      </c>
      <c r="N828" s="84" t="s">
        <v>187</v>
      </c>
    </row>
    <row r="829">
      <c r="A829" s="66" t="s">
        <v>183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2">
        <f>AVERAGE(1.55,1.4, 1.33,1.37)</f>
        <v>1.4125</v>
      </c>
      <c r="L829" s="82">
        <f t="shared" si="1"/>
        <v>1.04</v>
      </c>
      <c r="M829" s="83">
        <v>44761.0</v>
      </c>
      <c r="N829" s="84" t="s">
        <v>187</v>
      </c>
    </row>
    <row r="830">
      <c r="A830" s="66" t="s">
        <v>183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2">
        <f>AVERAGE(1.36,1.4,1.2,1.18)</f>
        <v>1.285</v>
      </c>
      <c r="L830" s="82">
        <f t="shared" si="1"/>
        <v>1.44</v>
      </c>
      <c r="M830" s="83">
        <v>44761.0</v>
      </c>
      <c r="N830" s="84" t="s">
        <v>187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2">
        <f>AVERAGE(1.51,1.36,1.38,1.54)</f>
        <v>1.4475</v>
      </c>
      <c r="L831" s="82">
        <f t="shared" si="1"/>
        <v>2.54</v>
      </c>
      <c r="M831" s="83">
        <v>44761.0</v>
      </c>
      <c r="N831" s="84" t="s">
        <v>187</v>
      </c>
    </row>
    <row r="832">
      <c r="A832" s="66" t="s">
        <v>183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2">
        <f>AVERAGE(0.97,1.09,1.23,1.3)</f>
        <v>1.1475</v>
      </c>
      <c r="L832" s="82">
        <f t="shared" si="1"/>
        <v>2.44</v>
      </c>
      <c r="M832" s="83">
        <v>44761.0</v>
      </c>
      <c r="N832" s="84" t="s">
        <v>187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2">
        <f>AVERAGE(1.65,1.58,1.44,1.67)</f>
        <v>1.585</v>
      </c>
      <c r="L833" s="82">
        <f t="shared" si="1"/>
        <v>4.58</v>
      </c>
      <c r="M833" s="83">
        <v>44761.0</v>
      </c>
      <c r="N833" s="84" t="s">
        <v>187</v>
      </c>
    </row>
    <row r="834">
      <c r="A834" s="66" t="s">
        <v>183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2">
        <f>AVERAGE(0.77,0.79,0.86,0.82)</f>
        <v>0.81</v>
      </c>
      <c r="L834" s="82">
        <f t="shared" si="1"/>
        <v>0.49</v>
      </c>
      <c r="M834" s="83">
        <v>44761.0</v>
      </c>
      <c r="N834" s="84" t="s">
        <v>187</v>
      </c>
    </row>
    <row r="835">
      <c r="A835" s="66" t="s">
        <v>183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2">
        <f>AVERAGE(1.15,1.2,1.26,1.22)</f>
        <v>1.2075</v>
      </c>
      <c r="L835" s="82">
        <f t="shared" si="1"/>
        <v>1.68</v>
      </c>
      <c r="M835" s="83">
        <v>44761.0</v>
      </c>
      <c r="N835" s="84" t="s">
        <v>187</v>
      </c>
    </row>
    <row r="836">
      <c r="A836" s="66" t="s">
        <v>183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2">
        <f>AVERAGE(1.38,1.35,1.35,1.45)</f>
        <v>1.3825</v>
      </c>
      <c r="L836" s="82">
        <f t="shared" si="1"/>
        <v>3.28</v>
      </c>
      <c r="M836" s="83">
        <v>44761.0</v>
      </c>
      <c r="N836" s="84" t="s">
        <v>187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2">
        <f>AVERAGE(0.75,0.95,0.86,0.96)</f>
        <v>0.88</v>
      </c>
      <c r="L837" s="82">
        <f t="shared" si="1"/>
        <v>1.82</v>
      </c>
      <c r="M837" s="83">
        <v>44761.0</v>
      </c>
      <c r="N837" s="84" t="s">
        <v>187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2">
        <f>AVERAGE(1.38,1.61,1.63,1.51)</f>
        <v>1.5325</v>
      </c>
      <c r="L838" s="82">
        <f t="shared" si="1"/>
        <v>3.61</v>
      </c>
      <c r="M838" s="83">
        <v>44761.0</v>
      </c>
      <c r="N838" s="84" t="s">
        <v>187</v>
      </c>
    </row>
    <row r="839">
      <c r="A839" s="66" t="s">
        <v>183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2">
        <f>AVERAGE(1.06,1.14,1.26,1.16)</f>
        <v>1.155</v>
      </c>
      <c r="L839" s="82">
        <f t="shared" si="1"/>
        <v>1.12</v>
      </c>
      <c r="M839" s="83">
        <v>44761.0</v>
      </c>
      <c r="N839" s="84" t="s">
        <v>187</v>
      </c>
    </row>
    <row r="840">
      <c r="A840" s="66" t="s">
        <v>183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2">
        <f>AVERAGE(1.14,1.1,1.07,1.17)</f>
        <v>1.12</v>
      </c>
      <c r="L840" s="82">
        <f t="shared" si="1"/>
        <v>1.05</v>
      </c>
      <c r="M840" s="83">
        <v>44761.0</v>
      </c>
      <c r="N840" s="84" t="s">
        <v>187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2">
        <f>AVERAGE(1.56,1.41,1.35,1.31)</f>
        <v>1.4075</v>
      </c>
      <c r="L841" s="82">
        <f t="shared" si="1"/>
        <v>5.07</v>
      </c>
      <c r="M841" s="83">
        <v>44761.0</v>
      </c>
      <c r="N841" s="84" t="s">
        <v>187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2">
        <f>AVERAGE(1.01,0.96,1.01,0.94)</f>
        <v>0.98</v>
      </c>
      <c r="L842" s="82">
        <f t="shared" si="1"/>
        <v>1.39</v>
      </c>
      <c r="M842" s="83">
        <v>44761.0</v>
      </c>
      <c r="N842" s="84" t="s">
        <v>187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2">
        <f>AVERAGE(2.79,2.97,2.94,2.83)</f>
        <v>2.8825</v>
      </c>
      <c r="L843" s="82">
        <f t="shared" si="1"/>
        <v>9.08</v>
      </c>
      <c r="M843" s="83">
        <v>44761.0</v>
      </c>
      <c r="N843" s="84" t="s">
        <v>187</v>
      </c>
    </row>
    <row r="844">
      <c r="A844" s="66" t="s">
        <v>183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2">
        <f>AVERAGE(1.07,1.01,0.96,1.05)</f>
        <v>1.0225</v>
      </c>
      <c r="L844" s="82">
        <f t="shared" si="1"/>
        <v>1.13</v>
      </c>
      <c r="M844" s="83">
        <v>44761.0</v>
      </c>
      <c r="N844" s="84" t="s">
        <v>187</v>
      </c>
    </row>
    <row r="845">
      <c r="A845" s="66" t="s">
        <v>183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2">
        <f>AVERAGE(1.09,1.07,1.11,1.09)</f>
        <v>1.09</v>
      </c>
      <c r="L845" s="82">
        <f t="shared" si="1"/>
        <v>1.39</v>
      </c>
      <c r="M845" s="83">
        <v>44761.0</v>
      </c>
      <c r="N845" s="84" t="s">
        <v>187</v>
      </c>
    </row>
    <row r="846">
      <c r="A846" s="66" t="s">
        <v>183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2">
        <f>AVERAGE(1.46,1.57,1.53,1.54)</f>
        <v>1.525</v>
      </c>
      <c r="L846" s="82">
        <f t="shared" si="1"/>
        <v>2.5</v>
      </c>
      <c r="M846" s="83">
        <v>44761.0</v>
      </c>
      <c r="N846" s="84" t="s">
        <v>187</v>
      </c>
    </row>
    <row r="847">
      <c r="A847" s="66" t="s">
        <v>183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2">
        <f>AVERAGE(1.44,1.34,1.32,1.5)</f>
        <v>1.4</v>
      </c>
      <c r="L847" s="82">
        <f t="shared" si="1"/>
        <v>2.45</v>
      </c>
      <c r="M847" s="83">
        <v>44761.0</v>
      </c>
      <c r="N847" s="84" t="s">
        <v>187</v>
      </c>
    </row>
    <row r="848">
      <c r="A848" s="66" t="s">
        <v>183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2">
        <f>AVERAGE(1.14,1.19,1.23,1.32)</f>
        <v>1.22</v>
      </c>
      <c r="L848" s="82">
        <f t="shared" si="1"/>
        <v>1.85</v>
      </c>
      <c r="M848" s="83">
        <v>44761.0</v>
      </c>
      <c r="N848" s="84" t="s">
        <v>187</v>
      </c>
    </row>
    <row r="849">
      <c r="A849" s="66" t="s">
        <v>183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2">
        <f>AVERAGE(1.69,1.59,1.67,1.79)</f>
        <v>1.685</v>
      </c>
      <c r="L849" s="82">
        <f t="shared" si="1"/>
        <v>1.62</v>
      </c>
      <c r="M849" s="83">
        <v>44761.0</v>
      </c>
      <c r="N849" s="84" t="s">
        <v>187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2">
        <f>AVERAGE(1.83,1.8,1.75,1.82)</f>
        <v>1.8</v>
      </c>
      <c r="L850" s="82">
        <f t="shared" si="1"/>
        <v>2.35</v>
      </c>
      <c r="M850" s="83">
        <v>44761.0</v>
      </c>
      <c r="N850" s="84" t="s">
        <v>187</v>
      </c>
    </row>
    <row r="851">
      <c r="A851" s="66" t="s">
        <v>183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2">
        <f>AVERAGE(1.93,1.71,1.84,2.04)</f>
        <v>1.88</v>
      </c>
      <c r="L851" s="82">
        <f t="shared" si="1"/>
        <v>4.11</v>
      </c>
      <c r="M851" s="83">
        <v>44761.0</v>
      </c>
      <c r="N851" s="84" t="s">
        <v>187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2">
        <f>AVERAGE(0.92,0.88,1.08,1.12)</f>
        <v>1</v>
      </c>
      <c r="L852" s="82">
        <f t="shared" si="1"/>
        <v>1.19</v>
      </c>
      <c r="M852" s="83">
        <v>44761.0</v>
      </c>
      <c r="N852" s="84" t="s">
        <v>187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2">
        <f>AVERAGE(1.38,1.25,1.38,1.45)</f>
        <v>1.365</v>
      </c>
      <c r="L853" s="82">
        <f t="shared" si="1"/>
        <v>4.62</v>
      </c>
      <c r="M853" s="83">
        <v>44761.0</v>
      </c>
      <c r="N853" s="84" t="s">
        <v>187</v>
      </c>
    </row>
    <row r="854">
      <c r="A854" s="66" t="s">
        <v>183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2">
        <f>AVERAGE(1.69,1.42,1.37,1.89)</f>
        <v>1.5925</v>
      </c>
      <c r="L854" s="82">
        <f t="shared" si="1"/>
        <v>2.55</v>
      </c>
      <c r="M854" s="83">
        <v>44761.0</v>
      </c>
      <c r="N854" s="84" t="s">
        <v>187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2">
        <f>AVERAGE(1.34,1.39,1.34,1.33)</f>
        <v>1.35</v>
      </c>
      <c r="L855" s="82">
        <f t="shared" si="1"/>
        <v>2.95</v>
      </c>
      <c r="M855" s="83">
        <v>44761.0</v>
      </c>
      <c r="N855" s="84" t="s">
        <v>187</v>
      </c>
    </row>
    <row r="856">
      <c r="A856" s="66" t="s">
        <v>183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2">
        <f>AVERAGE(1.23,1.29,1.28,1.38)</f>
        <v>1.295</v>
      </c>
      <c r="L856" s="82">
        <f t="shared" si="1"/>
        <v>1.73</v>
      </c>
      <c r="M856" s="83">
        <v>44761.0</v>
      </c>
      <c r="N856" s="84" t="s">
        <v>187</v>
      </c>
    </row>
    <row r="857">
      <c r="A857" s="66" t="s">
        <v>183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2">
        <f>AVERAGE(1.02,1.12,0.96,0.88)</f>
        <v>0.995</v>
      </c>
      <c r="L857" s="82">
        <f t="shared" si="1"/>
        <v>1.5</v>
      </c>
      <c r="M857" s="83">
        <v>44761.0</v>
      </c>
      <c r="N857" s="84" t="s">
        <v>187</v>
      </c>
    </row>
    <row r="858">
      <c r="A858" s="66" t="s">
        <v>183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2">
        <f>AVERAGE(0.72,0.64,0.79,0.82)</f>
        <v>0.7425</v>
      </c>
      <c r="L858" s="82">
        <f t="shared" si="1"/>
        <v>0.92</v>
      </c>
      <c r="M858" s="83">
        <v>44761.0</v>
      </c>
      <c r="N858" s="84" t="s">
        <v>187</v>
      </c>
    </row>
    <row r="859">
      <c r="A859" s="66" t="s">
        <v>183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2">
        <f>AVERAGE(1.12,1.16,1.18,1.38)</f>
        <v>1.21</v>
      </c>
      <c r="L859" s="82">
        <f t="shared" si="1"/>
        <v>1.04</v>
      </c>
      <c r="M859" s="83">
        <v>44761.0</v>
      </c>
      <c r="N859" s="84" t="s">
        <v>187</v>
      </c>
    </row>
    <row r="860">
      <c r="A860" s="66" t="s">
        <v>183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2">
        <f>AVERAGE(1.34,1.38,1.31,1.29)</f>
        <v>1.33</v>
      </c>
      <c r="L860" s="82">
        <f t="shared" si="1"/>
        <v>1.36</v>
      </c>
      <c r="M860" s="83">
        <v>44761.0</v>
      </c>
      <c r="N860" s="84" t="s">
        <v>187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185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2">
        <f>AVERAGE(1.33,1.38,1.41,1.38)</f>
        <v>1.375</v>
      </c>
      <c r="L861" s="82">
        <f t="shared" si="1"/>
        <v>3.39</v>
      </c>
      <c r="M861" s="83">
        <v>44761.0</v>
      </c>
      <c r="N861" s="84" t="s">
        <v>187</v>
      </c>
    </row>
    <row r="862">
      <c r="A862" s="66" t="s">
        <v>183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2">
        <f>AVERAGE(0.79,0.79,0.79,0.76)</f>
        <v>0.7825</v>
      </c>
      <c r="L862" s="82">
        <f t="shared" si="1"/>
        <v>0.69</v>
      </c>
      <c r="M862" s="83">
        <v>44761.0</v>
      </c>
      <c r="N862" s="84" t="s">
        <v>187</v>
      </c>
    </row>
    <row r="863">
      <c r="A863" s="66" t="s">
        <v>183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2">
        <f>AVERAGE(1.1,1.1,1.06,0.93)</f>
        <v>1.0475</v>
      </c>
      <c r="L863" s="82">
        <f t="shared" si="1"/>
        <v>1.14</v>
      </c>
      <c r="M863" s="83">
        <v>44761.0</v>
      </c>
      <c r="N863" s="84" t="s">
        <v>187</v>
      </c>
    </row>
    <row r="864">
      <c r="A864" s="66" t="s">
        <v>183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2">
        <f>AVERAGE(1.57,1.53,1.52,1.48)</f>
        <v>1.525</v>
      </c>
      <c r="L864" s="82">
        <f t="shared" si="1"/>
        <v>1.53</v>
      </c>
      <c r="M864" s="83">
        <v>44761.0</v>
      </c>
      <c r="N864" s="84" t="s">
        <v>187</v>
      </c>
    </row>
    <row r="865">
      <c r="A865" s="66" t="s">
        <v>183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2">
        <f>AVERAGE(0.87,0.77,0.96,0.93)</f>
        <v>0.8825</v>
      </c>
      <c r="L865" s="82">
        <f t="shared" si="1"/>
        <v>0.79</v>
      </c>
      <c r="M865" s="83">
        <v>44761.0</v>
      </c>
      <c r="N865" s="84" t="s">
        <v>187</v>
      </c>
    </row>
    <row r="866">
      <c r="A866" s="66" t="s">
        <v>183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2">
        <f>AVERAGE(0.89,0.9,1,1.03)</f>
        <v>0.955</v>
      </c>
      <c r="L866" s="82">
        <f t="shared" si="1"/>
        <v>0.76</v>
      </c>
      <c r="M866" s="83">
        <v>44761.0</v>
      </c>
      <c r="N866" s="84" t="s">
        <v>187</v>
      </c>
    </row>
    <row r="867">
      <c r="A867" s="66" t="s">
        <v>183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2">
        <f>AVERAGE(1,1.03,1,1.01)</f>
        <v>1.01</v>
      </c>
      <c r="L867" s="82">
        <f t="shared" si="1"/>
        <v>0.99</v>
      </c>
      <c r="M867" s="83">
        <v>44761.0</v>
      </c>
      <c r="N867" s="84" t="s">
        <v>187</v>
      </c>
    </row>
    <row r="868">
      <c r="A868" s="66" t="s">
        <v>183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2">
        <f>AVERAGE(1.85,1.96,1.74,1.82)</f>
        <v>1.8425</v>
      </c>
      <c r="L868" s="82">
        <f t="shared" si="1"/>
        <v>5.94</v>
      </c>
      <c r="M868" s="83">
        <v>44761.0</v>
      </c>
      <c r="N868" s="84" t="s">
        <v>187</v>
      </c>
    </row>
    <row r="869">
      <c r="A869" s="66" t="s">
        <v>183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2">
        <f>AVERAGE(1.28,1.27,1.48,1.33)</f>
        <v>1.34</v>
      </c>
      <c r="L869" s="82">
        <f t="shared" si="1"/>
        <v>1.01</v>
      </c>
      <c r="M869" s="83">
        <v>44761.0</v>
      </c>
      <c r="N869" s="84" t="s">
        <v>187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2">
        <f>AVERAGE(1.81,1.82,1.74,1.92)</f>
        <v>1.8225</v>
      </c>
      <c r="L870" s="82">
        <f t="shared" si="1"/>
        <v>6.2</v>
      </c>
      <c r="M870" s="83">
        <v>44761.0</v>
      </c>
      <c r="N870" s="84" t="s">
        <v>187</v>
      </c>
    </row>
    <row r="871">
      <c r="A871" s="66" t="s">
        <v>183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2">
        <f>AVERAGE(1.99,1.88,1.75,2.01)</f>
        <v>1.9075</v>
      </c>
      <c r="L871" s="82">
        <f t="shared" si="1"/>
        <v>3.84</v>
      </c>
      <c r="M871" s="83">
        <v>44761.0</v>
      </c>
      <c r="N871" s="84" t="s">
        <v>187</v>
      </c>
    </row>
    <row r="872">
      <c r="A872" s="66" t="s">
        <v>183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2">
        <f>AVERAGE(1.33,1.28,1.3,1.31)</f>
        <v>1.305</v>
      </c>
      <c r="L872" s="82">
        <f t="shared" si="1"/>
        <v>2.06</v>
      </c>
      <c r="M872" s="83">
        <v>44761.0</v>
      </c>
      <c r="N872" s="84" t="s">
        <v>187</v>
      </c>
    </row>
    <row r="873">
      <c r="A873" s="66" t="s">
        <v>183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2">
        <f>AVERAGE(0.97,0.91,0.89,0.78)</f>
        <v>0.8875</v>
      </c>
      <c r="L873" s="82">
        <f t="shared" si="1"/>
        <v>1</v>
      </c>
      <c r="M873" s="83">
        <v>44761.0</v>
      </c>
      <c r="N873" s="84" t="s">
        <v>187</v>
      </c>
    </row>
    <row r="874">
      <c r="A874" s="66" t="s">
        <v>183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2">
        <f>AVERAGE(1.09,1.16,1.16,1.1)</f>
        <v>1.1275</v>
      </c>
      <c r="L874" s="82">
        <f t="shared" si="1"/>
        <v>2.42</v>
      </c>
      <c r="M874" s="83">
        <v>44761.0</v>
      </c>
      <c r="N874" s="84" t="s">
        <v>187</v>
      </c>
    </row>
    <row r="875">
      <c r="A875" s="66" t="s">
        <v>183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2">
        <f>AVERAGE(0.9,0.93,0.92,0.91)</f>
        <v>0.915</v>
      </c>
      <c r="L875" s="82">
        <f t="shared" si="1"/>
        <v>1.13</v>
      </c>
      <c r="M875" s="83">
        <v>44761.0</v>
      </c>
      <c r="N875" s="84" t="s">
        <v>187</v>
      </c>
    </row>
    <row r="876">
      <c r="A876" s="66" t="s">
        <v>183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2">
        <f>AVERAGE(0.91,0.94,0.91,0.9)</f>
        <v>0.915</v>
      </c>
      <c r="L876" s="82">
        <f t="shared" si="1"/>
        <v>0.91</v>
      </c>
      <c r="M876" s="83">
        <v>44761.0</v>
      </c>
      <c r="N876" s="84" t="s">
        <v>187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2">
        <f>AVERAGE(1.63,1.66,1.44,1.48)</f>
        <v>1.5525</v>
      </c>
      <c r="L877" s="82">
        <f t="shared" si="1"/>
        <v>2.1</v>
      </c>
      <c r="M877" s="83">
        <v>44761.0</v>
      </c>
      <c r="N877" s="84" t="s">
        <v>187</v>
      </c>
    </row>
    <row r="878">
      <c r="A878" s="66" t="s">
        <v>183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2">
        <f>AVERAGE(1.44,1.31,1.45,1.43)</f>
        <v>1.4075</v>
      </c>
      <c r="L878" s="82">
        <f t="shared" si="1"/>
        <v>1.08</v>
      </c>
      <c r="M878" s="83">
        <v>44761.0</v>
      </c>
      <c r="N878" s="84" t="s">
        <v>187</v>
      </c>
    </row>
    <row r="879">
      <c r="A879" s="66" t="s">
        <v>183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2">
        <f>AVERAGE(0.99,1.11,1.28,1.22)</f>
        <v>1.15</v>
      </c>
      <c r="L879" s="82">
        <f t="shared" si="1"/>
        <v>1.08</v>
      </c>
      <c r="M879" s="83">
        <v>44761.0</v>
      </c>
      <c r="N879" s="84" t="s">
        <v>187</v>
      </c>
    </row>
    <row r="880">
      <c r="A880" s="66" t="s">
        <v>183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2">
        <f>AVERAGE(1.12,1.07,0.99,1)</f>
        <v>1.045</v>
      </c>
      <c r="L880" s="82">
        <f t="shared" si="1"/>
        <v>1.08</v>
      </c>
      <c r="M880" s="83">
        <v>44761.0</v>
      </c>
      <c r="N880" s="84" t="s">
        <v>187</v>
      </c>
    </row>
    <row r="881">
      <c r="A881" s="66" t="s">
        <v>183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2">
        <f>AVERAGE(1.21,1.35,1.22,1.33)</f>
        <v>1.2775</v>
      </c>
      <c r="L881" s="82">
        <f t="shared" si="1"/>
        <v>2.46</v>
      </c>
      <c r="M881" s="83">
        <v>44761.0</v>
      </c>
      <c r="N881" s="84" t="s">
        <v>187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2">
        <f>AVERAGE(1.75,1.72,1.74,1.81)</f>
        <v>1.755</v>
      </c>
      <c r="L882" s="82">
        <f t="shared" si="1"/>
        <v>1.12</v>
      </c>
      <c r="M882" s="83">
        <v>44761.0</v>
      </c>
      <c r="N882" s="84" t="s">
        <v>187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2">
        <f>AVERAGE(1.74,1.74,1.56,1.66)</f>
        <v>1.675</v>
      </c>
      <c r="L883" s="82">
        <f t="shared" si="1"/>
        <v>4.35</v>
      </c>
      <c r="M883" s="83">
        <v>44761.0</v>
      </c>
      <c r="N883" s="84" t="s">
        <v>187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2">
        <f>AVERAGE(1.64,1.45,1.28,1.55)</f>
        <v>1.48</v>
      </c>
      <c r="L884" s="82">
        <f t="shared" si="1"/>
        <v>6.37</v>
      </c>
      <c r="M884" s="83">
        <v>44761.0</v>
      </c>
      <c r="N884" s="84" t="s">
        <v>187</v>
      </c>
    </row>
    <row r="885">
      <c r="A885" s="66" t="s">
        <v>183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2">
        <f>AVERAGE(1.37,1.38,1.34,1.4)</f>
        <v>1.3725</v>
      </c>
      <c r="L885" s="82">
        <f t="shared" si="1"/>
        <v>1.16</v>
      </c>
      <c r="M885" s="83">
        <v>44761.0</v>
      </c>
      <c r="N885" s="84" t="s">
        <v>187</v>
      </c>
    </row>
    <row r="886">
      <c r="A886" s="66" t="s">
        <v>183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2">
        <f>AVERAGE(1.56,1.6,1.57,1.52)</f>
        <v>1.5625</v>
      </c>
      <c r="L886" s="82">
        <f t="shared" si="1"/>
        <v>1.49</v>
      </c>
      <c r="M886" s="83">
        <v>44761.0</v>
      </c>
      <c r="N886" s="84" t="s">
        <v>187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2">
        <f>AVERAGE(1.05,1.14,1.1,1.11)</f>
        <v>1.1</v>
      </c>
      <c r="L887" s="82">
        <f t="shared" si="1"/>
        <v>3.33</v>
      </c>
      <c r="M887" s="83">
        <v>44761.0</v>
      </c>
      <c r="N887" s="84" t="s">
        <v>187</v>
      </c>
    </row>
    <row r="888">
      <c r="A888" s="66" t="s">
        <v>183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2">
        <f>AVERAGE(1.63,1.8,1.86,1.81)</f>
        <v>1.775</v>
      </c>
      <c r="L888" s="82">
        <f t="shared" si="1"/>
        <v>1.51</v>
      </c>
      <c r="M888" s="83">
        <v>44761.0</v>
      </c>
      <c r="N888" s="84" t="s">
        <v>187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2">
        <f>AVERAGE(0.98,1,1.03,1.1)</f>
        <v>1.0275</v>
      </c>
      <c r="L889" s="82">
        <f t="shared" si="1"/>
        <v>1.7</v>
      </c>
      <c r="M889" s="83">
        <v>44761.0</v>
      </c>
      <c r="N889" s="84" t="s">
        <v>187</v>
      </c>
    </row>
    <row r="890">
      <c r="A890" s="66" t="s">
        <v>183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2">
        <f>AVERAGE(0.97,1.07,1.08,1.02)</f>
        <v>1.035</v>
      </c>
      <c r="L890" s="82">
        <f t="shared" si="1"/>
        <v>1.2</v>
      </c>
      <c r="M890" s="83">
        <v>44761.0</v>
      </c>
      <c r="N890" s="84" t="s">
        <v>187</v>
      </c>
    </row>
    <row r="891">
      <c r="A891" s="66" t="s">
        <v>183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2">
        <f>AVERAGE(1.26,1.36,1.46,1.56)</f>
        <v>1.41</v>
      </c>
      <c r="L891" s="82">
        <f t="shared" si="1"/>
        <v>2.46</v>
      </c>
      <c r="M891" s="83">
        <v>44761.0</v>
      </c>
      <c r="N891" s="84" t="s">
        <v>187</v>
      </c>
    </row>
    <row r="892">
      <c r="A892" s="66" t="s">
        <v>183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2">
        <f>AVERAGE(0.9,0.94,0.81,0.85)</f>
        <v>0.875</v>
      </c>
      <c r="L892" s="82">
        <f t="shared" si="1"/>
        <v>0.68</v>
      </c>
      <c r="M892" s="83">
        <v>44761.0</v>
      </c>
      <c r="N892" s="84" t="s">
        <v>187</v>
      </c>
    </row>
    <row r="893">
      <c r="A893" s="66" t="s">
        <v>183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2">
        <f>AVERAGE(2,1.9,2,2.1)</f>
        <v>2</v>
      </c>
      <c r="L893" s="82">
        <f t="shared" si="1"/>
        <v>5.23</v>
      </c>
      <c r="M893" s="83">
        <v>44761.0</v>
      </c>
      <c r="N893" s="84" t="s">
        <v>187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2">
        <f>AVERAGE(1.35,1.36,1.29,1.29)</f>
        <v>1.3225</v>
      </c>
      <c r="L894" s="82">
        <f t="shared" si="1"/>
        <v>2.6</v>
      </c>
      <c r="M894" s="83">
        <v>44761.0</v>
      </c>
      <c r="N894" s="84" t="s">
        <v>187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2">
        <f>AVERAGE(1.66,1.61,1.61,1.66)</f>
        <v>1.635</v>
      </c>
      <c r="L895" s="82">
        <f t="shared" si="1"/>
        <v>3.53</v>
      </c>
      <c r="M895" s="83">
        <v>44761.0</v>
      </c>
      <c r="N895" s="84" t="s">
        <v>187</v>
      </c>
    </row>
    <row r="896">
      <c r="A896" s="66" t="s">
        <v>183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2">
        <f>AVERAGE(1.39,1.2,1.19,1.29)</f>
        <v>1.2675</v>
      </c>
      <c r="L896" s="82">
        <f t="shared" si="1"/>
        <v>2.61</v>
      </c>
      <c r="M896" s="83">
        <v>44761.0</v>
      </c>
      <c r="N896" s="84" t="s">
        <v>187</v>
      </c>
    </row>
    <row r="897">
      <c r="A897" s="66" t="s">
        <v>183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2">
        <f>AVERAGE(1.81,1.83,1.84,1.86)</f>
        <v>1.835</v>
      </c>
      <c r="L897" s="82">
        <f t="shared" si="1"/>
        <v>2.61</v>
      </c>
      <c r="M897" s="83">
        <v>44761.0</v>
      </c>
      <c r="N897" s="84" t="s">
        <v>187</v>
      </c>
    </row>
    <row r="898">
      <c r="A898" s="66" t="s">
        <v>183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2">
        <f>AVERAGE(1.3,1.28,1.26,1.29)</f>
        <v>1.2825</v>
      </c>
      <c r="L898" s="82">
        <f t="shared" si="1"/>
        <v>3.08</v>
      </c>
      <c r="M898" s="83">
        <v>44761.0</v>
      </c>
      <c r="N898" s="84" t="s">
        <v>187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2">
        <f>AVERAGE(1.41,1.39,1.29,1.4)</f>
        <v>1.3725</v>
      </c>
      <c r="L899" s="82">
        <f t="shared" si="1"/>
        <v>6.29</v>
      </c>
      <c r="M899" s="83">
        <v>44761.0</v>
      </c>
      <c r="N899" s="84" t="s">
        <v>187</v>
      </c>
    </row>
    <row r="900">
      <c r="A900" s="66" t="s">
        <v>183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2">
        <f>AVERAGE(1.09,1.07,1.09,1.03)</f>
        <v>1.07</v>
      </c>
      <c r="L900" s="82">
        <f t="shared" si="1"/>
        <v>1.54</v>
      </c>
      <c r="M900" s="83">
        <v>44761.0</v>
      </c>
      <c r="N900" s="84" t="s">
        <v>187</v>
      </c>
    </row>
    <row r="901">
      <c r="A901" s="66" t="s">
        <v>183</v>
      </c>
      <c r="B901" s="66">
        <v>2383.0</v>
      </c>
      <c r="C901" s="66">
        <v>1.0</v>
      </c>
      <c r="D901" s="66">
        <v>0.0</v>
      </c>
      <c r="E901" s="66" t="s">
        <v>184</v>
      </c>
      <c r="F901" s="66">
        <v>0.4667</v>
      </c>
      <c r="G901" s="66">
        <v>0.2755</v>
      </c>
      <c r="H901" s="66">
        <v>0.1031</v>
      </c>
      <c r="I901" s="66">
        <v>0.0647</v>
      </c>
      <c r="J901" s="86">
        <v>13.53</v>
      </c>
      <c r="K901" s="82">
        <f>AVERAGE(1.38,1.6,1.4,1.53)</f>
        <v>1.4775</v>
      </c>
      <c r="L901" s="82">
        <f t="shared" ref="L901:L976" si="2">J901/10</f>
        <v>1.353</v>
      </c>
      <c r="M901" s="83">
        <v>44816.0</v>
      </c>
      <c r="N901" s="87"/>
      <c r="O901" s="66">
        <v>17.95</v>
      </c>
    </row>
    <row r="902">
      <c r="A902" s="66" t="s">
        <v>183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86">
        <v>22.26</v>
      </c>
      <c r="K902" s="82">
        <f>AVERAGE(1.76,1.76,1.7,1.56)</f>
        <v>1.695</v>
      </c>
      <c r="L902" s="82">
        <f t="shared" si="2"/>
        <v>2.226</v>
      </c>
      <c r="M902" s="83">
        <v>44816.0</v>
      </c>
      <c r="N902" s="87"/>
      <c r="O902" s="66">
        <v>18.253</v>
      </c>
    </row>
    <row r="903">
      <c r="A903" s="66" t="s">
        <v>183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86">
        <v>22.95</v>
      </c>
      <c r="K903" s="82">
        <f>AVERAGE(2.01,2.01,2.21,2.09)</f>
        <v>2.08</v>
      </c>
      <c r="L903" s="82">
        <f t="shared" si="2"/>
        <v>2.295</v>
      </c>
      <c r="M903" s="83">
        <v>44816.0</v>
      </c>
      <c r="N903" s="87"/>
      <c r="O903" s="66">
        <v>11.86</v>
      </c>
    </row>
    <row r="904">
      <c r="A904" s="66" t="s">
        <v>183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86">
        <v>23.47</v>
      </c>
      <c r="K904" s="82">
        <f>AVERAGE(1.28,1.13,1.02,1.19)</f>
        <v>1.155</v>
      </c>
      <c r="L904" s="82">
        <f t="shared" si="2"/>
        <v>2.347</v>
      </c>
      <c r="M904" s="83">
        <v>44816.0</v>
      </c>
      <c r="N904" s="87"/>
      <c r="O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86">
        <v>24.69</v>
      </c>
      <c r="K905" s="82">
        <f>AVERAGE(1.4,1.22,1.04,1.24)</f>
        <v>1.225</v>
      </c>
      <c r="L905" s="82">
        <f t="shared" si="2"/>
        <v>2.469</v>
      </c>
      <c r="M905" s="83">
        <v>44816.0</v>
      </c>
      <c r="N905" s="87"/>
      <c r="O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86">
        <v>53.01</v>
      </c>
      <c r="K906" s="82">
        <f>AVERAGE(1.3,1.54,1.44,1.31)</f>
        <v>1.3975</v>
      </c>
      <c r="L906" s="82">
        <f t="shared" si="2"/>
        <v>5.301</v>
      </c>
      <c r="M906" s="83">
        <v>44816.0</v>
      </c>
      <c r="N906" s="87"/>
      <c r="O906" s="66">
        <v>35.245</v>
      </c>
    </row>
    <row r="907">
      <c r="A907" s="66" t="s">
        <v>183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86">
        <v>16.68</v>
      </c>
      <c r="K907" s="82">
        <f>AVERAGE(1.77,1.45,1.59,1.81)</f>
        <v>1.655</v>
      </c>
      <c r="L907" s="82">
        <f t="shared" si="2"/>
        <v>1.668</v>
      </c>
      <c r="M907" s="83">
        <v>44816.0</v>
      </c>
      <c r="N907" s="87"/>
      <c r="O907" s="66">
        <v>25.013</v>
      </c>
    </row>
    <row r="908">
      <c r="A908" s="66" t="s">
        <v>183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86">
        <v>18.62</v>
      </c>
      <c r="K908" s="82">
        <f>AVERAGE(1.62,1.6,1.73,1.7)</f>
        <v>1.6625</v>
      </c>
      <c r="L908" s="82">
        <f t="shared" si="2"/>
        <v>1.862</v>
      </c>
      <c r="M908" s="83">
        <v>44816.0</v>
      </c>
      <c r="N908" s="87"/>
      <c r="O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86">
        <v>13.3</v>
      </c>
      <c r="K909" s="82">
        <f>AVERAGE(1.55,1.21,1.3,1.43)</f>
        <v>1.3725</v>
      </c>
      <c r="L909" s="82">
        <f t="shared" si="2"/>
        <v>1.33</v>
      </c>
      <c r="M909" s="83">
        <v>44816.0</v>
      </c>
      <c r="N909" s="87"/>
      <c r="O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86">
        <v>7.2</v>
      </c>
      <c r="K910" s="82">
        <f>AVERAGE(1.23,1,1.22,1.11)</f>
        <v>1.14</v>
      </c>
      <c r="L910" s="82">
        <f t="shared" si="2"/>
        <v>0.72</v>
      </c>
      <c r="M910" s="83">
        <v>44816.0</v>
      </c>
      <c r="N910" s="87"/>
      <c r="O910" s="66">
        <v>10.162</v>
      </c>
    </row>
    <row r="911">
      <c r="A911" s="66" t="s">
        <v>183</v>
      </c>
      <c r="B911" s="66">
        <v>2383.0</v>
      </c>
      <c r="C911" s="66">
        <v>1.0</v>
      </c>
      <c r="D911" s="66">
        <v>0.0</v>
      </c>
      <c r="E911" s="66" t="s">
        <v>185</v>
      </c>
      <c r="F911" s="66">
        <v>0.4075</v>
      </c>
      <c r="G911" s="66">
        <v>0.2395</v>
      </c>
      <c r="H911" s="66">
        <v>0.0462</v>
      </c>
      <c r="I911" s="66">
        <v>0.0285</v>
      </c>
      <c r="J911" s="86">
        <v>14.41</v>
      </c>
      <c r="K911" s="82">
        <f>AVERAGE(1.72,1.7,1.65,1.49)</f>
        <v>1.64</v>
      </c>
      <c r="L911" s="82">
        <f t="shared" si="2"/>
        <v>1.441</v>
      </c>
      <c r="M911" s="83">
        <v>44816.0</v>
      </c>
      <c r="N911" s="87"/>
      <c r="O911" s="66">
        <v>15.849</v>
      </c>
    </row>
    <row r="912">
      <c r="A912" s="66" t="s">
        <v>183</v>
      </c>
      <c r="B912" s="66">
        <v>2383.0</v>
      </c>
      <c r="C912" s="66">
        <v>1.0</v>
      </c>
      <c r="D912" s="66">
        <v>0.0</v>
      </c>
      <c r="E912" s="66" t="s">
        <v>186</v>
      </c>
      <c r="F912" s="66">
        <v>0.5174</v>
      </c>
      <c r="G912" s="66">
        <v>0.3043</v>
      </c>
      <c r="H912" s="66">
        <v>0.0492</v>
      </c>
      <c r="I912" s="66">
        <v>0.0032</v>
      </c>
      <c r="J912" s="86">
        <v>12.9</v>
      </c>
      <c r="K912" s="82">
        <f>AVERAGE(1.38,1.41,1.29,1.37)</f>
        <v>1.3625</v>
      </c>
      <c r="L912" s="82">
        <f t="shared" si="2"/>
        <v>1.29</v>
      </c>
      <c r="M912" s="83">
        <v>44816.0</v>
      </c>
      <c r="N912" s="87"/>
      <c r="O912" s="66">
        <v>19.219</v>
      </c>
    </row>
    <row r="913">
      <c r="A913" s="66" t="s">
        <v>183</v>
      </c>
      <c r="B913" s="66">
        <v>2382.0</v>
      </c>
      <c r="C913" s="66">
        <v>2.0</v>
      </c>
      <c r="D913" s="66">
        <v>0.0</v>
      </c>
      <c r="E913" s="66" t="s">
        <v>184</v>
      </c>
      <c r="F913" s="66">
        <v>0.1429</v>
      </c>
      <c r="G913" s="66">
        <v>0.089</v>
      </c>
      <c r="H913" s="66">
        <v>0.0431</v>
      </c>
      <c r="I913" s="66">
        <v>0.0276</v>
      </c>
      <c r="J913" s="86">
        <v>16.15</v>
      </c>
      <c r="K913" s="82">
        <f>AVERAGE(1.48,1.34,1.35,1.5)</f>
        <v>1.4175</v>
      </c>
      <c r="L913" s="82">
        <f t="shared" si="2"/>
        <v>1.615</v>
      </c>
      <c r="M913" s="83">
        <v>44816.0</v>
      </c>
      <c r="N913" s="87"/>
      <c r="O913" s="66">
        <v>7.146</v>
      </c>
    </row>
    <row r="914">
      <c r="A914" s="66" t="s">
        <v>183</v>
      </c>
      <c r="B914" s="66">
        <v>2382.0</v>
      </c>
      <c r="C914" s="66">
        <v>2.0</v>
      </c>
      <c r="D914" s="66">
        <v>0.0</v>
      </c>
      <c r="E914" s="66" t="s">
        <v>185</v>
      </c>
      <c r="F914" s="66">
        <v>0.1797</v>
      </c>
      <c r="G914" s="66">
        <v>0.1091</v>
      </c>
      <c r="H914" s="66">
        <v>0.0612</v>
      </c>
      <c r="I914" s="66">
        <v>0.0391</v>
      </c>
      <c r="J914" s="86">
        <v>17.57</v>
      </c>
      <c r="K914" s="82">
        <f>AVERAGE(1.32,1.39,1.46,1.29)</f>
        <v>1.365</v>
      </c>
      <c r="L914" s="82">
        <f t="shared" si="2"/>
        <v>1.757</v>
      </c>
      <c r="M914" s="83">
        <v>44816.0</v>
      </c>
      <c r="N914" s="87"/>
      <c r="O914" s="66">
        <v>8.802</v>
      </c>
    </row>
    <row r="915">
      <c r="A915" s="66" t="s">
        <v>183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86">
        <v>21.17</v>
      </c>
      <c r="K915" s="82">
        <f>AVERAGE(1.56, 1.3,1.4,1.44)</f>
        <v>1.425</v>
      </c>
      <c r="L915" s="82">
        <f t="shared" si="2"/>
        <v>2.117</v>
      </c>
      <c r="M915" s="83">
        <v>44816.0</v>
      </c>
      <c r="N915" s="87"/>
      <c r="O915" s="66">
        <v>26.585</v>
      </c>
    </row>
    <row r="916">
      <c r="A916" s="66" t="s">
        <v>183</v>
      </c>
      <c r="B916" s="66">
        <v>2042.0</v>
      </c>
      <c r="C916" s="66">
        <v>1.0</v>
      </c>
      <c r="D916" s="66">
        <v>0.0</v>
      </c>
      <c r="F916" s="66">
        <v>0.4011</v>
      </c>
      <c r="G916" s="66">
        <v>0.2504</v>
      </c>
      <c r="H916" s="66">
        <v>0.11</v>
      </c>
      <c r="I916" s="66">
        <v>0.0708</v>
      </c>
      <c r="J916" s="86">
        <v>9.18</v>
      </c>
      <c r="K916" s="82">
        <f>AVERAGE(1.75,1.6,1.7,1.63)</f>
        <v>1.67</v>
      </c>
      <c r="L916" s="82">
        <f t="shared" si="2"/>
        <v>0.918</v>
      </c>
      <c r="M916" s="83">
        <v>44839.0</v>
      </c>
      <c r="N916" s="84" t="s">
        <v>192</v>
      </c>
      <c r="O916" s="66">
        <v>13.407</v>
      </c>
    </row>
    <row r="917">
      <c r="A917" s="66" t="s">
        <v>183</v>
      </c>
      <c r="B917" s="66">
        <v>2045.0</v>
      </c>
      <c r="C917" s="66">
        <v>2.0</v>
      </c>
      <c r="D917" s="66">
        <v>0.0</v>
      </c>
      <c r="F917" s="66">
        <v>0.2163</v>
      </c>
      <c r="G917" s="66">
        <v>0.1457</v>
      </c>
      <c r="H917" s="66">
        <v>0.1673</v>
      </c>
      <c r="I917" s="66">
        <v>0.115</v>
      </c>
      <c r="J917" s="86">
        <v>10.94</v>
      </c>
      <c r="K917" s="82">
        <f>AVERAGE(0.93,0.94,0.97,0.98)</f>
        <v>0.955</v>
      </c>
      <c r="L917" s="82">
        <f t="shared" si="2"/>
        <v>1.094</v>
      </c>
      <c r="M917" s="83">
        <v>44839.0</v>
      </c>
      <c r="N917" s="84" t="s">
        <v>192</v>
      </c>
      <c r="O917" s="66">
        <v>8.234</v>
      </c>
    </row>
    <row r="918">
      <c r="A918" s="66" t="s">
        <v>183</v>
      </c>
      <c r="B918" s="66">
        <v>2050.0</v>
      </c>
      <c r="C918" s="66">
        <v>3.0</v>
      </c>
      <c r="D918" s="66">
        <v>0.0</v>
      </c>
      <c r="F918" s="66">
        <v>1.1214</v>
      </c>
      <c r="G918" s="66">
        <v>0.6535</v>
      </c>
      <c r="H918" s="66">
        <v>0.2489</v>
      </c>
      <c r="I918" s="66">
        <v>0.1598</v>
      </c>
      <c r="J918" s="86">
        <v>22.93</v>
      </c>
      <c r="K918" s="82">
        <f>AVERAGE(1.8,1.74,1.78,1.83)</f>
        <v>1.7875</v>
      </c>
      <c r="L918" s="82">
        <f t="shared" si="2"/>
        <v>2.293</v>
      </c>
      <c r="M918" s="83">
        <v>44839.0</v>
      </c>
      <c r="N918" s="84" t="s">
        <v>192</v>
      </c>
      <c r="O918" s="66">
        <v>40.298</v>
      </c>
    </row>
    <row r="919">
      <c r="A919" s="66" t="s">
        <v>183</v>
      </c>
      <c r="B919" s="66">
        <v>2045.0</v>
      </c>
      <c r="C919" s="66">
        <v>3.0</v>
      </c>
      <c r="D919" s="66">
        <v>0.0</v>
      </c>
      <c r="F919" s="66">
        <v>0.3749</v>
      </c>
      <c r="G919" s="66">
        <v>0.2296</v>
      </c>
      <c r="H919" s="66">
        <v>0.11</v>
      </c>
      <c r="I919" s="66">
        <v>0.0644</v>
      </c>
      <c r="J919" s="86">
        <v>9.21</v>
      </c>
      <c r="K919" s="82">
        <f>AVERAGE(1.79,1.8,1.84,1.76)</f>
        <v>1.7975</v>
      </c>
      <c r="L919" s="82">
        <f t="shared" si="2"/>
        <v>0.921</v>
      </c>
      <c r="M919" s="83">
        <v>44839.0</v>
      </c>
      <c r="N919" s="84" t="s">
        <v>192</v>
      </c>
      <c r="O919" s="66">
        <v>13.449</v>
      </c>
    </row>
    <row r="920">
      <c r="A920" s="66" t="s">
        <v>183</v>
      </c>
      <c r="B920" s="66">
        <v>2044.0</v>
      </c>
      <c r="C920" s="66">
        <v>3.0</v>
      </c>
      <c r="D920" s="66">
        <v>0.0</v>
      </c>
      <c r="F920" s="66">
        <v>0.2887</v>
      </c>
      <c r="G920" s="66">
        <v>0.1726</v>
      </c>
      <c r="H920" s="66">
        <v>0.0852</v>
      </c>
      <c r="I920" s="66">
        <v>0.0478</v>
      </c>
      <c r="J920" s="86">
        <v>11.79</v>
      </c>
      <c r="K920" s="82">
        <f>AVERAGE(0.9,0.94,0.9,1.04)</f>
        <v>0.945</v>
      </c>
      <c r="L920" s="82">
        <f t="shared" si="2"/>
        <v>1.179</v>
      </c>
      <c r="M920" s="83">
        <v>44839.0</v>
      </c>
      <c r="N920" s="84" t="s">
        <v>192</v>
      </c>
      <c r="O920" s="66">
        <v>11.323</v>
      </c>
    </row>
    <row r="921">
      <c r="A921" s="66" t="s">
        <v>183</v>
      </c>
      <c r="B921" s="66">
        <v>2045.0</v>
      </c>
      <c r="C921" s="66">
        <v>1.0</v>
      </c>
      <c r="D921" s="66">
        <v>0.0</v>
      </c>
      <c r="F921" s="66">
        <v>0.6723</v>
      </c>
      <c r="G921" s="66">
        <v>0.4075</v>
      </c>
      <c r="H921" s="66">
        <v>0.0885</v>
      </c>
      <c r="I921" s="66">
        <v>0.0535</v>
      </c>
      <c r="J921" s="86">
        <v>6.92</v>
      </c>
      <c r="K921" s="82">
        <f>AVERAGE(1.83,1.75,1.68,1.53)</f>
        <v>1.6975</v>
      </c>
      <c r="L921" s="82">
        <f t="shared" si="2"/>
        <v>0.692</v>
      </c>
      <c r="M921" s="83">
        <v>44839.0</v>
      </c>
      <c r="N921" s="84" t="s">
        <v>192</v>
      </c>
      <c r="O921" s="66">
        <v>24.118</v>
      </c>
    </row>
    <row r="922">
      <c r="A922" s="66" t="s">
        <v>183</v>
      </c>
      <c r="B922" s="66">
        <v>2040.0</v>
      </c>
      <c r="C922" s="66">
        <v>2.0</v>
      </c>
      <c r="D922" s="66">
        <v>0.0</v>
      </c>
      <c r="F922" s="66">
        <v>0.438</v>
      </c>
      <c r="G922" s="66">
        <v>0.2621</v>
      </c>
      <c r="H922" s="66">
        <v>0.158</v>
      </c>
      <c r="I922" s="66">
        <v>0.1024</v>
      </c>
      <c r="J922" s="86">
        <v>25.95</v>
      </c>
      <c r="K922" s="82">
        <f>AVERAGE(1.46,1.28,1.34,1.31)</f>
        <v>1.3475</v>
      </c>
      <c r="L922" s="82">
        <f t="shared" si="2"/>
        <v>2.595</v>
      </c>
      <c r="M922" s="83">
        <v>44839.0</v>
      </c>
      <c r="N922" s="84" t="s">
        <v>192</v>
      </c>
      <c r="O922" s="66">
        <v>15.525</v>
      </c>
    </row>
    <row r="923">
      <c r="A923" s="66" t="s">
        <v>183</v>
      </c>
      <c r="B923" s="66">
        <v>2049.0</v>
      </c>
      <c r="C923" s="66">
        <v>3.0</v>
      </c>
      <c r="D923" s="66">
        <v>0.0</v>
      </c>
      <c r="F923" s="66">
        <v>0.1466</v>
      </c>
      <c r="G923" s="66">
        <v>0.0884</v>
      </c>
      <c r="H923" s="66">
        <v>0.0972</v>
      </c>
      <c r="I923" s="66">
        <v>0.0573</v>
      </c>
      <c r="J923" s="86">
        <v>16.33</v>
      </c>
      <c r="K923" s="82">
        <f>AVERAGE(1.36,1.08,1.11,1.3)</f>
        <v>1.2125</v>
      </c>
      <c r="L923" s="82">
        <f t="shared" si="2"/>
        <v>1.633</v>
      </c>
      <c r="M923" s="83">
        <v>44839.0</v>
      </c>
      <c r="N923" s="84" t="s">
        <v>192</v>
      </c>
      <c r="O923" s="66">
        <v>5.722</v>
      </c>
    </row>
    <row r="924">
      <c r="A924" s="66" t="s">
        <v>183</v>
      </c>
      <c r="B924" s="66">
        <v>2048.0</v>
      </c>
      <c r="C924" s="66">
        <v>1.0</v>
      </c>
      <c r="D924" s="66">
        <v>0.0</v>
      </c>
      <c r="F924" s="66">
        <v>0.1899</v>
      </c>
      <c r="G924" s="66">
        <v>0.1085</v>
      </c>
      <c r="H924" s="66">
        <v>0.0889</v>
      </c>
      <c r="I924" s="66">
        <v>0.0538</v>
      </c>
      <c r="J924" s="86">
        <v>11.14</v>
      </c>
      <c r="K924" s="82">
        <f>AVERAGE(1.36,1.25,1.18,1.25)</f>
        <v>1.26</v>
      </c>
      <c r="L924" s="82">
        <f t="shared" si="2"/>
        <v>1.114</v>
      </c>
      <c r="M924" s="83">
        <v>44839.0</v>
      </c>
      <c r="N924" s="84" t="s">
        <v>192</v>
      </c>
      <c r="O924" s="66">
        <v>7.056</v>
      </c>
    </row>
    <row r="925">
      <c r="A925" s="66" t="s">
        <v>183</v>
      </c>
      <c r="B925" s="66">
        <v>2043.0</v>
      </c>
      <c r="C925" s="66">
        <v>1.0</v>
      </c>
      <c r="D925" s="66">
        <v>0.0</v>
      </c>
      <c r="F925" s="66">
        <v>0.6717</v>
      </c>
      <c r="G925" s="66">
        <v>0.4322</v>
      </c>
      <c r="H925" s="66">
        <v>0.2995</v>
      </c>
      <c r="I925" s="66">
        <v>0.1855</v>
      </c>
      <c r="J925" s="86">
        <v>30.89</v>
      </c>
      <c r="K925" s="82">
        <f>AVERAGE(1.41,1.44,1.5,1.68)</f>
        <v>1.5075</v>
      </c>
      <c r="L925" s="82">
        <f t="shared" si="2"/>
        <v>3.089</v>
      </c>
      <c r="M925" s="83">
        <v>44839.0</v>
      </c>
      <c r="N925" s="84" t="s">
        <v>192</v>
      </c>
      <c r="O925" s="66">
        <v>24.663</v>
      </c>
    </row>
    <row r="926">
      <c r="A926" s="66" t="s">
        <v>183</v>
      </c>
      <c r="B926" s="66">
        <v>2052.0</v>
      </c>
      <c r="C926" s="66">
        <v>2.0</v>
      </c>
      <c r="D926" s="66">
        <v>0.0</v>
      </c>
      <c r="F926" s="66">
        <v>0.618</v>
      </c>
      <c r="G926" s="66">
        <v>0.376</v>
      </c>
      <c r="H926" s="66">
        <v>0.0814</v>
      </c>
      <c r="I926" s="66">
        <v>0.0508</v>
      </c>
      <c r="J926" s="86">
        <v>6.26</v>
      </c>
      <c r="K926" s="82">
        <f>AVERAGE(1.08,1.15,1.09,1.01)</f>
        <v>1.0825</v>
      </c>
      <c r="L926" s="82">
        <f t="shared" si="2"/>
        <v>0.626</v>
      </c>
      <c r="M926" s="83">
        <v>44839.0</v>
      </c>
      <c r="N926" s="84" t="s">
        <v>192</v>
      </c>
      <c r="O926" s="66">
        <v>24.104</v>
      </c>
    </row>
    <row r="927">
      <c r="A927" s="66" t="s">
        <v>183</v>
      </c>
      <c r="B927" s="66">
        <v>2051.0</v>
      </c>
      <c r="C927" s="66">
        <v>2.0</v>
      </c>
      <c r="D927" s="66">
        <v>0.0</v>
      </c>
      <c r="F927" s="66">
        <v>0.6768</v>
      </c>
      <c r="G927" s="66">
        <v>0.3927</v>
      </c>
      <c r="H927" s="66">
        <v>0.2463</v>
      </c>
      <c r="I927" s="66">
        <v>0.1627</v>
      </c>
      <c r="J927" s="86">
        <v>11.27</v>
      </c>
      <c r="K927" s="82">
        <f>AVERAGE(1.92,1.95,1.86,1.92)</f>
        <v>1.9125</v>
      </c>
      <c r="L927" s="82">
        <f t="shared" si="2"/>
        <v>1.127</v>
      </c>
      <c r="M927" s="83">
        <v>44839.0</v>
      </c>
      <c r="N927" s="84" t="s">
        <v>192</v>
      </c>
      <c r="O927" s="66">
        <v>22.544</v>
      </c>
    </row>
    <row r="928">
      <c r="A928" s="66" t="s">
        <v>183</v>
      </c>
      <c r="B928" s="66">
        <v>2042.0</v>
      </c>
      <c r="C928" s="66">
        <v>2.0</v>
      </c>
      <c r="D928" s="66">
        <v>0.0</v>
      </c>
      <c r="F928" s="66">
        <v>0.7678</v>
      </c>
      <c r="G928" s="66">
        <v>0.4577</v>
      </c>
      <c r="H928" s="66">
        <v>0.1041</v>
      </c>
      <c r="I928" s="66">
        <v>0.0654</v>
      </c>
      <c r="J928" s="86">
        <v>8.67</v>
      </c>
      <c r="K928" s="82">
        <f>AVERAGE(1.53,1.46,1.5,1.53)</f>
        <v>1.505</v>
      </c>
      <c r="L928" s="82">
        <f t="shared" si="2"/>
        <v>0.867</v>
      </c>
      <c r="M928" s="83">
        <v>44839.0</v>
      </c>
      <c r="N928" s="84" t="s">
        <v>192</v>
      </c>
      <c r="O928" s="66">
        <v>22.908</v>
      </c>
    </row>
    <row r="929">
      <c r="A929" s="66" t="s">
        <v>183</v>
      </c>
      <c r="B929" s="66">
        <v>2040.0</v>
      </c>
      <c r="C929" s="66">
        <v>3.0</v>
      </c>
      <c r="D929" s="66">
        <v>0.0</v>
      </c>
      <c r="F929" s="66">
        <v>0.0786</v>
      </c>
      <c r="G929" s="66">
        <v>0.0486</v>
      </c>
      <c r="H929" s="66">
        <v>0.0478</v>
      </c>
      <c r="I929" s="66">
        <v>0.0332</v>
      </c>
      <c r="J929" s="86">
        <v>9.67</v>
      </c>
      <c r="K929" s="82">
        <f>AVERAGE(1.08,1.05,1.03,1.06)</f>
        <v>1.055</v>
      </c>
      <c r="L929" s="82">
        <f t="shared" si="2"/>
        <v>0.967</v>
      </c>
      <c r="M929" s="83">
        <v>44839.0</v>
      </c>
      <c r="N929" s="84" t="s">
        <v>192</v>
      </c>
      <c r="O929" s="66">
        <v>3.14</v>
      </c>
    </row>
    <row r="930">
      <c r="A930" s="66" t="s">
        <v>183</v>
      </c>
      <c r="B930" s="66">
        <v>2041.0</v>
      </c>
      <c r="C930" s="66">
        <v>3.0</v>
      </c>
      <c r="D930" s="66">
        <v>0.0</v>
      </c>
      <c r="F930" s="66">
        <v>0.1484</v>
      </c>
      <c r="G930" s="66">
        <v>0.0886</v>
      </c>
      <c r="H930" s="66">
        <v>0.0301</v>
      </c>
      <c r="I930" s="66">
        <v>0.0192</v>
      </c>
      <c r="J930" s="86">
        <v>6.3</v>
      </c>
      <c r="K930" s="82">
        <f>AVERAGE(1.1,1.24,1.16,1.06)</f>
        <v>1.14</v>
      </c>
      <c r="L930" s="82">
        <f t="shared" si="2"/>
        <v>0.63</v>
      </c>
      <c r="M930" s="83">
        <v>44839.0</v>
      </c>
      <c r="N930" s="84" t="s">
        <v>192</v>
      </c>
      <c r="O930" s="66">
        <v>5.314</v>
      </c>
    </row>
    <row r="931">
      <c r="A931" s="66" t="s">
        <v>183</v>
      </c>
      <c r="B931" s="66">
        <v>2051.0</v>
      </c>
      <c r="C931" s="66">
        <v>3.0</v>
      </c>
      <c r="D931" s="66">
        <v>0.0</v>
      </c>
      <c r="F931" s="66">
        <v>1.2347</v>
      </c>
      <c r="G931" s="66">
        <v>0.7264</v>
      </c>
      <c r="H931" s="66">
        <v>0.2537</v>
      </c>
      <c r="I931" s="66">
        <v>0.169</v>
      </c>
      <c r="J931" s="86">
        <v>15.51</v>
      </c>
      <c r="K931" s="82">
        <f>AVERAGE(1.67,1.75,1.62,1.63)</f>
        <v>1.6675</v>
      </c>
      <c r="L931" s="82">
        <f t="shared" si="2"/>
        <v>1.551</v>
      </c>
      <c r="M931" s="83">
        <v>44839.0</v>
      </c>
      <c r="N931" s="84" t="s">
        <v>192</v>
      </c>
      <c r="O931" s="66">
        <v>40.914</v>
      </c>
    </row>
    <row r="932">
      <c r="A932" s="66" t="s">
        <v>183</v>
      </c>
      <c r="B932" s="66">
        <v>2049.0</v>
      </c>
      <c r="C932" s="66">
        <v>2.0</v>
      </c>
      <c r="D932" s="66">
        <v>0.0</v>
      </c>
      <c r="F932" s="66">
        <v>0.4722</v>
      </c>
      <c r="G932" s="66">
        <v>0.2765</v>
      </c>
      <c r="H932" s="66">
        <v>0.032</v>
      </c>
      <c r="I932" s="66">
        <v>0.0206</v>
      </c>
      <c r="J932" s="86">
        <v>5.17</v>
      </c>
      <c r="K932" s="82">
        <f>AVERAGE(0.86,1.07,0.92,0.87)</f>
        <v>0.93</v>
      </c>
      <c r="L932" s="82">
        <f t="shared" si="2"/>
        <v>0.517</v>
      </c>
      <c r="M932" s="83">
        <v>44839.0</v>
      </c>
      <c r="N932" s="84" t="s">
        <v>192</v>
      </c>
      <c r="O932" s="66">
        <v>21.883</v>
      </c>
    </row>
    <row r="933">
      <c r="A933" s="66" t="s">
        <v>183</v>
      </c>
      <c r="B933" s="66">
        <v>2046.0</v>
      </c>
      <c r="C933" s="66">
        <v>3.0</v>
      </c>
      <c r="D933" s="66">
        <v>0.0</v>
      </c>
      <c r="F933" s="66">
        <v>0.8555</v>
      </c>
      <c r="G933" s="66">
        <v>0.52</v>
      </c>
      <c r="H933" s="66">
        <v>0.0669</v>
      </c>
      <c r="I933" s="66">
        <v>0.0429</v>
      </c>
      <c r="J933" s="86">
        <v>7.17</v>
      </c>
      <c r="K933" s="82">
        <f>AVERAGE(1.35,1.45,1.45,1.43)</f>
        <v>1.42</v>
      </c>
      <c r="L933" s="82">
        <f t="shared" si="2"/>
        <v>0.717</v>
      </c>
      <c r="M933" s="83">
        <v>44839.0</v>
      </c>
      <c r="N933" s="84" t="s">
        <v>192</v>
      </c>
      <c r="O933" s="66">
        <v>31.472</v>
      </c>
    </row>
    <row r="934">
      <c r="A934" s="66" t="s">
        <v>183</v>
      </c>
      <c r="B934" s="66">
        <v>2042.0</v>
      </c>
      <c r="C934" s="66">
        <v>3.0</v>
      </c>
      <c r="D934" s="66">
        <v>0.0</v>
      </c>
      <c r="F934" s="66">
        <v>0.2849</v>
      </c>
      <c r="G934" s="66">
        <v>0.1712</v>
      </c>
      <c r="H934" s="66">
        <v>0.0891</v>
      </c>
      <c r="I934" s="66">
        <v>0.0561</v>
      </c>
      <c r="J934" s="86">
        <v>8.86</v>
      </c>
      <c r="K934" s="82">
        <f>AVERAGE(1.63,1.71,1.65,1.55)</f>
        <v>1.635</v>
      </c>
      <c r="L934" s="82">
        <f t="shared" si="2"/>
        <v>0.886</v>
      </c>
      <c r="M934" s="83">
        <v>44839.0</v>
      </c>
      <c r="N934" s="84" t="s">
        <v>192</v>
      </c>
      <c r="O934" s="66">
        <v>9.481</v>
      </c>
    </row>
    <row r="935">
      <c r="A935" s="66" t="s">
        <v>183</v>
      </c>
      <c r="B935" s="66">
        <v>2044.0</v>
      </c>
      <c r="C935" s="66">
        <v>1.0</v>
      </c>
      <c r="D935" s="66">
        <v>0.0</v>
      </c>
      <c r="F935" s="66">
        <v>0.2242</v>
      </c>
      <c r="G935" s="66">
        <v>0.1512</v>
      </c>
      <c r="H935" s="66">
        <v>0.0985</v>
      </c>
      <c r="I935" s="66">
        <v>0.0677</v>
      </c>
      <c r="J935" s="86">
        <v>9.0</v>
      </c>
      <c r="K935" s="82">
        <f>AVERAGE(1.01,1.03,1,1.02)</f>
        <v>1.015</v>
      </c>
      <c r="L935" s="82">
        <f t="shared" si="2"/>
        <v>0.9</v>
      </c>
      <c r="M935" s="83">
        <v>44839.0</v>
      </c>
      <c r="N935" s="84" t="s">
        <v>192</v>
      </c>
      <c r="O935" s="66">
        <v>9.205</v>
      </c>
    </row>
    <row r="936">
      <c r="A936" s="66" t="s">
        <v>183</v>
      </c>
      <c r="B936" s="66">
        <v>2052.0</v>
      </c>
      <c r="C936" s="66">
        <v>3.0</v>
      </c>
      <c r="D936" s="66">
        <v>0.0</v>
      </c>
      <c r="F936" s="66">
        <v>0.6844</v>
      </c>
      <c r="G936" s="66">
        <v>0.4016</v>
      </c>
      <c r="H936" s="66">
        <v>0.0951</v>
      </c>
      <c r="I936" s="66">
        <v>0.0604</v>
      </c>
      <c r="J936" s="86">
        <v>7.63</v>
      </c>
      <c r="K936" s="82">
        <f>AVERAGE(1.43,1.28,1.41,1.31)</f>
        <v>1.3575</v>
      </c>
      <c r="L936" s="82">
        <f t="shared" si="2"/>
        <v>0.763</v>
      </c>
      <c r="M936" s="83">
        <v>44839.0</v>
      </c>
      <c r="N936" s="84" t="s">
        <v>192</v>
      </c>
      <c r="O936" s="66">
        <v>26.549</v>
      </c>
    </row>
    <row r="937">
      <c r="A937" s="66" t="s">
        <v>183</v>
      </c>
      <c r="B937" s="66">
        <v>2048.0</v>
      </c>
      <c r="C937" s="66">
        <v>2.0</v>
      </c>
      <c r="D937" s="66">
        <v>0.0</v>
      </c>
      <c r="F937" s="66">
        <v>0.1507</v>
      </c>
      <c r="G937" s="66">
        <v>0.0864</v>
      </c>
      <c r="H937" s="66">
        <v>0.13008</v>
      </c>
      <c r="I937" s="66">
        <v>0.0815</v>
      </c>
      <c r="J937" s="86">
        <v>17.32</v>
      </c>
      <c r="K937" s="82">
        <f>AVERAGE(1.71,1.74,1.81,1.74)</f>
        <v>1.75</v>
      </c>
      <c r="L937" s="82">
        <f t="shared" si="2"/>
        <v>1.732</v>
      </c>
      <c r="M937" s="83">
        <v>44839.0</v>
      </c>
      <c r="N937" s="84" t="s">
        <v>192</v>
      </c>
      <c r="O937" s="66">
        <v>5.563</v>
      </c>
    </row>
    <row r="938">
      <c r="A938" s="66" t="s">
        <v>183</v>
      </c>
      <c r="B938" s="66">
        <v>2041.0</v>
      </c>
      <c r="C938" s="66">
        <v>1.0</v>
      </c>
      <c r="D938" s="66">
        <v>0.0</v>
      </c>
      <c r="F938" s="66">
        <v>0.1758</v>
      </c>
      <c r="G938" s="66">
        <v>0.1046</v>
      </c>
      <c r="H938" s="66">
        <v>0.0529</v>
      </c>
      <c r="I938" s="66">
        <v>0.0347</v>
      </c>
      <c r="J938" s="86">
        <v>6.9</v>
      </c>
      <c r="K938" s="82">
        <f>AVERAGE(1.3,1.27,1.25,1.22)</f>
        <v>1.26</v>
      </c>
      <c r="L938" s="82">
        <f t="shared" si="2"/>
        <v>0.69</v>
      </c>
      <c r="M938" s="83">
        <v>44839.0</v>
      </c>
      <c r="N938" s="84" t="s">
        <v>192</v>
      </c>
      <c r="O938" s="66">
        <v>6.293</v>
      </c>
    </row>
    <row r="939">
      <c r="A939" s="66" t="s">
        <v>183</v>
      </c>
      <c r="B939" s="66">
        <v>2047.0</v>
      </c>
      <c r="C939" s="66">
        <v>3.0</v>
      </c>
      <c r="D939" s="66">
        <v>0.0</v>
      </c>
      <c r="F939" s="66">
        <v>0.2428</v>
      </c>
      <c r="G939" s="66">
        <v>0.1412</v>
      </c>
      <c r="H939" s="66">
        <v>0.1057</v>
      </c>
      <c r="I939" s="66">
        <v>0.0632</v>
      </c>
      <c r="J939" s="86">
        <v>11.37</v>
      </c>
      <c r="K939" s="82">
        <f>AVERAGE(1.56,1.49,1.29,1.21)</f>
        <v>1.3875</v>
      </c>
      <c r="L939" s="82">
        <f t="shared" si="2"/>
        <v>1.137</v>
      </c>
      <c r="M939" s="83">
        <v>44839.0</v>
      </c>
      <c r="N939" s="84" t="s">
        <v>192</v>
      </c>
      <c r="O939" s="66">
        <v>7.864</v>
      </c>
    </row>
    <row r="940">
      <c r="A940" s="66" t="s">
        <v>183</v>
      </c>
      <c r="B940" s="66">
        <v>2046.0</v>
      </c>
      <c r="C940" s="66">
        <v>2.0</v>
      </c>
      <c r="D940" s="66">
        <v>0.0</v>
      </c>
      <c r="F940" s="66">
        <v>0.7858</v>
      </c>
      <c r="G940" s="66">
        <v>0.4815</v>
      </c>
      <c r="H940" s="66">
        <v>0.0805</v>
      </c>
      <c r="I940" s="66">
        <v>0.0534</v>
      </c>
      <c r="J940" s="86">
        <v>7.93</v>
      </c>
      <c r="K940" s="82">
        <f>AVERAGE(1.21,1.37,1.54,1.29)</f>
        <v>1.3525</v>
      </c>
      <c r="L940" s="82">
        <f t="shared" si="2"/>
        <v>0.793</v>
      </c>
      <c r="M940" s="83">
        <v>44839.0</v>
      </c>
      <c r="N940" s="84" t="s">
        <v>192</v>
      </c>
      <c r="O940" s="66">
        <v>29.059</v>
      </c>
    </row>
    <row r="941">
      <c r="A941" s="66" t="s">
        <v>183</v>
      </c>
      <c r="B941" s="66">
        <v>2043.0</v>
      </c>
      <c r="C941" s="66">
        <v>2.0</v>
      </c>
      <c r="D941" s="66">
        <v>0.0</v>
      </c>
      <c r="F941" s="66">
        <v>0.3661</v>
      </c>
      <c r="G941" s="66">
        <v>0.2203</v>
      </c>
      <c r="H941" s="66">
        <v>0.1622</v>
      </c>
      <c r="I941" s="66">
        <v>0.0948</v>
      </c>
      <c r="J941" s="86">
        <v>10.296</v>
      </c>
      <c r="K941" s="82">
        <f>AVERAGE(1.85,2.06,1.98,1.75)</f>
        <v>1.91</v>
      </c>
      <c r="L941" s="82">
        <f t="shared" si="2"/>
        <v>1.0296</v>
      </c>
      <c r="M941" s="83">
        <v>44839.0</v>
      </c>
      <c r="N941" s="84" t="s">
        <v>192</v>
      </c>
      <c r="O941" s="66">
        <v>10.296</v>
      </c>
    </row>
    <row r="942">
      <c r="A942" s="66" t="s">
        <v>183</v>
      </c>
      <c r="B942" s="66">
        <v>2050.0</v>
      </c>
      <c r="C942" s="66">
        <v>2.0</v>
      </c>
      <c r="D942" s="66">
        <v>0.0</v>
      </c>
      <c r="F942" s="66">
        <v>0.6957</v>
      </c>
      <c r="G942" s="66">
        <v>0.4075</v>
      </c>
      <c r="H942" s="66">
        <v>0.1965</v>
      </c>
      <c r="I942" s="66">
        <v>0.1269</v>
      </c>
      <c r="J942" s="86">
        <v>13.71</v>
      </c>
      <c r="K942" s="82">
        <f>AVERAGE(1.31,1.35,1.44,1.36)</f>
        <v>1.365</v>
      </c>
      <c r="L942" s="82">
        <f t="shared" si="2"/>
        <v>1.371</v>
      </c>
      <c r="M942" s="83">
        <v>44839.0</v>
      </c>
      <c r="N942" s="84" t="s">
        <v>192</v>
      </c>
      <c r="O942" s="66">
        <v>28.859</v>
      </c>
    </row>
    <row r="943">
      <c r="A943" s="66" t="s">
        <v>183</v>
      </c>
      <c r="B943" s="66">
        <v>2043.0</v>
      </c>
      <c r="C943" s="66">
        <v>3.0</v>
      </c>
      <c r="D943" s="66">
        <v>0.0</v>
      </c>
      <c r="F943" s="66">
        <v>0.6245</v>
      </c>
      <c r="G943" s="66">
        <v>0.388</v>
      </c>
      <c r="H943" s="66">
        <v>0.1374</v>
      </c>
      <c r="I943" s="66">
        <v>0.0853</v>
      </c>
      <c r="J943" s="86">
        <v>13.85</v>
      </c>
      <c r="K943" s="82">
        <f>AVERAGE(1.07,0.99,1.15,1.12)</f>
        <v>1.0825</v>
      </c>
      <c r="L943" s="82">
        <f t="shared" si="2"/>
        <v>1.385</v>
      </c>
      <c r="M943" s="83">
        <v>44839.0</v>
      </c>
      <c r="N943" s="84" t="s">
        <v>192</v>
      </c>
      <c r="O943" s="66">
        <v>21.522</v>
      </c>
    </row>
    <row r="944">
      <c r="A944" s="66" t="s">
        <v>191</v>
      </c>
      <c r="B944" s="66">
        <v>2009.0</v>
      </c>
      <c r="C944" s="66">
        <v>7.0</v>
      </c>
      <c r="D944" s="66">
        <v>0.0</v>
      </c>
      <c r="F944" s="66">
        <v>0.6541</v>
      </c>
      <c r="G944" s="66">
        <v>0.395</v>
      </c>
      <c r="H944" s="66">
        <v>0.0917</v>
      </c>
      <c r="I944" s="66">
        <v>0.0547</v>
      </c>
      <c r="J944" s="86">
        <v>16.06</v>
      </c>
      <c r="K944" s="82">
        <f>AVERAGE(1.04,1.03,0.98,0.97)</f>
        <v>1.005</v>
      </c>
      <c r="L944" s="82">
        <f t="shared" si="2"/>
        <v>1.606</v>
      </c>
      <c r="M944" s="83">
        <v>44816.0</v>
      </c>
      <c r="N944" s="87"/>
      <c r="O944" s="66">
        <v>30.664</v>
      </c>
    </row>
    <row r="945">
      <c r="A945" s="66" t="s">
        <v>57</v>
      </c>
      <c r="B945" s="66">
        <v>2345.0</v>
      </c>
      <c r="C945" s="66">
        <v>2.0</v>
      </c>
      <c r="D945" s="66">
        <v>0.0</v>
      </c>
      <c r="F945" s="66">
        <v>0.9982</v>
      </c>
      <c r="G945" s="66">
        <v>0.6239</v>
      </c>
      <c r="H945" s="66">
        <v>0.2398</v>
      </c>
      <c r="I945" s="66">
        <v>0.1473</v>
      </c>
      <c r="J945" s="86">
        <v>57.41</v>
      </c>
      <c r="K945" s="82">
        <f>AVERAGE(1.58,1.59,1.56,1.67)</f>
        <v>1.6</v>
      </c>
      <c r="L945" s="82">
        <f t="shared" si="2"/>
        <v>5.741</v>
      </c>
      <c r="M945" s="83">
        <v>44816.0</v>
      </c>
      <c r="N945" s="87"/>
      <c r="O945" s="66">
        <v>37.995</v>
      </c>
    </row>
    <row r="946">
      <c r="A946" s="66" t="s">
        <v>183</v>
      </c>
      <c r="B946" s="66">
        <v>2011.0</v>
      </c>
      <c r="C946" s="66">
        <v>7.0</v>
      </c>
      <c r="D946" s="66">
        <v>0.0</v>
      </c>
      <c r="F946" s="66">
        <v>0.3022</v>
      </c>
      <c r="G946" s="66">
        <v>0.1896</v>
      </c>
      <c r="H946" s="66">
        <v>0.1008</v>
      </c>
      <c r="I946" s="66">
        <v>0.0599</v>
      </c>
      <c r="J946" s="86">
        <v>12.17</v>
      </c>
      <c r="K946" s="82">
        <f>AVERAGE(1.17,1.14,1.07,1.09)</f>
        <v>1.1175</v>
      </c>
      <c r="L946" s="82">
        <f t="shared" si="2"/>
        <v>1.217</v>
      </c>
      <c r="M946" s="83">
        <v>44816.0</v>
      </c>
      <c r="N946" s="87"/>
      <c r="O946" s="66">
        <v>13.668</v>
      </c>
    </row>
    <row r="947">
      <c r="A947" s="66" t="s">
        <v>183</v>
      </c>
      <c r="B947" s="66">
        <v>2343.0</v>
      </c>
      <c r="C947" s="66">
        <v>3.0</v>
      </c>
      <c r="D947" s="66">
        <v>0.0</v>
      </c>
      <c r="F947" s="66">
        <v>0.4973</v>
      </c>
      <c r="G947" s="66">
        <v>0.299</v>
      </c>
      <c r="H947" s="66">
        <v>0.068</v>
      </c>
      <c r="I947" s="66">
        <v>0.036</v>
      </c>
      <c r="J947" s="86">
        <v>17.96</v>
      </c>
      <c r="K947" s="82">
        <f>AVERAGE(0.91,0.87,0.82,1.01)</f>
        <v>0.9025</v>
      </c>
      <c r="L947" s="82">
        <f t="shared" si="2"/>
        <v>1.796</v>
      </c>
      <c r="M947" s="83">
        <v>44816.0</v>
      </c>
      <c r="N947" s="87"/>
      <c r="O947" s="66">
        <v>23.314</v>
      </c>
    </row>
    <row r="948">
      <c r="A948" s="66" t="s">
        <v>183</v>
      </c>
      <c r="B948" s="66">
        <v>2343.0</v>
      </c>
      <c r="C948" s="66">
        <v>1.0</v>
      </c>
      <c r="D948" s="66">
        <v>0.0</v>
      </c>
      <c r="F948" s="66">
        <v>0.3545</v>
      </c>
      <c r="G948" s="66">
        <v>0.2033</v>
      </c>
      <c r="H948" s="66">
        <v>0.1036</v>
      </c>
      <c r="I948" s="66">
        <v>0.0597</v>
      </c>
      <c r="J948" s="86">
        <v>17.41</v>
      </c>
      <c r="K948" s="82">
        <f>AVERAGE(0.92,1.04,1.25,1.27)</f>
        <v>1.12</v>
      </c>
      <c r="L948" s="82">
        <f t="shared" si="2"/>
        <v>1.741</v>
      </c>
      <c r="M948" s="83">
        <v>44816.0</v>
      </c>
      <c r="N948" s="87"/>
      <c r="O948" s="66">
        <v>14.461</v>
      </c>
    </row>
    <row r="949">
      <c r="A949" s="66" t="s">
        <v>183</v>
      </c>
      <c r="B949" s="66">
        <v>2343.0</v>
      </c>
      <c r="C949" s="66">
        <v>2.0</v>
      </c>
      <c r="D949" s="66">
        <v>0.0</v>
      </c>
      <c r="F949" s="66">
        <v>0.5117</v>
      </c>
      <c r="G949" s="66">
        <v>0.2935</v>
      </c>
      <c r="H949" s="66">
        <v>0.0596</v>
      </c>
      <c r="I949" s="66">
        <v>0.0352</v>
      </c>
      <c r="J949" s="86">
        <v>10.48</v>
      </c>
      <c r="K949" s="82">
        <f>AVERAGE(0.94,0.9,1.01,0.9)</f>
        <v>0.9375</v>
      </c>
      <c r="L949" s="82">
        <f t="shared" si="2"/>
        <v>1.048</v>
      </c>
      <c r="M949" s="83">
        <v>44816.0</v>
      </c>
      <c r="N949" s="87"/>
      <c r="O949" s="66">
        <v>21.371</v>
      </c>
    </row>
    <row r="950">
      <c r="A950" s="66" t="s">
        <v>57</v>
      </c>
      <c r="B950" s="66">
        <v>2345.0</v>
      </c>
      <c r="C950" s="66">
        <v>1.0</v>
      </c>
      <c r="D950" s="66">
        <v>0.0</v>
      </c>
      <c r="F950" s="66">
        <v>0.1644</v>
      </c>
      <c r="G950" s="66">
        <v>0.0963</v>
      </c>
      <c r="H950" s="66">
        <v>0.0669</v>
      </c>
      <c r="I950" s="66">
        <v>0.0392</v>
      </c>
      <c r="J950" s="86">
        <v>23.92</v>
      </c>
      <c r="K950" s="82">
        <f>AVERAGE(1,0.86,0.84,0.97)</f>
        <v>0.9175</v>
      </c>
      <c r="L950" s="82">
        <f t="shared" si="2"/>
        <v>2.392</v>
      </c>
      <c r="M950" s="83">
        <v>44816.0</v>
      </c>
      <c r="N950" s="87"/>
      <c r="O950" s="66">
        <v>5.702</v>
      </c>
    </row>
    <row r="951">
      <c r="A951" s="66" t="s">
        <v>57</v>
      </c>
      <c r="B951" s="66">
        <v>2345.0</v>
      </c>
      <c r="C951" s="66">
        <v>3.0</v>
      </c>
      <c r="D951" s="66">
        <v>0.0</v>
      </c>
      <c r="F951" s="66">
        <v>0.8473</v>
      </c>
      <c r="G951" s="66">
        <v>0.5266</v>
      </c>
      <c r="H951" s="66">
        <v>0.2387</v>
      </c>
      <c r="I951" s="66">
        <v>0.1455</v>
      </c>
      <c r="J951" s="86">
        <v>53.86</v>
      </c>
      <c r="K951" s="82">
        <f>AVERAGE(1.77,1.87,1.73,1.82)</f>
        <v>1.7975</v>
      </c>
      <c r="L951" s="82">
        <f t="shared" si="2"/>
        <v>5.386</v>
      </c>
      <c r="M951" s="83">
        <v>44816.0</v>
      </c>
      <c r="N951" s="87"/>
      <c r="O951" s="66">
        <v>29.041</v>
      </c>
    </row>
    <row r="952">
      <c r="A952" s="66" t="s">
        <v>183</v>
      </c>
      <c r="B952" s="66">
        <v>2346.0</v>
      </c>
      <c r="C952" s="66">
        <v>3.0</v>
      </c>
      <c r="D952" s="66">
        <v>0.0</v>
      </c>
      <c r="F952" s="66">
        <v>0.3898</v>
      </c>
      <c r="G952" s="66">
        <v>0.2394</v>
      </c>
      <c r="H952" s="66">
        <v>0.0621</v>
      </c>
      <c r="I952" s="66">
        <v>0.0368</v>
      </c>
      <c r="J952" s="86">
        <v>16.11</v>
      </c>
      <c r="K952" s="82">
        <f>AVERAGE(0.95,1.04,0.95,0.8)</f>
        <v>0.935</v>
      </c>
      <c r="L952" s="82">
        <f t="shared" si="2"/>
        <v>1.611</v>
      </c>
      <c r="M952" s="83">
        <v>44816.0</v>
      </c>
      <c r="N952" s="87"/>
      <c r="O952" s="66">
        <v>19.517</v>
      </c>
    </row>
    <row r="953">
      <c r="A953" s="66" t="s">
        <v>183</v>
      </c>
      <c r="B953" s="66">
        <v>2346.0</v>
      </c>
      <c r="C953" s="66">
        <v>2.0</v>
      </c>
      <c r="D953" s="66">
        <v>0.0</v>
      </c>
      <c r="F953" s="66">
        <v>0.3709</v>
      </c>
      <c r="G953" s="66">
        <v>0.2184</v>
      </c>
      <c r="H953" s="66">
        <v>0.0345</v>
      </c>
      <c r="I953" s="66">
        <v>0.0187</v>
      </c>
      <c r="J953" s="86">
        <v>9.46</v>
      </c>
      <c r="K953" s="82">
        <f>AVERAGE(0.94,0.86,0.84,0.87)</f>
        <v>0.8775</v>
      </c>
      <c r="L953" s="82">
        <f t="shared" si="2"/>
        <v>0.946</v>
      </c>
      <c r="M953" s="83">
        <v>44816.0</v>
      </c>
      <c r="N953" s="87"/>
      <c r="O953" s="66">
        <v>18.072</v>
      </c>
    </row>
    <row r="954">
      <c r="A954" s="66" t="s">
        <v>183</v>
      </c>
      <c r="B954" s="66">
        <v>2346.0</v>
      </c>
      <c r="C954" s="66">
        <v>1.0</v>
      </c>
      <c r="D954" s="66">
        <v>0.0</v>
      </c>
      <c r="F954" s="66">
        <v>0.5545</v>
      </c>
      <c r="G954" s="66">
        <v>0.3307</v>
      </c>
      <c r="H954" s="66">
        <v>0.0817</v>
      </c>
      <c r="I954" s="66">
        <v>0.048</v>
      </c>
      <c r="J954" s="86">
        <v>15.03</v>
      </c>
      <c r="K954" s="82">
        <f>AVERAGE(1.15,0.93,1,1.1)</f>
        <v>1.045</v>
      </c>
      <c r="L954" s="82">
        <f t="shared" si="2"/>
        <v>1.503</v>
      </c>
      <c r="M954" s="83">
        <v>44816.0</v>
      </c>
      <c r="N954" s="87"/>
      <c r="O954" s="66">
        <v>26.284</v>
      </c>
    </row>
    <row r="955">
      <c r="A955" s="66" t="s">
        <v>183</v>
      </c>
      <c r="B955" s="66">
        <v>2347.0</v>
      </c>
      <c r="C955" s="66">
        <v>7.0</v>
      </c>
      <c r="D955" s="66">
        <v>0.0</v>
      </c>
      <c r="F955" s="66">
        <v>0.2855</v>
      </c>
      <c r="G955" s="66">
        <v>0.1691</v>
      </c>
      <c r="H955" s="66">
        <v>0.0425</v>
      </c>
      <c r="I955" s="66">
        <v>0.0188</v>
      </c>
      <c r="J955" s="86">
        <v>9.17</v>
      </c>
      <c r="K955" s="82">
        <f>AVERAGE(0.97,0.69,0.66,0.87)</f>
        <v>0.7975</v>
      </c>
      <c r="L955" s="82">
        <f t="shared" si="2"/>
        <v>0.917</v>
      </c>
      <c r="M955" s="83">
        <v>44816.0</v>
      </c>
      <c r="N955" s="87"/>
      <c r="O955" s="66">
        <v>15.486</v>
      </c>
    </row>
    <row r="956">
      <c r="A956" s="66" t="s">
        <v>57</v>
      </c>
      <c r="B956" s="66">
        <v>2352.0</v>
      </c>
      <c r="C956" s="66">
        <v>3.0</v>
      </c>
      <c r="D956" s="66">
        <v>0.0</v>
      </c>
      <c r="F956" s="66">
        <v>0.057</v>
      </c>
      <c r="G956" s="66">
        <v>0.0404</v>
      </c>
      <c r="H956" s="66">
        <v>0.0059</v>
      </c>
      <c r="I956" s="66">
        <v>0.0043</v>
      </c>
      <c r="J956" s="86">
        <v>6.28</v>
      </c>
      <c r="K956" s="82">
        <f>AVERAGE(0.64,0.43,0.56,0.48)</f>
        <v>0.5275</v>
      </c>
      <c r="L956" s="82">
        <f t="shared" si="2"/>
        <v>0.628</v>
      </c>
      <c r="M956" s="83">
        <v>44816.0</v>
      </c>
      <c r="N956" s="87"/>
      <c r="O956" s="66">
        <v>3.436</v>
      </c>
    </row>
    <row r="957">
      <c r="A957" s="66" t="s">
        <v>57</v>
      </c>
      <c r="B957" s="66">
        <v>2352.0</v>
      </c>
      <c r="C957" s="66">
        <v>2.0</v>
      </c>
      <c r="D957" s="66">
        <v>0.0</v>
      </c>
      <c r="F957" s="66">
        <v>0.2312</v>
      </c>
      <c r="G957" s="66">
        <v>0.1904</v>
      </c>
      <c r="H957" s="66">
        <v>0.0214</v>
      </c>
      <c r="I957" s="66">
        <v>0.0172</v>
      </c>
      <c r="J957" s="86">
        <v>22.95</v>
      </c>
      <c r="K957" s="82">
        <f>AVERAGE(0.75,0.76,0.65,0.69)</f>
        <v>0.7125</v>
      </c>
      <c r="L957" s="82">
        <f t="shared" si="2"/>
        <v>2.295</v>
      </c>
      <c r="M957" s="83">
        <v>44816.0</v>
      </c>
      <c r="N957" s="87"/>
      <c r="O957" s="66">
        <v>12.657</v>
      </c>
    </row>
    <row r="958">
      <c r="A958" s="66" t="s">
        <v>57</v>
      </c>
      <c r="B958" s="66">
        <v>2369.0</v>
      </c>
      <c r="C958" s="66">
        <v>7.0</v>
      </c>
      <c r="D958" s="66">
        <v>0.0</v>
      </c>
      <c r="F958" s="66">
        <v>0.3692</v>
      </c>
      <c r="G958" s="66">
        <v>0.2401</v>
      </c>
      <c r="H958" s="66">
        <v>0.0752</v>
      </c>
      <c r="I958" s="66">
        <v>0.0437</v>
      </c>
      <c r="J958" s="86">
        <v>24.57</v>
      </c>
      <c r="K958" s="82">
        <f>AVERAGE(0.87,0.92,1.05,0.88)</f>
        <v>0.93</v>
      </c>
      <c r="L958" s="82">
        <f t="shared" si="2"/>
        <v>2.457</v>
      </c>
      <c r="M958" s="83">
        <v>44816.0</v>
      </c>
      <c r="N958" s="87"/>
      <c r="O958" s="66">
        <v>18.165</v>
      </c>
    </row>
    <row r="959">
      <c r="A959" s="66" t="s">
        <v>183</v>
      </c>
      <c r="B959" s="66">
        <v>2370.0</v>
      </c>
      <c r="C959" s="66">
        <v>6.0</v>
      </c>
      <c r="D959" s="66">
        <v>0.0</v>
      </c>
      <c r="F959" s="66">
        <v>0.1368</v>
      </c>
      <c r="G959" s="66">
        <v>0.0698</v>
      </c>
      <c r="H959" s="66">
        <v>0.0157</v>
      </c>
      <c r="I959" s="66">
        <v>0.0102</v>
      </c>
      <c r="J959" s="86">
        <v>5.85</v>
      </c>
      <c r="K959" s="82">
        <f>AVERAGE(0.51,0.53,0.56,0.5)</f>
        <v>0.525</v>
      </c>
      <c r="L959" s="82">
        <f t="shared" si="2"/>
        <v>0.585</v>
      </c>
      <c r="M959" s="83">
        <v>44816.0</v>
      </c>
      <c r="N959" s="84" t="s">
        <v>193</v>
      </c>
      <c r="O959" s="66">
        <v>6.814</v>
      </c>
    </row>
    <row r="960">
      <c r="A960" s="66" t="s">
        <v>190</v>
      </c>
      <c r="B960" s="66">
        <v>2370.0</v>
      </c>
      <c r="C960" s="66">
        <v>8.0</v>
      </c>
      <c r="D960" s="66">
        <v>0.0</v>
      </c>
      <c r="F960" s="66">
        <v>0.1261</v>
      </c>
      <c r="G960" s="66">
        <v>0.0805</v>
      </c>
      <c r="H960" s="66">
        <v>0.0092</v>
      </c>
      <c r="I960" s="66">
        <v>0.057</v>
      </c>
      <c r="J960" s="86">
        <v>4.26</v>
      </c>
      <c r="K960" s="82">
        <f>AVERAGE(0.64,0.65,0.8,0.82)</f>
        <v>0.7275</v>
      </c>
      <c r="L960" s="82">
        <f t="shared" si="2"/>
        <v>0.426</v>
      </c>
      <c r="M960" s="83">
        <v>44816.0</v>
      </c>
      <c r="N960" s="87"/>
      <c r="O960" s="66">
        <v>5.651</v>
      </c>
    </row>
    <row r="961">
      <c r="A961" s="66" t="s">
        <v>183</v>
      </c>
      <c r="B961" s="66">
        <v>2370.0</v>
      </c>
      <c r="C961" s="66">
        <v>7.0</v>
      </c>
      <c r="D961" s="66">
        <v>0.0</v>
      </c>
      <c r="F961" s="66">
        <v>0.2901</v>
      </c>
      <c r="G961" s="66">
        <v>0.1852</v>
      </c>
      <c r="H961" s="66">
        <v>0.038</v>
      </c>
      <c r="I961" s="66">
        <v>0.023</v>
      </c>
      <c r="J961" s="86">
        <v>9.85</v>
      </c>
      <c r="K961" s="82">
        <f>AVERAGE(0.82,0.79,0.75,0.91)</f>
        <v>0.8175</v>
      </c>
      <c r="L961" s="82">
        <f t="shared" si="2"/>
        <v>0.985</v>
      </c>
      <c r="M961" s="83">
        <v>44816.0</v>
      </c>
      <c r="N961" s="87"/>
      <c r="O961" s="66">
        <v>11.738</v>
      </c>
    </row>
    <row r="962">
      <c r="A962" s="66" t="s">
        <v>183</v>
      </c>
      <c r="B962" s="66">
        <v>2372.0</v>
      </c>
      <c r="C962" s="66">
        <v>7.0</v>
      </c>
      <c r="D962" s="66">
        <v>0.0</v>
      </c>
      <c r="F962" s="66">
        <v>0.2911</v>
      </c>
      <c r="G962" s="66">
        <v>0.1752</v>
      </c>
      <c r="H962" s="66">
        <v>0.0456</v>
      </c>
      <c r="I962" s="66">
        <v>0.0296</v>
      </c>
      <c r="J962" s="86">
        <v>5.02</v>
      </c>
      <c r="K962" s="82">
        <f>AVERAGE(0.65,0.77,0.79,0.71)</f>
        <v>0.73</v>
      </c>
      <c r="L962" s="82">
        <f t="shared" si="2"/>
        <v>0.502</v>
      </c>
      <c r="M962" s="83">
        <v>44816.0</v>
      </c>
      <c r="N962" s="87"/>
      <c r="O962" s="66">
        <v>12.443</v>
      </c>
    </row>
    <row r="963">
      <c r="A963" s="66" t="s">
        <v>190</v>
      </c>
      <c r="B963" s="66">
        <v>2375.0</v>
      </c>
      <c r="C963" s="66">
        <v>7.0</v>
      </c>
      <c r="D963" s="66">
        <v>0.0</v>
      </c>
      <c r="F963" s="66">
        <v>0.2605</v>
      </c>
      <c r="G963" s="66">
        <v>0.1692</v>
      </c>
      <c r="H963" s="66">
        <v>0.0173</v>
      </c>
      <c r="I963" s="66">
        <v>0.0125</v>
      </c>
      <c r="J963" s="86">
        <v>4.82</v>
      </c>
      <c r="K963" s="82">
        <f>AVERAGE(0.87,0.71,0.75,0.8)</f>
        <v>0.7825</v>
      </c>
      <c r="L963" s="82">
        <f t="shared" si="2"/>
        <v>0.482</v>
      </c>
      <c r="M963" s="83">
        <v>44816.0</v>
      </c>
      <c r="N963" s="87"/>
      <c r="O963" s="66">
        <v>11.759</v>
      </c>
    </row>
    <row r="964">
      <c r="A964" s="66" t="s">
        <v>183</v>
      </c>
      <c r="B964" s="66">
        <v>2378.0</v>
      </c>
      <c r="C964" s="66">
        <v>7.0</v>
      </c>
      <c r="D964" s="66">
        <v>0.0</v>
      </c>
      <c r="F964" s="66">
        <v>1.1824</v>
      </c>
      <c r="G964" s="66">
        <v>0.72</v>
      </c>
      <c r="H964" s="66">
        <v>0.5532</v>
      </c>
      <c r="I964" s="66">
        <v>0.3491</v>
      </c>
      <c r="J964" s="86">
        <v>86.81</v>
      </c>
      <c r="K964" s="82">
        <f>AVERAGE(1.52,1.6,1.73,1.95)</f>
        <v>1.7</v>
      </c>
      <c r="L964" s="82">
        <f t="shared" si="2"/>
        <v>8.681</v>
      </c>
      <c r="M964" s="83">
        <v>44816.0</v>
      </c>
      <c r="N964" s="87"/>
      <c r="O964" s="66">
        <v>45.138</v>
      </c>
    </row>
    <row r="965">
      <c r="A965" s="66" t="s">
        <v>57</v>
      </c>
      <c r="B965" s="66">
        <v>2365.0</v>
      </c>
      <c r="C965" s="66">
        <v>7.0</v>
      </c>
      <c r="D965" s="66">
        <v>0.0</v>
      </c>
      <c r="F965" s="66">
        <v>1.1325</v>
      </c>
      <c r="G965" s="66">
        <v>0.7121</v>
      </c>
      <c r="H965" s="66">
        <v>0.0902</v>
      </c>
      <c r="I965" s="66">
        <v>0.0589</v>
      </c>
      <c r="J965" s="86">
        <v>14.87</v>
      </c>
      <c r="K965" s="82">
        <f>AVERAGE(1.74,1.51,1.5,1.4)</f>
        <v>1.5375</v>
      </c>
      <c r="L965" s="82">
        <f t="shared" si="2"/>
        <v>1.487</v>
      </c>
      <c r="M965" s="83">
        <v>44816.0</v>
      </c>
      <c r="N965" s="84" t="s">
        <v>194</v>
      </c>
      <c r="O965" s="66">
        <v>43.177</v>
      </c>
    </row>
    <row r="966">
      <c r="A966" s="66" t="s">
        <v>183</v>
      </c>
      <c r="B966" s="66">
        <v>2046.0</v>
      </c>
      <c r="C966" s="66">
        <v>1.0</v>
      </c>
      <c r="D966" s="66">
        <v>0.0</v>
      </c>
      <c r="F966" s="66">
        <v>0.4429</v>
      </c>
      <c r="G966" s="66">
        <v>0.2668</v>
      </c>
      <c r="H966" s="66">
        <v>0.0416</v>
      </c>
      <c r="I966" s="66">
        <v>0.0232</v>
      </c>
      <c r="J966" s="86">
        <v>5.1</v>
      </c>
      <c r="K966" s="82">
        <f>AVERAGE(1.48,1.32,1.23,1.25)</f>
        <v>1.32</v>
      </c>
      <c r="L966" s="82">
        <f t="shared" si="2"/>
        <v>0.51</v>
      </c>
      <c r="M966" s="83">
        <v>44839.0</v>
      </c>
      <c r="N966" s="84" t="s">
        <v>195</v>
      </c>
      <c r="O966" s="66">
        <v>15.863</v>
      </c>
    </row>
    <row r="967">
      <c r="A967" s="66" t="s">
        <v>183</v>
      </c>
      <c r="B967" s="66">
        <v>2041.0</v>
      </c>
      <c r="C967" s="66">
        <v>2.0</v>
      </c>
      <c r="D967" s="66">
        <v>0.0</v>
      </c>
      <c r="F967" s="66">
        <v>0.4536</v>
      </c>
      <c r="G967" s="66">
        <v>0.2699</v>
      </c>
      <c r="H967" s="66">
        <v>0.1361</v>
      </c>
      <c r="I967" s="66">
        <v>0.0865</v>
      </c>
      <c r="J967" s="86">
        <v>19.31</v>
      </c>
      <c r="K967" s="82">
        <f>AVERAGE(1.44,1.48,1.6,1.52)</f>
        <v>1.51</v>
      </c>
      <c r="L967" s="82">
        <f t="shared" si="2"/>
        <v>1.931</v>
      </c>
      <c r="M967" s="83">
        <v>44839.0</v>
      </c>
      <c r="N967" s="84" t="s">
        <v>195</v>
      </c>
      <c r="O967" s="66">
        <v>15.384</v>
      </c>
    </row>
    <row r="968">
      <c r="A968" s="66" t="s">
        <v>183</v>
      </c>
      <c r="B968" s="66">
        <v>2047.0</v>
      </c>
      <c r="C968" s="66">
        <v>2.0</v>
      </c>
      <c r="D968" s="66">
        <v>0.0</v>
      </c>
      <c r="F968" s="66">
        <v>0.1629</v>
      </c>
      <c r="G968" s="66">
        <v>0.0973</v>
      </c>
      <c r="H968" s="66">
        <v>0.0452</v>
      </c>
      <c r="I968" s="66">
        <v>0.0284</v>
      </c>
      <c r="J968" s="86">
        <v>10.58</v>
      </c>
      <c r="K968" s="82">
        <f>AVERAGE(0.84,0.96,0.82,0.83)</f>
        <v>0.8625</v>
      </c>
      <c r="L968" s="82">
        <f t="shared" si="2"/>
        <v>1.058</v>
      </c>
      <c r="M968" s="83">
        <v>44839.0</v>
      </c>
      <c r="N968" s="84" t="s">
        <v>195</v>
      </c>
      <c r="O968" s="66">
        <v>6.227</v>
      </c>
    </row>
    <row r="969">
      <c r="A969" s="66" t="s">
        <v>183</v>
      </c>
      <c r="B969" s="66">
        <v>2044.0</v>
      </c>
      <c r="C969" s="66">
        <v>2.0</v>
      </c>
      <c r="D969" s="66">
        <v>0.0</v>
      </c>
      <c r="F969" s="66">
        <v>0.2926</v>
      </c>
      <c r="G969" s="66">
        <v>0.1864</v>
      </c>
      <c r="H969" s="66">
        <v>0.1651</v>
      </c>
      <c r="I969" s="66">
        <v>0.1027</v>
      </c>
      <c r="J969" s="86">
        <v>17.59</v>
      </c>
      <c r="K969" s="82">
        <f>AVERAGE(1.18,1.18,1.18,1.19)</f>
        <v>1.1825</v>
      </c>
      <c r="L969" s="82">
        <f t="shared" si="2"/>
        <v>1.759</v>
      </c>
      <c r="M969" s="83">
        <v>44839.0</v>
      </c>
      <c r="N969" s="84" t="s">
        <v>195</v>
      </c>
      <c r="O969" s="66">
        <v>9.846</v>
      </c>
    </row>
    <row r="970">
      <c r="A970" s="66" t="s">
        <v>183</v>
      </c>
      <c r="B970" s="66">
        <v>2040.0</v>
      </c>
      <c r="C970" s="66">
        <v>1.0</v>
      </c>
      <c r="D970" s="66">
        <v>0.0</v>
      </c>
      <c r="F970" s="66">
        <v>0.0907</v>
      </c>
      <c r="G970" s="66">
        <v>0.0557</v>
      </c>
      <c r="H970" s="66">
        <v>0.0294</v>
      </c>
      <c r="I970" s="66">
        <v>0.021</v>
      </c>
      <c r="J970" s="86">
        <v>9.33</v>
      </c>
      <c r="K970" s="82">
        <f>AVERAGE(0.76,0.7,0.85,0.79)</f>
        <v>0.775</v>
      </c>
      <c r="L970" s="82">
        <f t="shared" si="2"/>
        <v>0.933</v>
      </c>
      <c r="M970" s="83">
        <v>44839.0</v>
      </c>
      <c r="N970" s="84" t="s">
        <v>195</v>
      </c>
      <c r="O970" s="66">
        <v>3.768</v>
      </c>
    </row>
    <row r="971">
      <c r="A971" s="66" t="s">
        <v>183</v>
      </c>
      <c r="B971" s="66">
        <v>2049.0</v>
      </c>
      <c r="C971" s="66">
        <v>1.0</v>
      </c>
      <c r="D971" s="66">
        <v>0.0</v>
      </c>
      <c r="F971" s="66">
        <v>0.6729</v>
      </c>
      <c r="G971" s="66">
        <v>0.4254</v>
      </c>
      <c r="H971" s="66">
        <v>0.0865</v>
      </c>
      <c r="I971" s="66">
        <v>0.0546</v>
      </c>
      <c r="J971" s="86">
        <v>10.33</v>
      </c>
      <c r="K971" s="82">
        <f>AVERAGE(1.2,1.12,1.12,1.19)</f>
        <v>1.1575</v>
      </c>
      <c r="L971" s="82">
        <f t="shared" si="2"/>
        <v>1.033</v>
      </c>
      <c r="M971" s="83">
        <v>44839.0</v>
      </c>
      <c r="N971" s="84" t="s">
        <v>195</v>
      </c>
      <c r="O971" s="66">
        <v>28.675</v>
      </c>
    </row>
    <row r="972">
      <c r="A972" s="66" t="s">
        <v>183</v>
      </c>
      <c r="B972" s="66">
        <v>2051.0</v>
      </c>
      <c r="C972" s="66">
        <v>1.0</v>
      </c>
      <c r="D972" s="66">
        <v>0.0</v>
      </c>
      <c r="F972" s="66">
        <v>0.5515</v>
      </c>
      <c r="G972" s="66">
        <v>0.3266</v>
      </c>
      <c r="H972" s="66">
        <v>0.2904</v>
      </c>
      <c r="I972" s="66">
        <v>0.1908</v>
      </c>
      <c r="J972" s="86">
        <v>17.06</v>
      </c>
      <c r="K972" s="82">
        <f>AVERAGE(2.16,2.04,2.03,2.06)</f>
        <v>2.0725</v>
      </c>
      <c r="L972" s="82">
        <f t="shared" si="2"/>
        <v>1.706</v>
      </c>
      <c r="M972" s="83">
        <v>44839.0</v>
      </c>
      <c r="N972" s="84" t="s">
        <v>195</v>
      </c>
      <c r="O972" s="66">
        <v>17.163</v>
      </c>
    </row>
    <row r="973">
      <c r="A973" s="66" t="s">
        <v>183</v>
      </c>
      <c r="B973" s="66">
        <v>2050.0</v>
      </c>
      <c r="C973" s="66">
        <v>1.0</v>
      </c>
      <c r="D973" s="66">
        <v>0.0</v>
      </c>
      <c r="F973" s="66">
        <v>0.496</v>
      </c>
      <c r="G973" s="66">
        <v>0.2923</v>
      </c>
      <c r="H973" s="66">
        <v>0.1032</v>
      </c>
      <c r="I973" s="66">
        <v>0.0719</v>
      </c>
      <c r="J973" s="86">
        <v>10.59</v>
      </c>
      <c r="K973" s="82">
        <f>AVERAGE(1.7,1.36,1.77,1.2)</f>
        <v>1.5075</v>
      </c>
      <c r="L973" s="82">
        <f t="shared" si="2"/>
        <v>1.059</v>
      </c>
      <c r="M973" s="83">
        <v>44839.0</v>
      </c>
      <c r="N973" s="84" t="s">
        <v>195</v>
      </c>
      <c r="O973" s="66">
        <v>19.157</v>
      </c>
    </row>
    <row r="974">
      <c r="A974" s="66" t="s">
        <v>183</v>
      </c>
      <c r="B974" s="66">
        <v>2047.0</v>
      </c>
      <c r="C974" s="66">
        <v>1.0</v>
      </c>
      <c r="D974" s="66">
        <v>0.0</v>
      </c>
      <c r="F974" s="66">
        <v>0.4109</v>
      </c>
      <c r="G974" s="66">
        <v>0.2577</v>
      </c>
      <c r="H974" s="66">
        <v>0.0919</v>
      </c>
      <c r="I974" s="66">
        <v>0.0562</v>
      </c>
      <c r="J974" s="86">
        <v>13.75</v>
      </c>
      <c r="K974" s="82">
        <f>AVERAGE(1.4,1.36,1.37,1.24)</f>
        <v>1.3425</v>
      </c>
      <c r="L974" s="82">
        <f t="shared" si="2"/>
        <v>1.375</v>
      </c>
      <c r="M974" s="83">
        <v>44839.0</v>
      </c>
      <c r="N974" s="84" t="s">
        <v>195</v>
      </c>
      <c r="O974" s="66">
        <v>15.804</v>
      </c>
    </row>
    <row r="975">
      <c r="A975" s="66" t="s">
        <v>183</v>
      </c>
      <c r="B975" s="66">
        <v>2052.0</v>
      </c>
      <c r="C975" s="66">
        <v>1.0</v>
      </c>
      <c r="D975" s="66">
        <v>0.0</v>
      </c>
      <c r="F975" s="66">
        <v>0.3716</v>
      </c>
      <c r="G975" s="66">
        <v>0.2533</v>
      </c>
      <c r="H975" s="66">
        <v>0.0431</v>
      </c>
      <c r="I975" s="66">
        <v>0.0293</v>
      </c>
      <c r="J975" s="86">
        <v>5.82</v>
      </c>
      <c r="K975" s="82">
        <f>AVERAGE(1,1.09,1.34,0.99)</f>
        <v>1.105</v>
      </c>
      <c r="L975" s="82">
        <f t="shared" si="2"/>
        <v>0.582</v>
      </c>
      <c r="M975" s="83">
        <v>44839.0</v>
      </c>
      <c r="N975" s="84" t="s">
        <v>195</v>
      </c>
      <c r="O975" s="66">
        <v>18.15</v>
      </c>
    </row>
    <row r="976">
      <c r="A976" s="66" t="s">
        <v>183</v>
      </c>
      <c r="B976" s="66">
        <v>2048.0</v>
      </c>
      <c r="C976" s="66">
        <v>3.0</v>
      </c>
      <c r="D976" s="66">
        <v>0.0</v>
      </c>
      <c r="F976" s="66">
        <v>0.2918</v>
      </c>
      <c r="G976" s="66">
        <v>0.1642</v>
      </c>
      <c r="H976" s="66">
        <v>0.1501</v>
      </c>
      <c r="I976" s="66">
        <v>0.0957</v>
      </c>
      <c r="J976" s="86">
        <v>22.16</v>
      </c>
      <c r="K976" s="82">
        <f>AVERAGE(1.41,1.53,1.5,1.46)</f>
        <v>1.475</v>
      </c>
      <c r="L976" s="82">
        <f t="shared" si="2"/>
        <v>2.216</v>
      </c>
      <c r="M976" s="83">
        <v>44839.0</v>
      </c>
      <c r="N976" s="84" t="s">
        <v>195</v>
      </c>
      <c r="O976" s="66">
        <v>10.301</v>
      </c>
    </row>
    <row r="977">
      <c r="A977" s="88" t="s">
        <v>57</v>
      </c>
      <c r="B977" s="89">
        <v>2092.0</v>
      </c>
      <c r="C977" s="89">
        <v>1.0</v>
      </c>
      <c r="D977" s="89">
        <v>1.0</v>
      </c>
      <c r="E977" s="88" t="s">
        <v>186</v>
      </c>
      <c r="F977" s="89">
        <v>1.5306</v>
      </c>
      <c r="G977" s="89">
        <v>0.9323</v>
      </c>
      <c r="H977" s="89">
        <v>0.567</v>
      </c>
      <c r="I977" s="89">
        <v>0.302</v>
      </c>
      <c r="J977" s="89">
        <v>55.74</v>
      </c>
      <c r="K977" s="89">
        <f>AVERAGE(2.7,2.81,2.67,2.75)</f>
        <v>2.7325</v>
      </c>
      <c r="L977" s="90"/>
      <c r="M977" s="90">
        <v>44816.0</v>
      </c>
      <c r="N977" s="91"/>
      <c r="O977" s="92">
        <v>41.218</v>
      </c>
    </row>
    <row r="978">
      <c r="A978" s="88" t="s">
        <v>57</v>
      </c>
      <c r="B978" s="89">
        <v>2092.0</v>
      </c>
      <c r="C978" s="89">
        <v>1.0</v>
      </c>
      <c r="D978" s="89">
        <v>1.0</v>
      </c>
      <c r="E978" s="88" t="s">
        <v>185</v>
      </c>
      <c r="F978" s="89">
        <v>2.2477</v>
      </c>
      <c r="G978" s="89">
        <v>1.356</v>
      </c>
      <c r="H978" s="89">
        <v>0.2692</v>
      </c>
      <c r="I978" s="89">
        <v>0.1516</v>
      </c>
      <c r="J978" s="89">
        <v>58.45</v>
      </c>
      <c r="K978" s="89">
        <f>AVERAGE(2.27,2.46,2.53,2.36)</f>
        <v>2.405</v>
      </c>
      <c r="L978" s="90"/>
      <c r="M978" s="90">
        <v>44816.0</v>
      </c>
      <c r="N978" s="91"/>
      <c r="O978" s="92">
        <v>61.783</v>
      </c>
    </row>
    <row r="979">
      <c r="A979" s="88" t="s">
        <v>183</v>
      </c>
      <c r="B979" s="89">
        <v>2026.0</v>
      </c>
      <c r="C979" s="89">
        <v>2.0</v>
      </c>
      <c r="D979" s="89">
        <v>0.0</v>
      </c>
      <c r="E979" s="88"/>
      <c r="F979" s="89">
        <v>0.4211</v>
      </c>
      <c r="G979" s="89">
        <v>0.2529</v>
      </c>
      <c r="H979" s="89">
        <v>0.0995</v>
      </c>
      <c r="I979" s="89">
        <v>0.0658</v>
      </c>
      <c r="J979" s="89">
        <v>29.85</v>
      </c>
      <c r="K979" s="89">
        <f>AVERAGE(1.53,1.45,1.36,1.64)</f>
        <v>1.495</v>
      </c>
      <c r="L979" s="90"/>
      <c r="M979" s="90">
        <v>44816.0</v>
      </c>
      <c r="N979" s="91"/>
      <c r="O979" s="92">
        <v>15.829</v>
      </c>
    </row>
    <row r="980">
      <c r="A980" s="88" t="s">
        <v>183</v>
      </c>
      <c r="B980" s="89">
        <v>2025.0</v>
      </c>
      <c r="C980" s="89">
        <v>1.0</v>
      </c>
      <c r="D980" s="89">
        <v>0.0</v>
      </c>
      <c r="E980" s="88"/>
      <c r="F980" s="89">
        <v>0.4304</v>
      </c>
      <c r="G980" s="89">
        <v>0.2553</v>
      </c>
      <c r="H980" s="89">
        <v>0.0757</v>
      </c>
      <c r="I980" s="89">
        <v>0.0503</v>
      </c>
      <c r="J980" s="89">
        <v>25.71</v>
      </c>
      <c r="K980" s="89">
        <f>AVERAGE(1.2,1.31,1.15,1.27)</f>
        <v>1.2325</v>
      </c>
      <c r="L980" s="90"/>
      <c r="M980" s="90">
        <v>44816.0</v>
      </c>
      <c r="N980" s="91"/>
      <c r="O980" s="92">
        <v>16.851</v>
      </c>
    </row>
    <row r="981">
      <c r="A981" s="88" t="s">
        <v>57</v>
      </c>
      <c r="B981" s="89">
        <v>2030.0</v>
      </c>
      <c r="C981" s="89">
        <v>1.0</v>
      </c>
      <c r="D981" s="89">
        <v>0.0</v>
      </c>
      <c r="E981" s="88" t="s">
        <v>185</v>
      </c>
      <c r="F981" s="89">
        <v>0.7013</v>
      </c>
      <c r="G981" s="89">
        <v>0.4028</v>
      </c>
      <c r="H981" s="89">
        <v>0.0217</v>
      </c>
      <c r="I981" s="89">
        <v>0.0175</v>
      </c>
      <c r="J981" s="89">
        <v>18.74</v>
      </c>
      <c r="K981" s="89">
        <f>AVERAGE(0.76,0.86,0.89,0.75)</f>
        <v>0.815</v>
      </c>
      <c r="L981" s="90"/>
      <c r="M981" s="90">
        <v>44816.0</v>
      </c>
      <c r="N981" s="93"/>
      <c r="O981" s="92">
        <v>29.437</v>
      </c>
    </row>
    <row r="982">
      <c r="A982" s="88" t="s">
        <v>57</v>
      </c>
      <c r="B982" s="89">
        <v>2375.0</v>
      </c>
      <c r="C982" s="89">
        <v>1.0</v>
      </c>
      <c r="D982" s="89">
        <v>0.0</v>
      </c>
      <c r="E982" s="88"/>
      <c r="F982" s="89">
        <v>0.3942</v>
      </c>
      <c r="G982" s="89">
        <v>0.2355</v>
      </c>
      <c r="H982" s="89">
        <v>0.0805</v>
      </c>
      <c r="I982" s="89">
        <v>0.0515</v>
      </c>
      <c r="J982" s="89">
        <v>16.03</v>
      </c>
      <c r="K982" s="89">
        <f>AVERAGE(1.13,1.33,1.06,1.07)</f>
        <v>1.1475</v>
      </c>
      <c r="L982" s="90"/>
      <c r="M982" s="90">
        <v>44816.0</v>
      </c>
      <c r="N982" s="93"/>
      <c r="O982" s="92">
        <v>14.897</v>
      </c>
    </row>
    <row r="983">
      <c r="A983" s="88" t="s">
        <v>57</v>
      </c>
      <c r="B983" s="89">
        <v>2030.0</v>
      </c>
      <c r="C983" s="89">
        <v>1.0</v>
      </c>
      <c r="D983" s="89">
        <v>1.0</v>
      </c>
      <c r="E983" s="88" t="s">
        <v>184</v>
      </c>
      <c r="F983" s="89">
        <v>0.842</v>
      </c>
      <c r="G983" s="89">
        <v>0.4943</v>
      </c>
      <c r="H983" s="89">
        <v>0.0497</v>
      </c>
      <c r="I983" s="89">
        <v>0.0335</v>
      </c>
      <c r="J983" s="89">
        <v>25.85</v>
      </c>
      <c r="K983" s="89">
        <f>AVERAGE(1.18,1.06,1.16,1)</f>
        <v>1.1</v>
      </c>
      <c r="L983" s="90"/>
      <c r="M983" s="90">
        <v>44816.0</v>
      </c>
      <c r="N983" s="93"/>
      <c r="O983" s="92">
        <v>31.509</v>
      </c>
    </row>
    <row r="984">
      <c r="A984" s="88" t="s">
        <v>183</v>
      </c>
      <c r="B984" s="89">
        <v>2004.0</v>
      </c>
      <c r="C984" s="89">
        <v>3.0</v>
      </c>
      <c r="D984" s="89">
        <v>0.0</v>
      </c>
      <c r="E984" s="88"/>
      <c r="F984" s="89">
        <v>0.6527</v>
      </c>
      <c r="G984" s="89">
        <v>0.3996</v>
      </c>
      <c r="H984" s="89">
        <v>0.2387</v>
      </c>
      <c r="I984" s="89">
        <v>0.1393</v>
      </c>
      <c r="J984" s="89">
        <v>32.69</v>
      </c>
      <c r="K984" s="89">
        <f>AVERAGE(1.43,1.51,1.38,1.55)</f>
        <v>1.4675</v>
      </c>
      <c r="L984" s="90"/>
      <c r="M984" s="90">
        <v>44816.0</v>
      </c>
      <c r="N984" s="93"/>
      <c r="O984" s="92">
        <v>23.236</v>
      </c>
    </row>
    <row r="985">
      <c r="A985" s="88" t="s">
        <v>57</v>
      </c>
      <c r="B985" s="89">
        <v>2004.0</v>
      </c>
      <c r="C985" s="89">
        <v>1.0</v>
      </c>
      <c r="D985" s="89">
        <v>0.0</v>
      </c>
      <c r="E985" s="88"/>
      <c r="F985" s="89">
        <v>0.3782</v>
      </c>
      <c r="G985" s="89">
        <v>0.2387</v>
      </c>
      <c r="H985" s="89">
        <v>0.223</v>
      </c>
      <c r="I985" s="89">
        <v>0.1304</v>
      </c>
      <c r="J985" s="89">
        <v>30.39</v>
      </c>
      <c r="K985" s="89">
        <f>AVERAGE(1.42,1.3,1.4,1.53)</f>
        <v>1.4125</v>
      </c>
      <c r="L985" s="90"/>
      <c r="M985" s="90">
        <v>44816.0</v>
      </c>
      <c r="N985" s="93"/>
      <c r="O985" s="92">
        <v>13.311</v>
      </c>
    </row>
    <row r="986">
      <c r="A986" s="88" t="s">
        <v>183</v>
      </c>
      <c r="B986" s="89">
        <v>2028.0</v>
      </c>
      <c r="C986" s="89">
        <v>4.0</v>
      </c>
      <c r="D986" s="89">
        <v>0.0</v>
      </c>
      <c r="E986" s="88"/>
      <c r="F986" s="89">
        <v>0.631</v>
      </c>
      <c r="G986" s="89">
        <v>0.3825</v>
      </c>
      <c r="H986" s="89">
        <v>0.1938</v>
      </c>
      <c r="I986" s="89">
        <v>0.1197</v>
      </c>
      <c r="J986" s="89">
        <v>37.03</v>
      </c>
      <c r="K986" s="89">
        <f>AVERAGE(1.69,1.67,1.5,1.52)</f>
        <v>1.595</v>
      </c>
      <c r="L986" s="90"/>
      <c r="M986" s="90">
        <v>44816.0</v>
      </c>
      <c r="N986" s="93"/>
      <c r="O986" s="92">
        <v>23.729</v>
      </c>
    </row>
    <row r="987">
      <c r="A987" s="88" t="s">
        <v>183</v>
      </c>
      <c r="B987" s="89">
        <v>2004.0</v>
      </c>
      <c r="C987" s="89">
        <v>2.0</v>
      </c>
      <c r="D987" s="89">
        <v>0.0</v>
      </c>
      <c r="E987" s="88"/>
      <c r="F987" s="89">
        <v>0.6183</v>
      </c>
      <c r="G987" s="89">
        <v>0.4173</v>
      </c>
      <c r="H987" s="89">
        <v>0.28</v>
      </c>
      <c r="I987" s="89">
        <v>0.1652</v>
      </c>
      <c r="J987" s="89">
        <v>34.52</v>
      </c>
      <c r="K987" s="89">
        <f>AVERAGE(1.6,1.35,1.45,1.59)</f>
        <v>1.4975</v>
      </c>
      <c r="L987" s="90"/>
      <c r="M987" s="90">
        <v>44816.0</v>
      </c>
      <c r="N987" s="93"/>
      <c r="O987" s="92">
        <v>23.251</v>
      </c>
    </row>
    <row r="988">
      <c r="A988" s="88" t="s">
        <v>183</v>
      </c>
      <c r="B988" s="89">
        <v>2026.0</v>
      </c>
      <c r="C988" s="89">
        <v>3.0</v>
      </c>
      <c r="D988" s="89">
        <v>0.0</v>
      </c>
      <c r="E988" s="88"/>
      <c r="F988" s="89">
        <v>0.1739</v>
      </c>
      <c r="G988" s="89">
        <v>0.1046</v>
      </c>
      <c r="H988" s="89">
        <v>0.0514</v>
      </c>
      <c r="I988" s="89">
        <v>0.0342</v>
      </c>
      <c r="J988" s="89">
        <v>14.79</v>
      </c>
      <c r="K988" s="89">
        <f>AVERAGE(0.95,1.03,0.96,0.98)</f>
        <v>0.98</v>
      </c>
      <c r="L988" s="90"/>
      <c r="M988" s="90">
        <v>44816.0</v>
      </c>
      <c r="N988" s="93"/>
      <c r="O988" s="92">
        <v>6.778</v>
      </c>
    </row>
    <row r="989">
      <c r="A989" s="88" t="s">
        <v>183</v>
      </c>
      <c r="B989" s="89">
        <v>2028.0</v>
      </c>
      <c r="C989" s="89">
        <v>2.0</v>
      </c>
      <c r="D989" s="89">
        <v>0.0</v>
      </c>
      <c r="E989" s="88"/>
      <c r="F989" s="89">
        <v>0.3957</v>
      </c>
      <c r="G989" s="89">
        <v>0.2442</v>
      </c>
      <c r="H989" s="89">
        <v>0.0556</v>
      </c>
      <c r="I989" s="89">
        <v>0.0389</v>
      </c>
      <c r="J989" s="89">
        <v>15.78</v>
      </c>
      <c r="K989" s="89">
        <f>AVERAGE(1.21,1.22,1.27,1.28)</f>
        <v>1.245</v>
      </c>
      <c r="L989" s="90"/>
      <c r="M989" s="90">
        <v>44816.0</v>
      </c>
      <c r="N989" s="93"/>
      <c r="O989" s="92">
        <v>17.167</v>
      </c>
    </row>
    <row r="990">
      <c r="A990" s="88" t="s">
        <v>183</v>
      </c>
      <c r="B990" s="89">
        <v>2028.0</v>
      </c>
      <c r="C990" s="89">
        <v>3.0</v>
      </c>
      <c r="D990" s="89">
        <v>0.0</v>
      </c>
      <c r="E990" s="88"/>
      <c r="F990" s="89">
        <v>0.2179</v>
      </c>
      <c r="G990" s="89">
        <v>0.1343</v>
      </c>
      <c r="H990" s="89">
        <v>0.0265</v>
      </c>
      <c r="I990" s="89">
        <v>0.0179</v>
      </c>
      <c r="J990" s="89">
        <v>8.79</v>
      </c>
      <c r="K990" s="89">
        <f>AVERAGE(1.37,1.39,1.5,1.81)</f>
        <v>1.5175</v>
      </c>
      <c r="L990" s="90"/>
      <c r="M990" s="90">
        <v>44816.0</v>
      </c>
      <c r="N990" s="93"/>
      <c r="O990" s="92">
        <v>9.318</v>
      </c>
    </row>
    <row r="991">
      <c r="A991" s="88" t="s">
        <v>183</v>
      </c>
      <c r="B991" s="89">
        <v>2028.0</v>
      </c>
      <c r="C991" s="89">
        <v>1.0</v>
      </c>
      <c r="D991" s="89">
        <v>0.0</v>
      </c>
      <c r="E991" s="88"/>
      <c r="F991" s="89">
        <v>0.8887</v>
      </c>
      <c r="G991" s="89">
        <v>0.5626</v>
      </c>
      <c r="H991" s="89">
        <v>0.1847</v>
      </c>
      <c r="I991" s="89">
        <v>0.1277</v>
      </c>
      <c r="J991" s="89">
        <v>8.23</v>
      </c>
      <c r="K991" s="89">
        <f>AVERAGE(1.27,1.21,1.76,1.38)</f>
        <v>1.405</v>
      </c>
      <c r="L991" s="90"/>
      <c r="M991" s="90">
        <v>44816.0</v>
      </c>
      <c r="N991" s="93"/>
      <c r="O991" s="92">
        <v>37.344</v>
      </c>
    </row>
    <row r="992">
      <c r="A992" s="88" t="s">
        <v>183</v>
      </c>
      <c r="B992" s="89">
        <v>2006.0</v>
      </c>
      <c r="C992" s="89">
        <v>1.0</v>
      </c>
      <c r="D992" s="89">
        <v>0.0</v>
      </c>
      <c r="E992" s="88"/>
      <c r="F992" s="89">
        <v>0.35</v>
      </c>
      <c r="G992" s="89">
        <v>0.2065</v>
      </c>
      <c r="H992" s="89">
        <v>0.0997</v>
      </c>
      <c r="I992" s="89">
        <v>0.0596</v>
      </c>
      <c r="J992" s="89">
        <v>20.85</v>
      </c>
      <c r="K992" s="89">
        <f>AVERAGE(1.16,1.18,1.2,1.13)</f>
        <v>1.1675</v>
      </c>
      <c r="L992" s="90"/>
      <c r="M992" s="90">
        <v>44816.0</v>
      </c>
      <c r="N992" s="93"/>
      <c r="O992" s="92">
        <v>13.628</v>
      </c>
    </row>
    <row r="993">
      <c r="A993" s="88" t="s">
        <v>57</v>
      </c>
      <c r="B993" s="89">
        <v>2029.0</v>
      </c>
      <c r="C993" s="89">
        <v>1.0</v>
      </c>
      <c r="D993" s="89">
        <v>0.0</v>
      </c>
      <c r="E993" s="88"/>
      <c r="F993" s="89">
        <v>3.0915</v>
      </c>
      <c r="G993" s="89">
        <v>1.8582</v>
      </c>
      <c r="H993" s="89">
        <v>0.1159</v>
      </c>
      <c r="I993" s="89">
        <v>0.0633</v>
      </c>
      <c r="J993" s="89">
        <v>25.74</v>
      </c>
      <c r="K993" s="89">
        <f>AVERAGE(1.48,1.47,1.47,1.56)</f>
        <v>1.495</v>
      </c>
      <c r="L993" s="90"/>
      <c r="M993" s="90">
        <v>44816.0</v>
      </c>
      <c r="N993" s="93"/>
      <c r="O993" s="92">
        <v>92.15</v>
      </c>
    </row>
    <row r="994">
      <c r="A994" s="88" t="s">
        <v>57</v>
      </c>
      <c r="B994" s="89">
        <v>2029.0</v>
      </c>
      <c r="C994" s="89">
        <v>2.0</v>
      </c>
      <c r="D994" s="89">
        <v>0.0</v>
      </c>
      <c r="E994" s="88" t="s">
        <v>185</v>
      </c>
      <c r="F994" s="89">
        <v>1.7751</v>
      </c>
      <c r="G994" s="89">
        <v>1.0558</v>
      </c>
      <c r="H994" s="89">
        <v>0.105</v>
      </c>
      <c r="I994" s="89">
        <v>0.0637</v>
      </c>
      <c r="J994" s="89">
        <v>47.57</v>
      </c>
      <c r="K994" s="89">
        <f>AVERAGE(1.05,1.03,1.29,1)</f>
        <v>1.0925</v>
      </c>
      <c r="L994" s="90"/>
      <c r="M994" s="90">
        <v>44816.0</v>
      </c>
      <c r="N994" s="93"/>
      <c r="O994" s="92">
        <v>60.604</v>
      </c>
    </row>
    <row r="995">
      <c r="A995" s="88" t="s">
        <v>57</v>
      </c>
      <c r="B995" s="89">
        <v>2082.0</v>
      </c>
      <c r="C995" s="89">
        <v>1.0</v>
      </c>
      <c r="D995" s="89">
        <v>0.0</v>
      </c>
      <c r="E995" s="88"/>
      <c r="F995" s="89">
        <v>0.4753</v>
      </c>
      <c r="G995" s="89">
        <v>0.2922</v>
      </c>
      <c r="H995" s="89">
        <v>0.0693</v>
      </c>
      <c r="I995" s="89">
        <v>0.0381</v>
      </c>
      <c r="J995" s="89">
        <v>26.85</v>
      </c>
      <c r="K995" s="89">
        <f>AVERAGE(1.36,1.26,1.31,1.3)</f>
        <v>1.3075</v>
      </c>
      <c r="L995" s="90"/>
      <c r="M995" s="90">
        <v>44816.0</v>
      </c>
      <c r="N995" s="93"/>
      <c r="O995" s="92">
        <v>14.869</v>
      </c>
    </row>
    <row r="996">
      <c r="A996" s="88" t="s">
        <v>57</v>
      </c>
      <c r="B996" s="89">
        <v>2091.0</v>
      </c>
      <c r="C996" s="89">
        <v>2.0</v>
      </c>
      <c r="D996" s="89">
        <v>1.0</v>
      </c>
      <c r="E996" s="88"/>
      <c r="F996" s="89">
        <v>0.7151</v>
      </c>
      <c r="G996" s="89">
        <v>0.4357</v>
      </c>
      <c r="H996" s="89">
        <v>0.7985</v>
      </c>
      <c r="I996" s="89">
        <v>0.4624</v>
      </c>
      <c r="J996" s="89">
        <v>39.65</v>
      </c>
      <c r="K996" s="89">
        <f>AVERAGE(4.04,4.04,3.96,3.07)</f>
        <v>3.7775</v>
      </c>
      <c r="L996" s="90"/>
      <c r="M996" s="90">
        <v>44816.0</v>
      </c>
      <c r="N996" s="93"/>
      <c r="O996" s="92">
        <v>19.349</v>
      </c>
    </row>
    <row r="997">
      <c r="A997" s="88" t="s">
        <v>57</v>
      </c>
      <c r="B997" s="89">
        <v>2091.0</v>
      </c>
      <c r="C997" s="89">
        <v>2.0</v>
      </c>
      <c r="D997" s="89">
        <v>0.0</v>
      </c>
      <c r="E997" s="88"/>
      <c r="F997" s="89">
        <v>4.1303</v>
      </c>
      <c r="G997" s="89">
        <v>2.3783</v>
      </c>
      <c r="H997" s="89">
        <v>1.8037</v>
      </c>
      <c r="I997" s="89">
        <v>0.9884</v>
      </c>
      <c r="J997" s="89">
        <v>130.3</v>
      </c>
      <c r="K997" s="89">
        <f>AVERAGE(4.15,4.11,4.25,3.97)</f>
        <v>4.12</v>
      </c>
      <c r="L997" s="90"/>
      <c r="M997" s="90">
        <v>44816.0</v>
      </c>
      <c r="N997" s="93"/>
      <c r="O997" s="92">
        <v>107.117</v>
      </c>
    </row>
    <row r="998">
      <c r="A998" s="88" t="s">
        <v>183</v>
      </c>
      <c r="B998" s="89">
        <v>2007.0</v>
      </c>
      <c r="C998" s="89">
        <v>3.0</v>
      </c>
      <c r="D998" s="89">
        <v>0.0</v>
      </c>
      <c r="E998" s="88"/>
      <c r="F998" s="89">
        <v>0.2632</v>
      </c>
      <c r="G998" s="89">
        <v>2.3273</v>
      </c>
      <c r="H998" s="89">
        <v>0.127</v>
      </c>
      <c r="I998" s="89">
        <v>0.0685</v>
      </c>
      <c r="J998" s="89">
        <v>29.84</v>
      </c>
      <c r="K998" s="89">
        <f>AVERAGE(1.27,1.09,1,1.02)</f>
        <v>1.095</v>
      </c>
      <c r="L998" s="90"/>
      <c r="M998" s="90">
        <v>44816.0</v>
      </c>
      <c r="N998" s="93"/>
      <c r="O998" s="92">
        <v>9.234</v>
      </c>
    </row>
    <row r="999">
      <c r="A999" s="88" t="s">
        <v>183</v>
      </c>
      <c r="B999" s="89">
        <v>2007.0</v>
      </c>
      <c r="C999" s="89">
        <v>2.0</v>
      </c>
      <c r="D999" s="89">
        <v>0.0</v>
      </c>
      <c r="E999" s="88"/>
      <c r="F999" s="89">
        <v>0.3904</v>
      </c>
      <c r="G999" s="89">
        <v>0.2251</v>
      </c>
      <c r="H999" s="89">
        <v>0.0675</v>
      </c>
      <c r="I999" s="89">
        <v>0.038</v>
      </c>
      <c r="J999" s="89">
        <v>21.85</v>
      </c>
      <c r="K999" s="89">
        <f>AVERAGE(0.76,0.73,0.9,0.72)</f>
        <v>0.7775</v>
      </c>
      <c r="L999" s="90"/>
      <c r="M999" s="90">
        <v>44816.0</v>
      </c>
      <c r="N999" s="93"/>
      <c r="O999" s="92">
        <v>15.278</v>
      </c>
    </row>
    <row r="1000">
      <c r="A1000" s="88" t="s">
        <v>183</v>
      </c>
      <c r="B1000" s="89">
        <v>2007.0</v>
      </c>
      <c r="C1000" s="89">
        <v>1.0</v>
      </c>
      <c r="D1000" s="89">
        <v>0.0</v>
      </c>
      <c r="E1000" s="88"/>
      <c r="F1000" s="89">
        <v>0.1678</v>
      </c>
      <c r="G1000" s="89">
        <v>0.0989</v>
      </c>
      <c r="H1000" s="89">
        <v>0.0929</v>
      </c>
      <c r="I1000" s="89">
        <v>0.0507</v>
      </c>
      <c r="J1000" s="89">
        <v>21.06</v>
      </c>
      <c r="K1000" s="89">
        <f>AVERAGE(1,1.02,0.88,1.02)</f>
        <v>0.98</v>
      </c>
      <c r="L1000" s="90"/>
      <c r="M1000" s="90">
        <v>44816.0</v>
      </c>
      <c r="N1000" s="93"/>
      <c r="O1000" s="92">
        <v>6.725</v>
      </c>
    </row>
    <row r="1001">
      <c r="A1001" s="88" t="s">
        <v>183</v>
      </c>
      <c r="B1001" s="89">
        <v>2005.0</v>
      </c>
      <c r="C1001" s="89">
        <v>3.0</v>
      </c>
      <c r="D1001" s="89">
        <v>0.0</v>
      </c>
      <c r="E1001" s="88"/>
      <c r="F1001" s="89">
        <v>1.558</v>
      </c>
      <c r="G1001" s="89">
        <v>0.9256</v>
      </c>
      <c r="H1001" s="89">
        <v>0.4919</v>
      </c>
      <c r="I1001" s="89">
        <v>0.3057</v>
      </c>
      <c r="J1001" s="89">
        <v>66.81</v>
      </c>
      <c r="K1001" s="89">
        <f>AVERAGE(1.46,1.51,1.56,1.44)</f>
        <v>1.4925</v>
      </c>
      <c r="L1001" s="90"/>
      <c r="M1001" s="90">
        <v>44816.0</v>
      </c>
      <c r="N1001" s="93"/>
      <c r="O1001" s="92">
        <v>52.334</v>
      </c>
    </row>
    <row r="1002">
      <c r="A1002" s="88" t="s">
        <v>183</v>
      </c>
      <c r="B1002" s="89">
        <v>2005.0</v>
      </c>
      <c r="C1002" s="89">
        <v>2.0</v>
      </c>
      <c r="D1002" s="89">
        <v>0.0</v>
      </c>
      <c r="E1002" s="88"/>
      <c r="F1002" s="89">
        <v>0.9814</v>
      </c>
      <c r="G1002" s="89">
        <v>0.6031</v>
      </c>
      <c r="H1002" s="89">
        <v>0.2743</v>
      </c>
      <c r="I1002" s="89">
        <v>0.1668</v>
      </c>
      <c r="J1002" s="89">
        <v>40.04</v>
      </c>
      <c r="K1002" s="89">
        <f>AVERAGE(1.58,1.48,1.47,1.38)</f>
        <v>1.4775</v>
      </c>
      <c r="L1002" s="90"/>
      <c r="M1002" s="90">
        <v>44816.0</v>
      </c>
      <c r="N1002" s="93"/>
      <c r="O1002" s="92">
        <v>34.285</v>
      </c>
    </row>
    <row r="1003">
      <c r="A1003" s="88" t="s">
        <v>183</v>
      </c>
      <c r="B1003" s="89">
        <v>2005.0</v>
      </c>
      <c r="C1003" s="89">
        <v>1.0</v>
      </c>
      <c r="D1003" s="89">
        <v>0.0</v>
      </c>
      <c r="E1003" s="88"/>
      <c r="F1003" s="89">
        <v>0.6499</v>
      </c>
      <c r="G1003" s="89">
        <v>0.3974</v>
      </c>
      <c r="H1003" s="89">
        <v>0.1138</v>
      </c>
      <c r="I1003" s="89">
        <v>0.0667</v>
      </c>
      <c r="J1003" s="89">
        <v>19.41</v>
      </c>
      <c r="K1003" s="89">
        <f>AVERAGE(0.99,1.07,0.96,0.93)</f>
        <v>0.9875</v>
      </c>
      <c r="L1003" s="90"/>
      <c r="M1003" s="90">
        <v>44816.0</v>
      </c>
      <c r="N1003" s="93"/>
      <c r="O1003" s="92">
        <v>25.994</v>
      </c>
    </row>
    <row r="1004">
      <c r="A1004" s="88" t="s">
        <v>183</v>
      </c>
      <c r="B1004" s="89">
        <v>2372.0</v>
      </c>
      <c r="C1004" s="89">
        <v>1.0</v>
      </c>
      <c r="D1004" s="89">
        <v>0.0</v>
      </c>
      <c r="E1004" s="88"/>
      <c r="F1004" s="89">
        <v>0.5701</v>
      </c>
      <c r="G1004" s="89">
        <v>0.3416</v>
      </c>
      <c r="H1004" s="89">
        <v>0.0686</v>
      </c>
      <c r="I1004" s="89">
        <v>0.0404</v>
      </c>
      <c r="J1004" s="89">
        <v>11.07</v>
      </c>
      <c r="K1004" s="89">
        <f>AVERAGE(1.6,1.58,1.46,1.48)</f>
        <v>1.53</v>
      </c>
      <c r="L1004" s="90"/>
      <c r="M1004" s="90">
        <v>44816.0</v>
      </c>
      <c r="N1004" s="93"/>
      <c r="O1004" s="92">
        <v>21.898</v>
      </c>
    </row>
    <row r="1005">
      <c r="A1005" s="88" t="s">
        <v>183</v>
      </c>
      <c r="B1005" s="89">
        <v>2087.0</v>
      </c>
      <c r="C1005" s="89">
        <v>2.0</v>
      </c>
      <c r="D1005" s="89">
        <v>0.0</v>
      </c>
      <c r="E1005" s="88"/>
      <c r="F1005" s="89">
        <v>1.3532</v>
      </c>
      <c r="G1005" s="89">
        <v>0.825</v>
      </c>
      <c r="H1005" s="89">
        <v>0.2461</v>
      </c>
      <c r="I1005" s="89">
        <v>0.1345</v>
      </c>
      <c r="J1005" s="89">
        <v>24.94</v>
      </c>
      <c r="K1005" s="89">
        <f>AVERAGE(2.92,2.74,2.65,2.76)</f>
        <v>2.7675</v>
      </c>
      <c r="L1005" s="90"/>
      <c r="M1005" s="90">
        <v>44816.0</v>
      </c>
      <c r="N1005" s="93"/>
      <c r="O1005" s="92">
        <v>49.38</v>
      </c>
    </row>
    <row r="1006">
      <c r="A1006" s="88" t="s">
        <v>183</v>
      </c>
      <c r="B1006" s="89">
        <v>2006.0</v>
      </c>
      <c r="C1006" s="89">
        <v>3.0</v>
      </c>
      <c r="D1006" s="89">
        <v>0.0</v>
      </c>
      <c r="E1006" s="88"/>
      <c r="F1006" s="89">
        <v>0.1652</v>
      </c>
      <c r="G1006" s="89">
        <v>0.0928</v>
      </c>
      <c r="H1006" s="89">
        <v>0.1444</v>
      </c>
      <c r="I1006" s="89">
        <v>0.0809</v>
      </c>
      <c r="J1006" s="89">
        <v>20.74</v>
      </c>
      <c r="K1006" s="89">
        <f>AVERAGE(1.49,1.45,1.36,1.4)</f>
        <v>1.425</v>
      </c>
      <c r="L1006" s="90"/>
      <c r="M1006" s="90">
        <v>44816.0</v>
      </c>
      <c r="N1006" s="93"/>
      <c r="O1006" s="92">
        <v>5.568</v>
      </c>
    </row>
    <row r="1007">
      <c r="A1007" s="88" t="s">
        <v>183</v>
      </c>
      <c r="B1007" s="89">
        <v>2006.0</v>
      </c>
      <c r="C1007" s="89">
        <v>2.0</v>
      </c>
      <c r="D1007" s="89">
        <v>0.0</v>
      </c>
      <c r="E1007" s="88"/>
      <c r="F1007" s="89">
        <v>0.1554</v>
      </c>
      <c r="G1007" s="89">
        <v>0.0869</v>
      </c>
      <c r="H1007" s="89">
        <v>0.1109</v>
      </c>
      <c r="I1007" s="89">
        <v>0.061</v>
      </c>
      <c r="J1007" s="89">
        <v>16.64</v>
      </c>
      <c r="K1007" s="89">
        <f>AVERAGE(1.24,1.2,1.16,1.18)</f>
        <v>1.195</v>
      </c>
      <c r="L1007" s="90"/>
      <c r="M1007" s="90">
        <v>44816.0</v>
      </c>
      <c r="N1007" s="93"/>
      <c r="O1007" s="92">
        <v>5.978</v>
      </c>
    </row>
    <row r="1008">
      <c r="A1008" s="88" t="s">
        <v>183</v>
      </c>
      <c r="B1008" s="89">
        <v>2087.0</v>
      </c>
      <c r="C1008" s="89">
        <v>3.0</v>
      </c>
      <c r="D1008" s="89">
        <v>0.0</v>
      </c>
      <c r="E1008" s="88"/>
      <c r="F1008" s="89">
        <v>1.8183</v>
      </c>
      <c r="G1008" s="89">
        <v>1.0998</v>
      </c>
      <c r="H1008" s="89">
        <v>0.4289</v>
      </c>
      <c r="I1008" s="89">
        <v>0.2363</v>
      </c>
      <c r="J1008" s="89">
        <v>36.66</v>
      </c>
      <c r="K1008" s="89">
        <f>AVERAGE(2.61,2.65,2.75,2.82)</f>
        <v>2.7075</v>
      </c>
      <c r="L1008" s="90"/>
      <c r="M1008" s="90">
        <v>44816.0</v>
      </c>
      <c r="N1008" s="93"/>
      <c r="O1008" s="92">
        <v>65.415</v>
      </c>
    </row>
    <row r="1009">
      <c r="A1009" s="88" t="s">
        <v>183</v>
      </c>
      <c r="B1009" s="89">
        <v>2031.0</v>
      </c>
      <c r="C1009" s="89">
        <v>2.0</v>
      </c>
      <c r="D1009" s="89">
        <v>0.0</v>
      </c>
      <c r="E1009" s="88"/>
      <c r="F1009" s="89">
        <v>0.0394</v>
      </c>
      <c r="G1009" s="89">
        <v>0.0221</v>
      </c>
      <c r="H1009" s="89">
        <v>0.0022</v>
      </c>
      <c r="I1009" s="89">
        <v>0.0044</v>
      </c>
      <c r="J1009" s="89">
        <v>4.53</v>
      </c>
      <c r="K1009" s="89">
        <f>AVERAGE(1.33,1.1,1.41,1.3)</f>
        <v>1.285</v>
      </c>
      <c r="L1009" s="90"/>
      <c r="M1009" s="90">
        <v>44816.0</v>
      </c>
      <c r="N1009" s="93" t="s">
        <v>196</v>
      </c>
      <c r="O1009" s="92">
        <v>1.789</v>
      </c>
    </row>
    <row r="1010">
      <c r="A1010" s="88" t="s">
        <v>183</v>
      </c>
      <c r="B1010" s="89">
        <v>2031.0</v>
      </c>
      <c r="C1010" s="89">
        <v>1.0</v>
      </c>
      <c r="D1010" s="89">
        <v>0.0</v>
      </c>
      <c r="E1010" s="88"/>
      <c r="F1010" s="89">
        <v>0.03</v>
      </c>
      <c r="G1010" s="89">
        <v>0.0222</v>
      </c>
      <c r="H1010" s="89">
        <v>0.0799</v>
      </c>
      <c r="I1010" s="89">
        <v>0.0467</v>
      </c>
      <c r="J1010" s="89">
        <v>22.46</v>
      </c>
      <c r="K1010" s="89">
        <f>AVERAGE(1.09,1.24,1.04,1.13)</f>
        <v>1.125</v>
      </c>
      <c r="L1010" s="90"/>
      <c r="M1010" s="90">
        <v>44816.0</v>
      </c>
      <c r="N1010" s="93" t="s">
        <v>197</v>
      </c>
      <c r="O1010" s="92">
        <v>1.691</v>
      </c>
    </row>
    <row r="1011">
      <c r="A1011" s="88" t="s">
        <v>183</v>
      </c>
      <c r="B1011" s="89">
        <v>2031.0</v>
      </c>
      <c r="C1011" s="89">
        <v>3.0</v>
      </c>
      <c r="D1011" s="89">
        <v>0.0</v>
      </c>
      <c r="E1011" s="88"/>
      <c r="F1011" s="89">
        <v>0.3235</v>
      </c>
      <c r="G1011" s="89">
        <v>0.1983</v>
      </c>
      <c r="H1011" s="89">
        <v>0.1454</v>
      </c>
      <c r="I1011" s="89">
        <v>0.0733</v>
      </c>
      <c r="J1011" s="89">
        <v>22.32</v>
      </c>
      <c r="K1011" s="89">
        <f>AVERAGE(1.73,1.68,2.82,1.81)</f>
        <v>2.01</v>
      </c>
      <c r="L1011" s="90"/>
      <c r="M1011" s="90">
        <v>44816.0</v>
      </c>
      <c r="N1011" s="93"/>
      <c r="O1011" s="92">
        <v>14.006</v>
      </c>
    </row>
    <row r="1012">
      <c r="A1012" s="88" t="s">
        <v>183</v>
      </c>
      <c r="B1012" s="89">
        <v>2371.0</v>
      </c>
      <c r="C1012" s="89">
        <v>1.0</v>
      </c>
      <c r="D1012" s="89">
        <v>0.0</v>
      </c>
      <c r="E1012" s="88"/>
      <c r="F1012" s="89">
        <v>0.754</v>
      </c>
      <c r="G1012" s="89">
        <v>0.4551</v>
      </c>
      <c r="H1012" s="89">
        <v>0.754</v>
      </c>
      <c r="I1012" s="89">
        <v>0.0373</v>
      </c>
      <c r="J1012" s="89">
        <v>11.96</v>
      </c>
      <c r="K1012" s="89">
        <f>AVERAGE(1.88, 2.03, 1.69, 2.16)</f>
        <v>1.94</v>
      </c>
      <c r="L1012" s="90"/>
      <c r="M1012" s="90">
        <v>44816.0</v>
      </c>
      <c r="N1012" s="93"/>
      <c r="O1012" s="92">
        <v>2.989</v>
      </c>
    </row>
    <row r="1013">
      <c r="A1013" s="88" t="s">
        <v>57</v>
      </c>
      <c r="B1013" s="89">
        <v>2009.0</v>
      </c>
      <c r="C1013" s="89">
        <v>1.0</v>
      </c>
      <c r="D1013" s="89">
        <v>1.0</v>
      </c>
      <c r="E1013" s="88"/>
      <c r="F1013" s="89">
        <v>1.6347</v>
      </c>
      <c r="G1013" s="89">
        <v>0.976</v>
      </c>
      <c r="H1013" s="89">
        <v>0.3654</v>
      </c>
      <c r="I1013" s="89">
        <v>0.2256</v>
      </c>
      <c r="J1013" s="89">
        <v>62.69</v>
      </c>
      <c r="K1013" s="89">
        <f>AVERAGE(1.94, 1.77, 1,95, 1.85)</f>
        <v>20.312</v>
      </c>
      <c r="L1013" s="90"/>
      <c r="M1013" s="90">
        <v>44816.0</v>
      </c>
      <c r="N1013" s="93" t="s">
        <v>198</v>
      </c>
      <c r="O1013" s="92">
        <v>7.641</v>
      </c>
    </row>
    <row r="1014">
      <c r="A1014" s="88" t="s">
        <v>183</v>
      </c>
      <c r="B1014" s="89">
        <v>2371.0</v>
      </c>
      <c r="C1014" s="89">
        <v>1.0</v>
      </c>
      <c r="D1014" s="89">
        <v>0.0</v>
      </c>
      <c r="E1014" s="88"/>
      <c r="F1014" s="89">
        <v>0.6848</v>
      </c>
      <c r="G1014" s="89">
        <v>0.4053</v>
      </c>
      <c r="H1014" s="89">
        <v>0.0537</v>
      </c>
      <c r="I1014" s="89">
        <v>0.0314</v>
      </c>
      <c r="J1014" s="89">
        <v>12.06</v>
      </c>
      <c r="K1014" s="89">
        <f>AVERAGE(1.42, 1.11, 1.49, 1.18)</f>
        <v>1.3</v>
      </c>
      <c r="L1014" s="90"/>
      <c r="M1014" s="90">
        <v>44816.0</v>
      </c>
      <c r="N1014" s="93" t="s">
        <v>199</v>
      </c>
      <c r="O1014" s="92">
        <v>25.516</v>
      </c>
    </row>
    <row r="1015">
      <c r="A1015" s="88" t="s">
        <v>57</v>
      </c>
      <c r="B1015" s="89">
        <v>2369.0</v>
      </c>
      <c r="C1015" s="89">
        <v>1.0</v>
      </c>
      <c r="D1015" s="89">
        <v>0.0</v>
      </c>
      <c r="E1015" s="88"/>
      <c r="F1015" s="89">
        <v>0.2046</v>
      </c>
      <c r="G1015" s="89">
        <v>0.1391</v>
      </c>
      <c r="H1015" s="89">
        <v>0.0773</v>
      </c>
      <c r="I1015" s="89">
        <v>0.051</v>
      </c>
      <c r="J1015" s="89">
        <v>23.17</v>
      </c>
      <c r="K1015" s="89">
        <f>AVERAGE(1.31, 1.16, 1.25, 1.19)</f>
        <v>1.2275</v>
      </c>
      <c r="L1015" s="90"/>
      <c r="M1015" s="90">
        <v>44816.0</v>
      </c>
      <c r="N1015" s="93"/>
      <c r="O1015" s="92">
        <v>9.986</v>
      </c>
    </row>
    <row r="1016">
      <c r="A1016" s="88" t="s">
        <v>183</v>
      </c>
      <c r="B1016" s="89">
        <v>2365.0</v>
      </c>
      <c r="C1016" s="89">
        <v>2.0</v>
      </c>
      <c r="D1016" s="89">
        <v>0.0</v>
      </c>
      <c r="E1016" s="88"/>
      <c r="F1016" s="89">
        <v>0.1151</v>
      </c>
      <c r="G1016" s="89">
        <v>0.0943</v>
      </c>
      <c r="H1016" s="89">
        <v>0.0797</v>
      </c>
      <c r="I1016" s="89">
        <v>0.0528</v>
      </c>
      <c r="J1016" s="89">
        <v>18.09</v>
      </c>
      <c r="K1016" s="89">
        <f>AVERAGE(1.39, 1.45, 1.4, 1.38)</f>
        <v>1.405</v>
      </c>
      <c r="L1016" s="90"/>
      <c r="M1016" s="90">
        <v>44816.0</v>
      </c>
      <c r="N1016" s="93"/>
      <c r="O1016" s="92">
        <v>0.644</v>
      </c>
    </row>
    <row r="1017">
      <c r="A1017" s="88" t="s">
        <v>183</v>
      </c>
      <c r="B1017" s="89">
        <v>2024.0</v>
      </c>
      <c r="C1017" s="89">
        <v>1.0</v>
      </c>
      <c r="D1017" s="89">
        <v>0.0</v>
      </c>
      <c r="E1017" s="88"/>
      <c r="F1017" s="89">
        <v>0.8842</v>
      </c>
      <c r="G1017" s="89">
        <v>0.5345</v>
      </c>
      <c r="H1017" s="89">
        <v>0.1746</v>
      </c>
      <c r="I1017" s="89">
        <v>0.1176</v>
      </c>
      <c r="J1017" s="89">
        <v>21.76</v>
      </c>
      <c r="K1017" s="89">
        <f>AVERAGE(1.85, 1.61, 1.75, 1.43)</f>
        <v>1.66</v>
      </c>
      <c r="L1017" s="90"/>
      <c r="M1017" s="90">
        <v>44816.0</v>
      </c>
      <c r="N1017" s="93" t="s">
        <v>200</v>
      </c>
      <c r="O1017" s="92">
        <v>30.745</v>
      </c>
    </row>
    <row r="1018">
      <c r="A1018" s="88" t="s">
        <v>183</v>
      </c>
      <c r="B1018" s="89">
        <v>2371.0</v>
      </c>
      <c r="C1018" s="89">
        <v>2.0</v>
      </c>
      <c r="D1018" s="89">
        <v>0.0</v>
      </c>
      <c r="E1018" s="88"/>
      <c r="F1018" s="89">
        <v>0.4156</v>
      </c>
      <c r="G1018" s="89">
        <v>0.2521</v>
      </c>
      <c r="H1018" s="89">
        <v>0.0371</v>
      </c>
      <c r="I1018" s="89">
        <v>0.0242</v>
      </c>
      <c r="J1018" s="89">
        <v>6.47</v>
      </c>
      <c r="K1018" s="89">
        <f>average(1, 0.89, 0.97, 1.16)</f>
        <v>1.005</v>
      </c>
      <c r="L1018" s="90"/>
      <c r="M1018" s="90">
        <v>44816.0</v>
      </c>
      <c r="N1018" s="93" t="s">
        <v>199</v>
      </c>
      <c r="O1018" s="92">
        <v>17.588</v>
      </c>
    </row>
    <row r="1019">
      <c r="A1019" s="88" t="s">
        <v>57</v>
      </c>
      <c r="B1019" s="89">
        <v>2030.0</v>
      </c>
      <c r="C1019" s="89">
        <v>1.0</v>
      </c>
      <c r="D1019" s="89">
        <v>1.0</v>
      </c>
      <c r="E1019" s="88"/>
      <c r="F1019" s="88"/>
      <c r="G1019" s="88"/>
      <c r="H1019" s="89">
        <v>0.0756</v>
      </c>
      <c r="I1019" s="89">
        <v>0.0483</v>
      </c>
      <c r="J1019" s="89">
        <v>20.62</v>
      </c>
      <c r="K1019" s="89">
        <f>average(1.24, 0.99, 1.19, 1.11)</f>
        <v>1.1325</v>
      </c>
      <c r="L1019" s="90"/>
      <c r="M1019" s="90">
        <v>44816.0</v>
      </c>
      <c r="N1019" s="93" t="s">
        <v>201</v>
      </c>
      <c r="O1019" s="94"/>
    </row>
    <row r="1020">
      <c r="A1020" s="88" t="s">
        <v>183</v>
      </c>
      <c r="B1020" s="89">
        <v>2367.0</v>
      </c>
      <c r="C1020" s="89">
        <v>1.0</v>
      </c>
      <c r="D1020" s="89">
        <v>1.0</v>
      </c>
      <c r="E1020" s="88"/>
      <c r="F1020" s="88"/>
      <c r="G1020" s="88"/>
      <c r="H1020" s="89">
        <v>0.0922</v>
      </c>
      <c r="I1020" s="89">
        <v>0.0624</v>
      </c>
      <c r="J1020" s="89">
        <v>24.83</v>
      </c>
      <c r="K1020" s="89">
        <f>average(1.72, 1.7, 1.84, 1.4)</f>
        <v>1.665</v>
      </c>
      <c r="L1020" s="90"/>
      <c r="M1020" s="90">
        <v>44816.0</v>
      </c>
      <c r="N1020" s="93" t="s">
        <v>202</v>
      </c>
      <c r="O1020" s="94"/>
    </row>
    <row r="1021">
      <c r="A1021" s="88" t="s">
        <v>183</v>
      </c>
      <c r="B1021" s="89">
        <v>2027.0</v>
      </c>
      <c r="C1021" s="89">
        <v>1.0</v>
      </c>
      <c r="D1021" s="89">
        <v>1.0</v>
      </c>
      <c r="E1021" s="89">
        <v>1.0</v>
      </c>
      <c r="F1021" s="88"/>
      <c r="G1021" s="88"/>
      <c r="H1021" s="89">
        <v>0.1134</v>
      </c>
      <c r="I1021" s="89">
        <v>0.0694</v>
      </c>
      <c r="J1021" s="89">
        <v>19.89</v>
      </c>
      <c r="K1021" s="89">
        <f>average(1.67, 1.71, 1.72, 1.74)</f>
        <v>1.71</v>
      </c>
      <c r="L1021" s="90"/>
      <c r="M1021" s="90">
        <v>44816.0</v>
      </c>
      <c r="N1021" s="93" t="s">
        <v>202</v>
      </c>
      <c r="O1021" s="94"/>
    </row>
    <row r="1022">
      <c r="A1022" s="88" t="s">
        <v>183</v>
      </c>
      <c r="B1022" s="89">
        <v>2369.0</v>
      </c>
      <c r="C1022" s="89">
        <v>1.0</v>
      </c>
      <c r="D1022" s="89">
        <v>0.0</v>
      </c>
      <c r="E1022" s="88"/>
      <c r="F1022" s="89">
        <v>0.3191</v>
      </c>
      <c r="G1022" s="89">
        <v>0.3104</v>
      </c>
      <c r="H1022" s="89">
        <v>0.027</v>
      </c>
      <c r="I1022" s="89">
        <v>0.0253</v>
      </c>
      <c r="J1022" s="89">
        <v>13.85</v>
      </c>
      <c r="K1022" s="89">
        <f>average(1.05, 0.62, 1.11, 0.94)</f>
        <v>0.93</v>
      </c>
      <c r="L1022" s="90"/>
      <c r="M1022" s="90">
        <v>44816.0</v>
      </c>
      <c r="N1022" s="93" t="s">
        <v>199</v>
      </c>
      <c r="O1022" s="92">
        <v>2.267</v>
      </c>
    </row>
    <row r="1023">
      <c r="A1023" s="88" t="s">
        <v>57</v>
      </c>
      <c r="B1023" s="89">
        <v>2092.0</v>
      </c>
      <c r="C1023" s="89">
        <v>1.0</v>
      </c>
      <c r="D1023" s="89">
        <v>0.0</v>
      </c>
      <c r="E1023" s="88" t="s">
        <v>186</v>
      </c>
      <c r="F1023" s="89">
        <v>1.1901</v>
      </c>
      <c r="G1023" s="89">
        <v>0.7511</v>
      </c>
      <c r="H1023" s="89">
        <v>0.1118</v>
      </c>
      <c r="I1023" s="89">
        <v>0.0597</v>
      </c>
      <c r="J1023" s="89">
        <v>20.41</v>
      </c>
      <c r="K1023" s="89">
        <f>average(1.53, 1.34, 1.39, 1.73)</f>
        <v>1.4975</v>
      </c>
      <c r="L1023" s="90"/>
      <c r="M1023" s="90">
        <v>44816.0</v>
      </c>
      <c r="N1023" s="93" t="s">
        <v>199</v>
      </c>
      <c r="O1023" s="92">
        <v>33.651</v>
      </c>
    </row>
    <row r="1024">
      <c r="A1024" s="88" t="s">
        <v>57</v>
      </c>
      <c r="B1024" s="89">
        <v>2092.0</v>
      </c>
      <c r="C1024" s="89">
        <v>1.0</v>
      </c>
      <c r="D1024" s="89">
        <v>0.0</v>
      </c>
      <c r="E1024" s="88" t="s">
        <v>185</v>
      </c>
      <c r="F1024" s="89">
        <v>1.0477</v>
      </c>
      <c r="G1024" s="89">
        <v>0.6527</v>
      </c>
      <c r="H1024" s="89">
        <v>0.2058</v>
      </c>
      <c r="I1024" s="89">
        <v>0.113</v>
      </c>
      <c r="J1024" s="89">
        <v>49.73</v>
      </c>
      <c r="K1024" s="89">
        <f>average(2.3, 2.2, 2.49, 2.42)</f>
        <v>2.3525</v>
      </c>
      <c r="L1024" s="90"/>
      <c r="M1024" s="90">
        <v>44816.0</v>
      </c>
      <c r="N1024" s="93" t="s">
        <v>199</v>
      </c>
      <c r="O1024" s="92">
        <v>61.783</v>
      </c>
    </row>
    <row r="1025">
      <c r="A1025" s="88" t="s">
        <v>183</v>
      </c>
      <c r="B1025" s="89">
        <v>2013.0</v>
      </c>
      <c r="C1025" s="89">
        <v>2.0</v>
      </c>
      <c r="D1025" s="89">
        <v>0.0</v>
      </c>
      <c r="E1025" s="88"/>
      <c r="F1025" s="89">
        <v>0.4767</v>
      </c>
      <c r="G1025" s="89">
        <v>0.2923</v>
      </c>
      <c r="H1025" s="89">
        <v>0.0774</v>
      </c>
      <c r="I1025" s="89">
        <v>0.05</v>
      </c>
      <c r="J1025" s="89">
        <v>14.94</v>
      </c>
      <c r="K1025" s="89">
        <f>average(0.83, 0.89, 1.09, 1.07)</f>
        <v>0.97</v>
      </c>
      <c r="L1025" s="90"/>
      <c r="M1025" s="90">
        <v>44816.0</v>
      </c>
      <c r="N1025" s="93"/>
      <c r="O1025" s="92">
        <v>19.706</v>
      </c>
    </row>
    <row r="1026">
      <c r="A1026" s="88" t="s">
        <v>183</v>
      </c>
      <c r="B1026" s="89">
        <v>2013.0</v>
      </c>
      <c r="C1026" s="89">
        <v>1.0</v>
      </c>
      <c r="D1026" s="89">
        <v>0.0</v>
      </c>
      <c r="E1026" s="88"/>
      <c r="F1026" s="89">
        <v>0.5693</v>
      </c>
      <c r="G1026" s="89">
        <v>0.3663</v>
      </c>
      <c r="H1026" s="89">
        <v>0.0852</v>
      </c>
      <c r="I1026" s="89">
        <v>0.0562</v>
      </c>
      <c r="J1026" s="89">
        <v>13.89</v>
      </c>
      <c r="K1026" s="89">
        <f>average(0.96, 0.89, 0.77, 0.76)</f>
        <v>0.845</v>
      </c>
      <c r="L1026" s="90"/>
      <c r="M1026" s="90">
        <v>44816.0</v>
      </c>
      <c r="N1026" s="93"/>
      <c r="O1026" s="92">
        <v>23.469</v>
      </c>
    </row>
    <row r="1027">
      <c r="A1027" s="88" t="s">
        <v>183</v>
      </c>
      <c r="B1027" s="89">
        <v>2012.0</v>
      </c>
      <c r="C1027" s="89">
        <v>3.0</v>
      </c>
      <c r="D1027" s="89">
        <v>0.0</v>
      </c>
      <c r="E1027" s="88"/>
      <c r="F1027" s="89">
        <v>0.2651</v>
      </c>
      <c r="G1027" s="89">
        <v>0.1552</v>
      </c>
      <c r="H1027" s="89">
        <v>0.0265</v>
      </c>
      <c r="I1027" s="89">
        <v>0.0092</v>
      </c>
      <c r="J1027" s="89">
        <v>7.55</v>
      </c>
      <c r="K1027" s="89">
        <f>average(0.47, 0.58, 0.63, 0.48)</f>
        <v>0.54</v>
      </c>
      <c r="L1027" s="90"/>
      <c r="M1027" s="90">
        <v>44816.0</v>
      </c>
      <c r="N1027" s="93" t="s">
        <v>199</v>
      </c>
      <c r="O1027" s="92">
        <v>10.73</v>
      </c>
    </row>
    <row r="1028">
      <c r="A1028" s="88" t="s">
        <v>183</v>
      </c>
      <c r="B1028" s="89">
        <v>2012.0</v>
      </c>
      <c r="C1028" s="89">
        <v>2.0</v>
      </c>
      <c r="D1028" s="89">
        <v>0.0</v>
      </c>
      <c r="E1028" s="88"/>
      <c r="F1028" s="89">
        <v>0.3599</v>
      </c>
      <c r="G1028" s="89">
        <v>0.2326</v>
      </c>
      <c r="H1028" s="89">
        <v>0.0364</v>
      </c>
      <c r="I1028" s="89">
        <v>0.016</v>
      </c>
      <c r="J1028" s="89">
        <v>10.86</v>
      </c>
      <c r="K1028" s="89">
        <f>average(0.6, 0.39, 0.55, 0.61)</f>
        <v>0.5375</v>
      </c>
      <c r="L1028" s="90"/>
      <c r="M1028" s="90">
        <v>44816.0</v>
      </c>
      <c r="N1028" s="93"/>
      <c r="O1028" s="92">
        <v>16.17</v>
      </c>
    </row>
    <row r="1029">
      <c r="A1029" s="88" t="s">
        <v>183</v>
      </c>
      <c r="B1029" s="89">
        <v>2012.0</v>
      </c>
      <c r="C1029" s="89">
        <v>1.0</v>
      </c>
      <c r="D1029" s="89">
        <v>0.0</v>
      </c>
      <c r="E1029" s="88"/>
      <c r="F1029" s="89">
        <v>0.0999</v>
      </c>
      <c r="G1029" s="89">
        <v>0.0605</v>
      </c>
      <c r="H1029" s="89">
        <v>0.0152</v>
      </c>
      <c r="I1029" s="89">
        <v>0.0051</v>
      </c>
      <c r="J1029" s="89">
        <v>7.54</v>
      </c>
      <c r="K1029" s="89">
        <f>average(0.58, 0.53, 0.49, 0.41)</f>
        <v>0.5025</v>
      </c>
      <c r="L1029" s="90"/>
      <c r="M1029" s="90">
        <v>44816.0</v>
      </c>
      <c r="N1029" s="93"/>
      <c r="O1029" s="92">
        <v>4.153</v>
      </c>
    </row>
    <row r="1030">
      <c r="A1030" s="88" t="s">
        <v>183</v>
      </c>
      <c r="B1030" s="89">
        <v>1478.0</v>
      </c>
      <c r="C1030" s="89">
        <v>3.0</v>
      </c>
      <c r="D1030" s="89">
        <v>0.0</v>
      </c>
      <c r="E1030" s="88"/>
      <c r="F1030" s="89">
        <v>1.2062</v>
      </c>
      <c r="G1030" s="89">
        <v>0.7299</v>
      </c>
      <c r="H1030" s="89">
        <v>0.3704</v>
      </c>
      <c r="I1030" s="89">
        <v>0.2113</v>
      </c>
      <c r="J1030" s="89">
        <v>57.89</v>
      </c>
      <c r="K1030" s="89">
        <f>average(1.99, 2, 2.02, 1.83)</f>
        <v>1.96</v>
      </c>
      <c r="L1030" s="90"/>
      <c r="M1030" s="90">
        <v>44816.0</v>
      </c>
      <c r="N1030" s="93" t="s">
        <v>199</v>
      </c>
      <c r="O1030" s="92">
        <v>43.333</v>
      </c>
    </row>
    <row r="1031">
      <c r="A1031" s="88" t="s">
        <v>183</v>
      </c>
      <c r="B1031" s="89">
        <v>1478.0</v>
      </c>
      <c r="C1031" s="89">
        <v>2.0</v>
      </c>
      <c r="D1031" s="89">
        <v>0.0</v>
      </c>
      <c r="E1031" s="88"/>
      <c r="F1031" s="89">
        <v>0.8137</v>
      </c>
      <c r="G1031" s="89">
        <v>0.5128</v>
      </c>
      <c r="H1031" s="89">
        <v>0.1711</v>
      </c>
      <c r="I1031" s="89">
        <v>0.0994</v>
      </c>
      <c r="J1031" s="89">
        <v>25.98</v>
      </c>
      <c r="K1031" s="89">
        <f>average(1.36, 1.22, 1.24, 1.4)</f>
        <v>1.305</v>
      </c>
      <c r="L1031" s="90"/>
      <c r="M1031" s="90">
        <v>44816.0</v>
      </c>
      <c r="N1031" s="93" t="s">
        <v>199</v>
      </c>
      <c r="O1031" s="92">
        <v>32.528</v>
      </c>
    </row>
    <row r="1032">
      <c r="A1032" s="88" t="s">
        <v>183</v>
      </c>
      <c r="B1032" s="89">
        <v>1478.0</v>
      </c>
      <c r="C1032" s="89">
        <v>1.0</v>
      </c>
      <c r="D1032" s="89">
        <v>0.0</v>
      </c>
      <c r="E1032" s="88"/>
      <c r="F1032" s="89">
        <v>0.4967</v>
      </c>
      <c r="G1032" s="89">
        <v>0.3015</v>
      </c>
      <c r="H1032" s="89">
        <v>0.121</v>
      </c>
      <c r="I1032" s="89">
        <v>0.0722</v>
      </c>
      <c r="J1032" s="89">
        <v>22.75</v>
      </c>
      <c r="K1032" s="89">
        <f>average(1.45, 1.33, 1.35, 1.25)</f>
        <v>1.345</v>
      </c>
      <c r="L1032" s="90"/>
      <c r="M1032" s="90">
        <v>44816.0</v>
      </c>
      <c r="N1032" s="93" t="s">
        <v>199</v>
      </c>
      <c r="O1032" s="92">
        <v>12.128</v>
      </c>
    </row>
    <row r="1033">
      <c r="A1033" s="88" t="s">
        <v>183</v>
      </c>
      <c r="B1033" s="89">
        <v>2015.0</v>
      </c>
      <c r="C1033" s="89">
        <v>2.0</v>
      </c>
      <c r="D1033" s="89">
        <v>0.0</v>
      </c>
      <c r="E1033" s="88"/>
      <c r="F1033" s="89">
        <v>0.5831</v>
      </c>
      <c r="G1033" s="89">
        <v>0.348</v>
      </c>
      <c r="H1033" s="89">
        <v>0.0872</v>
      </c>
      <c r="I1033" s="89">
        <v>0.0399</v>
      </c>
      <c r="J1033" s="89">
        <v>21.22</v>
      </c>
      <c r="K1033" s="89">
        <f>average(1.27, 1.29, 1.27, 1.21)</f>
        <v>1.26</v>
      </c>
      <c r="L1033" s="90"/>
      <c r="M1033" s="90">
        <v>44816.0</v>
      </c>
      <c r="N1033" s="93"/>
      <c r="O1033" s="92">
        <v>21.266</v>
      </c>
    </row>
    <row r="1034">
      <c r="A1034" s="88" t="s">
        <v>183</v>
      </c>
      <c r="B1034" s="89">
        <v>2015.0</v>
      </c>
      <c r="C1034" s="89">
        <v>3.0</v>
      </c>
      <c r="D1034" s="89">
        <v>0.0</v>
      </c>
      <c r="E1034" s="88"/>
      <c r="F1034" s="89">
        <v>0.3577</v>
      </c>
      <c r="G1034" s="89">
        <v>0.2085</v>
      </c>
      <c r="H1034" s="89">
        <v>0.0622</v>
      </c>
      <c r="I1034" s="89">
        <v>0.0358</v>
      </c>
      <c r="J1034" s="89">
        <v>16.99</v>
      </c>
      <c r="K1034" s="89">
        <f>average(0.8, 0.86, 0.85, 0.87)</f>
        <v>0.845</v>
      </c>
      <c r="L1034" s="90"/>
      <c r="M1034" s="90">
        <v>44816.0</v>
      </c>
      <c r="N1034" s="93"/>
      <c r="O1034" s="92">
        <v>14.822</v>
      </c>
    </row>
    <row r="1035">
      <c r="A1035" s="88" t="s">
        <v>183</v>
      </c>
      <c r="B1035" s="89">
        <v>2015.0</v>
      </c>
      <c r="C1035" s="89">
        <v>1.0</v>
      </c>
      <c r="D1035" s="89">
        <v>0.0</v>
      </c>
      <c r="E1035" s="88"/>
      <c r="F1035" s="89">
        <v>0.2967</v>
      </c>
      <c r="G1035" s="89">
        <v>0.165</v>
      </c>
      <c r="H1035" s="89">
        <v>0.034</v>
      </c>
      <c r="I1035" s="89">
        <v>0.0165</v>
      </c>
      <c r="J1035" s="89">
        <v>11.09</v>
      </c>
      <c r="K1035" s="89">
        <f>average(0.79, 0.6, 0.63, 0.61)</f>
        <v>0.6575</v>
      </c>
      <c r="L1035" s="90"/>
      <c r="M1035" s="90">
        <v>44816.0</v>
      </c>
      <c r="N1035" s="93"/>
      <c r="O1035" s="92">
        <v>11.961</v>
      </c>
    </row>
    <row r="1036">
      <c r="A1036" s="88" t="s">
        <v>183</v>
      </c>
      <c r="B1036" s="89">
        <v>2013.0</v>
      </c>
      <c r="C1036" s="89">
        <v>3.0</v>
      </c>
      <c r="D1036" s="89">
        <v>0.0</v>
      </c>
      <c r="E1036" s="88"/>
      <c r="F1036" s="89">
        <v>0.4259</v>
      </c>
      <c r="G1036" s="89">
        <v>0.2541</v>
      </c>
      <c r="H1036" s="89">
        <v>0.0797</v>
      </c>
      <c r="I1036" s="89">
        <v>0.0511</v>
      </c>
      <c r="J1036" s="89">
        <v>16.65</v>
      </c>
      <c r="K1036" s="89">
        <f>average(1.09, 1.01, 0.96, 0.9)</f>
        <v>0.99</v>
      </c>
      <c r="L1036" s="90"/>
      <c r="M1036" s="90">
        <v>44816.0</v>
      </c>
      <c r="N1036" s="93"/>
      <c r="O1036" s="92">
        <v>16.88</v>
      </c>
    </row>
    <row r="1037">
      <c r="A1037" s="88" t="s">
        <v>183</v>
      </c>
      <c r="B1037" s="89">
        <v>2372.0</v>
      </c>
      <c r="C1037" s="89">
        <v>2.0</v>
      </c>
      <c r="D1037" s="89">
        <v>0.0</v>
      </c>
      <c r="E1037" s="88"/>
      <c r="F1037" s="89">
        <v>0.5314</v>
      </c>
      <c r="G1037" s="89">
        <v>0.3352</v>
      </c>
      <c r="H1037" s="89">
        <v>0.0808</v>
      </c>
      <c r="I1037" s="89">
        <v>0.0527</v>
      </c>
      <c r="J1037" s="89">
        <v>13.78</v>
      </c>
      <c r="K1037" s="89">
        <f>average(1.3, 1.25, 1.12, 1.17)</f>
        <v>1.21</v>
      </c>
      <c r="L1037" s="90"/>
      <c r="M1037" s="90">
        <v>44816.0</v>
      </c>
      <c r="N1037" s="93"/>
      <c r="O1037" s="92">
        <v>22.016</v>
      </c>
    </row>
    <row r="1038">
      <c r="A1038" s="88" t="s">
        <v>57</v>
      </c>
      <c r="B1038" s="89">
        <v>2352.0</v>
      </c>
      <c r="C1038" s="89">
        <v>1.0</v>
      </c>
      <c r="D1038" s="89">
        <v>0.0</v>
      </c>
      <c r="E1038" s="88"/>
      <c r="F1038" s="89">
        <v>0.1837</v>
      </c>
      <c r="G1038" s="89">
        <v>0.1163</v>
      </c>
      <c r="H1038" s="89">
        <v>0.0112</v>
      </c>
      <c r="I1038" s="89">
        <v>0.0056</v>
      </c>
      <c r="J1038" s="89">
        <v>12.59</v>
      </c>
      <c r="K1038" s="89">
        <f>average(0.79, 0.71, 0.77, 0.78)</f>
        <v>0.7625</v>
      </c>
      <c r="L1038" s="90"/>
      <c r="M1038" s="90">
        <v>44816.0</v>
      </c>
      <c r="N1038" s="93" t="s">
        <v>199</v>
      </c>
      <c r="O1038" s="92">
        <v>9.131</v>
      </c>
    </row>
    <row r="1039">
      <c r="A1039" s="88" t="s">
        <v>57</v>
      </c>
      <c r="B1039" s="89">
        <v>2093.0</v>
      </c>
      <c r="C1039" s="89">
        <v>4.0</v>
      </c>
      <c r="D1039" s="89">
        <v>0.0</v>
      </c>
      <c r="E1039" s="88"/>
      <c r="F1039" s="89">
        <v>18709.0</v>
      </c>
      <c r="G1039" s="89">
        <v>1.2427</v>
      </c>
      <c r="H1039" s="89">
        <v>0.1946</v>
      </c>
      <c r="I1039" s="89">
        <v>0.1101</v>
      </c>
      <c r="J1039" s="89">
        <f>average(16.33, 27.7, 9.38)</f>
        <v>17.80333333</v>
      </c>
      <c r="K1039" s="89">
        <f>average(1.67, 1.71, 1.65, 1.611, 1.37, 1.4)</f>
        <v>1.5685</v>
      </c>
      <c r="L1039" s="90"/>
      <c r="M1039" s="90">
        <v>44816.0</v>
      </c>
      <c r="N1039" s="93" t="s">
        <v>203</v>
      </c>
      <c r="O1039" s="92">
        <v>64.001</v>
      </c>
    </row>
    <row r="1040">
      <c r="A1040" s="88" t="s">
        <v>57</v>
      </c>
      <c r="B1040" s="89">
        <v>2093.0</v>
      </c>
      <c r="C1040" s="89">
        <v>4.0</v>
      </c>
      <c r="D1040" s="89">
        <v>1.0</v>
      </c>
      <c r="E1040" s="88"/>
      <c r="F1040" s="89">
        <v>2.1989</v>
      </c>
      <c r="G1040" s="89">
        <v>1.425</v>
      </c>
      <c r="H1040" s="89">
        <v>0.8191</v>
      </c>
      <c r="I1040" s="89">
        <v>0.4678</v>
      </c>
      <c r="J1040" s="89">
        <v>102.0</v>
      </c>
      <c r="K1040" s="89">
        <f>average(2.5, 2.68, 2.58, 2.61)</f>
        <v>2.5925</v>
      </c>
      <c r="L1040" s="90"/>
      <c r="M1040" s="90">
        <v>44816.0</v>
      </c>
      <c r="N1040" s="93"/>
      <c r="O1040" s="92">
        <v>70.807</v>
      </c>
    </row>
    <row r="1041">
      <c r="A1041" s="88" t="s">
        <v>57</v>
      </c>
      <c r="B1041" s="89">
        <v>2089.0</v>
      </c>
      <c r="C1041" s="89">
        <v>3.0</v>
      </c>
      <c r="D1041" s="89">
        <v>1.0</v>
      </c>
      <c r="E1041" s="88"/>
      <c r="F1041" s="89">
        <v>1.4433</v>
      </c>
      <c r="G1041" s="89">
        <v>0.8822</v>
      </c>
      <c r="H1041" s="89">
        <v>0.2163</v>
      </c>
      <c r="I1041" s="89">
        <v>0.1169</v>
      </c>
      <c r="J1041" s="89">
        <v>83.65</v>
      </c>
      <c r="K1041" s="89">
        <f>average(1.46, 1.57, 1.64, 1.55)</f>
        <v>1.555</v>
      </c>
      <c r="L1041" s="90"/>
      <c r="M1041" s="90">
        <v>44816.0</v>
      </c>
      <c r="N1041" s="93" t="s">
        <v>199</v>
      </c>
      <c r="O1041" s="92">
        <v>59.894</v>
      </c>
    </row>
    <row r="1042">
      <c r="A1042" s="88" t="s">
        <v>57</v>
      </c>
      <c r="B1042" s="89">
        <v>2089.0</v>
      </c>
      <c r="C1042" s="89">
        <v>2.0</v>
      </c>
      <c r="D1042" s="89">
        <v>1.0</v>
      </c>
      <c r="E1042" s="88"/>
      <c r="F1042" s="89">
        <v>3.9323</v>
      </c>
      <c r="G1042" s="89">
        <v>2.4617</v>
      </c>
      <c r="H1042" s="89">
        <v>1.1039</v>
      </c>
      <c r="I1042" s="89">
        <v>0.6383</v>
      </c>
      <c r="J1042" s="89">
        <v>20.1</v>
      </c>
      <c r="K1042" s="89">
        <f>average(2.15, 2.16, 2.59, 2.21)</f>
        <v>2.2775</v>
      </c>
      <c r="L1042" s="90"/>
      <c r="M1042" s="90">
        <v>44816.0</v>
      </c>
      <c r="N1042" s="93" t="s">
        <v>199</v>
      </c>
      <c r="O1042" s="92">
        <v>151.232</v>
      </c>
    </row>
    <row r="1043">
      <c r="A1043" s="88" t="s">
        <v>183</v>
      </c>
      <c r="B1043" s="89">
        <v>2027.0</v>
      </c>
      <c r="C1043" s="89">
        <v>1.0</v>
      </c>
      <c r="D1043" s="89">
        <v>0.0</v>
      </c>
      <c r="E1043" s="88"/>
      <c r="F1043" s="89">
        <v>0.2131</v>
      </c>
      <c r="G1043" s="89">
        <v>0.1308</v>
      </c>
      <c r="H1043" s="89">
        <v>0.1567</v>
      </c>
      <c r="I1043" s="89">
        <v>0.0978</v>
      </c>
      <c r="J1043" s="89">
        <v>20.76</v>
      </c>
      <c r="K1043" s="89">
        <f>average(1.62, 1.55, 1.67, 1.48)</f>
        <v>1.58</v>
      </c>
      <c r="L1043" s="90"/>
      <c r="M1043" s="90">
        <v>44816.0</v>
      </c>
      <c r="N1043" s="93" t="s">
        <v>199</v>
      </c>
      <c r="O1043" s="92">
        <v>8.833</v>
      </c>
    </row>
    <row r="1044">
      <c r="A1044" s="88" t="s">
        <v>57</v>
      </c>
      <c r="B1044" s="89">
        <v>2089.0</v>
      </c>
      <c r="C1044" s="89">
        <v>2.0</v>
      </c>
      <c r="D1044" s="89">
        <v>0.0</v>
      </c>
      <c r="E1044" s="88"/>
      <c r="F1044" s="89">
        <v>0.0432</v>
      </c>
      <c r="G1044" s="89">
        <v>0.0289</v>
      </c>
      <c r="H1044" s="89">
        <v>0.0357</v>
      </c>
      <c r="I1044" s="89">
        <v>0.0221</v>
      </c>
      <c r="J1044" s="89">
        <v>22.96</v>
      </c>
      <c r="K1044" s="89">
        <f>average(0.72, 0.79, 0.62, 0.64)</f>
        <v>0.6925</v>
      </c>
      <c r="L1044" s="90"/>
      <c r="M1044" s="90">
        <v>44816.0</v>
      </c>
      <c r="N1044" s="93" t="s">
        <v>199</v>
      </c>
      <c r="O1044" s="92">
        <v>2.307</v>
      </c>
    </row>
    <row r="1045">
      <c r="A1045" s="88" t="s">
        <v>183</v>
      </c>
      <c r="B1045" s="89">
        <v>2365.0</v>
      </c>
      <c r="C1045" s="89">
        <v>3.0</v>
      </c>
      <c r="D1045" s="89">
        <v>0.0</v>
      </c>
      <c r="E1045" s="88"/>
      <c r="F1045" s="89">
        <v>0.0699</v>
      </c>
      <c r="G1045" s="89">
        <v>0.0535</v>
      </c>
      <c r="H1045" s="89">
        <v>0.0585</v>
      </c>
      <c r="I1045" s="89">
        <v>0.0407</v>
      </c>
      <c r="J1045" s="89">
        <v>9.51</v>
      </c>
      <c r="K1045" s="89">
        <f>average(1.15, 1.29, 1.19, 1.29)</f>
        <v>1.23</v>
      </c>
      <c r="L1045" s="90"/>
      <c r="M1045" s="90">
        <v>44816.0</v>
      </c>
      <c r="N1045" s="93"/>
      <c r="O1045" s="92">
        <v>4.997</v>
      </c>
    </row>
    <row r="1046">
      <c r="A1046" s="88" t="s">
        <v>183</v>
      </c>
      <c r="B1046" s="89">
        <v>2381.0</v>
      </c>
      <c r="C1046" s="89">
        <v>1.0</v>
      </c>
      <c r="D1046" s="89">
        <v>0.0</v>
      </c>
      <c r="E1046" s="88"/>
      <c r="F1046" s="89">
        <v>0.2749</v>
      </c>
      <c r="G1046" s="89">
        <v>0.1584</v>
      </c>
      <c r="H1046" s="89">
        <v>0.0887</v>
      </c>
      <c r="I1046" s="89">
        <v>0.056</v>
      </c>
      <c r="J1046" s="89">
        <v>11.9</v>
      </c>
      <c r="K1046" s="89">
        <f>average(1.26, 1.54, 1.31, 1.44)</f>
        <v>1.3875</v>
      </c>
      <c r="L1046" s="90"/>
      <c r="M1046" s="90">
        <v>44816.0</v>
      </c>
      <c r="N1046" s="93"/>
      <c r="O1046" s="92">
        <v>12.192</v>
      </c>
    </row>
    <row r="1047">
      <c r="A1047" s="88" t="s">
        <v>183</v>
      </c>
      <c r="B1047" s="89">
        <v>2086.0</v>
      </c>
      <c r="C1047" s="89">
        <v>3.0</v>
      </c>
      <c r="D1047" s="89">
        <v>0.0</v>
      </c>
      <c r="E1047" s="88"/>
      <c r="F1047" s="89">
        <v>1.0246</v>
      </c>
      <c r="G1047" s="89">
        <v>0.606</v>
      </c>
      <c r="H1047" s="89">
        <v>0.2007</v>
      </c>
      <c r="I1047" s="89">
        <v>0.1177</v>
      </c>
      <c r="J1047" s="89">
        <v>20.7</v>
      </c>
      <c r="K1047" s="89">
        <f>average(1.77, 2.08, 1.75, 2.02)</f>
        <v>1.905</v>
      </c>
      <c r="L1047" s="90"/>
      <c r="M1047" s="90">
        <v>44816.0</v>
      </c>
      <c r="N1047" s="93"/>
      <c r="O1047" s="92">
        <v>37.309</v>
      </c>
    </row>
    <row r="1048">
      <c r="A1048" s="88" t="s">
        <v>183</v>
      </c>
      <c r="B1048" s="89">
        <v>2088.0</v>
      </c>
      <c r="C1048" s="89">
        <v>1.0</v>
      </c>
      <c r="D1048" s="89">
        <v>0.0</v>
      </c>
      <c r="E1048" s="88"/>
      <c r="F1048" s="89">
        <v>0.7102</v>
      </c>
      <c r="G1048" s="89">
        <v>0.3192</v>
      </c>
      <c r="H1048" s="89">
        <v>0.1131</v>
      </c>
      <c r="I1048" s="89">
        <v>0.0561</v>
      </c>
      <c r="J1048" s="89">
        <v>12.02</v>
      </c>
      <c r="K1048" s="89">
        <f>average(1.79, 1.81, 2.06, 1.97)</f>
        <v>1.9075</v>
      </c>
      <c r="L1048" s="90"/>
      <c r="M1048" s="90">
        <v>44816.0</v>
      </c>
      <c r="N1048" s="93"/>
      <c r="O1048" s="92">
        <v>19.954</v>
      </c>
    </row>
    <row r="1049">
      <c r="A1049" s="88" t="s">
        <v>183</v>
      </c>
      <c r="B1049" s="89">
        <v>2090.0</v>
      </c>
      <c r="C1049" s="89">
        <v>2.0</v>
      </c>
      <c r="D1049" s="89">
        <v>0.0</v>
      </c>
      <c r="E1049" s="88"/>
      <c r="F1049" s="89">
        <v>0.4466</v>
      </c>
      <c r="G1049" s="89">
        <v>0.2735</v>
      </c>
      <c r="H1049" s="89">
        <v>0.1219</v>
      </c>
      <c r="I1049" s="89">
        <v>0.0668</v>
      </c>
      <c r="J1049" s="89">
        <v>18.5</v>
      </c>
      <c r="K1049" s="89">
        <f>average(1.94, 1.89, 1.7, 1.89)</f>
        <v>1.855</v>
      </c>
      <c r="L1049" s="90"/>
      <c r="M1049" s="90">
        <v>44816.0</v>
      </c>
      <c r="N1049" s="93"/>
      <c r="O1049" s="92">
        <v>19.7</v>
      </c>
    </row>
    <row r="1050">
      <c r="A1050" s="88" t="s">
        <v>183</v>
      </c>
      <c r="B1050" s="89">
        <v>2090.0</v>
      </c>
      <c r="C1050" s="89">
        <v>1.0</v>
      </c>
      <c r="D1050" s="89">
        <v>0.0</v>
      </c>
      <c r="E1050" s="88"/>
      <c r="F1050" s="89">
        <v>0.8312</v>
      </c>
      <c r="G1050" s="89">
        <v>0.5035</v>
      </c>
      <c r="H1050" s="89">
        <v>0.0694</v>
      </c>
      <c r="I1050" s="89">
        <v>0.0413</v>
      </c>
      <c r="J1050" s="89">
        <v>11.14</v>
      </c>
      <c r="K1050" s="89">
        <f>average(1.82, 1.73, 1.86, 1.66)</f>
        <v>1.7675</v>
      </c>
      <c r="L1050" s="90"/>
      <c r="M1050" s="90">
        <v>44816.0</v>
      </c>
      <c r="N1050" s="93"/>
      <c r="O1050" s="92">
        <v>32.48</v>
      </c>
    </row>
    <row r="1051">
      <c r="A1051" s="88" t="s">
        <v>57</v>
      </c>
      <c r="B1051" s="89">
        <v>2091.0</v>
      </c>
      <c r="C1051" s="89">
        <v>1.0</v>
      </c>
      <c r="D1051" s="89">
        <v>0.0</v>
      </c>
      <c r="E1051" s="88"/>
      <c r="F1051" s="89">
        <v>3.549</v>
      </c>
      <c r="G1051" s="89">
        <v>2.02</v>
      </c>
      <c r="H1051" s="89">
        <v>1.0513</v>
      </c>
      <c r="I1051" s="89">
        <v>0.5867</v>
      </c>
      <c r="J1051" s="89">
        <v>79.66</v>
      </c>
      <c r="K1051" s="89">
        <f>average(3.43, 3.66, 3.46, 3.84)</f>
        <v>3.5975</v>
      </c>
      <c r="L1051" s="90"/>
      <c r="M1051" s="90">
        <v>44816.0</v>
      </c>
      <c r="N1051" s="93"/>
      <c r="O1051" s="92">
        <v>107.905</v>
      </c>
    </row>
    <row r="1052">
      <c r="A1052" s="88" t="s">
        <v>183</v>
      </c>
      <c r="B1052" s="89">
        <v>2086.0</v>
      </c>
      <c r="C1052" s="89">
        <v>2.0</v>
      </c>
      <c r="D1052" s="89">
        <v>0.0</v>
      </c>
      <c r="E1052" s="88"/>
      <c r="F1052" s="89">
        <v>0.9237</v>
      </c>
      <c r="G1052" s="89">
        <v>0.5735</v>
      </c>
      <c r="H1052" s="89">
        <v>0.1739</v>
      </c>
      <c r="I1052" s="89">
        <v>0.1061</v>
      </c>
      <c r="J1052" s="89">
        <v>23.84</v>
      </c>
      <c r="K1052" s="89">
        <f>average(1.4, 1.32, 1.42, 1.36)</f>
        <v>1.375</v>
      </c>
      <c r="L1052" s="90"/>
      <c r="M1052" s="90">
        <v>44816.0</v>
      </c>
      <c r="N1052" s="93"/>
      <c r="O1052" s="92">
        <v>35.136</v>
      </c>
    </row>
    <row r="1053">
      <c r="A1053" s="88" t="s">
        <v>183</v>
      </c>
      <c r="B1053" s="89">
        <v>2086.0</v>
      </c>
      <c r="C1053" s="89">
        <v>1.0</v>
      </c>
      <c r="D1053" s="89">
        <v>0.0</v>
      </c>
      <c r="E1053" s="88"/>
      <c r="F1053" s="89">
        <v>0.6977</v>
      </c>
      <c r="G1053" s="89">
        <v>0.4064</v>
      </c>
      <c r="H1053" s="89">
        <v>0.1498</v>
      </c>
      <c r="I1053" s="89">
        <v>0.0875</v>
      </c>
      <c r="J1053" s="89">
        <v>19.7</v>
      </c>
      <c r="K1053" s="89">
        <f>average(2.26, 2.6, 2.3, 2.37)</f>
        <v>2.3825</v>
      </c>
      <c r="L1053" s="90"/>
      <c r="M1053" s="90">
        <v>44816.0</v>
      </c>
      <c r="N1053" s="93" t="s">
        <v>199</v>
      </c>
      <c r="O1053" s="92">
        <v>26.941</v>
      </c>
    </row>
    <row r="1054">
      <c r="A1054" s="88" t="s">
        <v>183</v>
      </c>
      <c r="B1054" s="89">
        <v>2088.0</v>
      </c>
      <c r="C1054" s="89">
        <v>3.0</v>
      </c>
      <c r="D1054" s="89">
        <v>0.0</v>
      </c>
      <c r="E1054" s="88"/>
      <c r="F1054" s="89">
        <v>0.0542</v>
      </c>
      <c r="G1054" s="89">
        <v>0.0389</v>
      </c>
      <c r="H1054" s="89">
        <v>0.0563</v>
      </c>
      <c r="I1054" s="89">
        <v>0.0406</v>
      </c>
      <c r="J1054" s="89">
        <v>11.16</v>
      </c>
      <c r="K1054" s="89">
        <f>average(1.74, 1.8, 1.75, 1.88)</f>
        <v>1.7925</v>
      </c>
      <c r="L1054" s="90"/>
      <c r="M1054" s="90">
        <v>44816.0</v>
      </c>
      <c r="N1054" s="93"/>
      <c r="O1054" s="92">
        <v>2.825</v>
      </c>
    </row>
    <row r="1055">
      <c r="A1055" s="88" t="s">
        <v>183</v>
      </c>
      <c r="B1055" s="89">
        <v>2088.0</v>
      </c>
      <c r="C1055" s="89">
        <v>2.0</v>
      </c>
      <c r="D1055" s="89">
        <v>0.0</v>
      </c>
      <c r="E1055" s="88"/>
      <c r="F1055" s="89">
        <v>0.2149</v>
      </c>
      <c r="G1055" s="89">
        <v>0.15</v>
      </c>
      <c r="H1055" s="89">
        <v>0.0768</v>
      </c>
      <c r="I1055" s="89">
        <v>0.0525</v>
      </c>
      <c r="J1055" s="89">
        <v>13.29</v>
      </c>
      <c r="K1055" s="89">
        <f>average(1.63, 1.72, 1.75, 1.78)</f>
        <v>1.72</v>
      </c>
      <c r="L1055" s="90"/>
      <c r="M1055" s="90">
        <v>44816.0</v>
      </c>
      <c r="N1055" s="93"/>
      <c r="O1055" s="92">
        <v>9.033</v>
      </c>
    </row>
    <row r="1056">
      <c r="A1056" s="88" t="s">
        <v>183</v>
      </c>
      <c r="B1056" s="89">
        <v>2085.0</v>
      </c>
      <c r="C1056" s="89">
        <v>3.0</v>
      </c>
      <c r="D1056" s="89">
        <v>0.0</v>
      </c>
      <c r="E1056" s="88"/>
      <c r="F1056" s="89">
        <v>0.9575</v>
      </c>
      <c r="G1056" s="89">
        <v>0.5902</v>
      </c>
      <c r="H1056" s="89">
        <v>0.1693</v>
      </c>
      <c r="I1056" s="89">
        <v>0.101</v>
      </c>
      <c r="J1056" s="89">
        <v>18.82</v>
      </c>
      <c r="K1056" s="89">
        <f>average(2.2, 2.44, 2.53, 2.21)</f>
        <v>2.345</v>
      </c>
      <c r="L1056" s="90"/>
      <c r="M1056" s="90">
        <v>44816.0</v>
      </c>
      <c r="N1056" s="93"/>
      <c r="O1056" s="92">
        <v>33.523</v>
      </c>
    </row>
    <row r="1057">
      <c r="A1057" s="88" t="s">
        <v>183</v>
      </c>
      <c r="B1057" s="89">
        <v>2085.0</v>
      </c>
      <c r="C1057" s="89">
        <v>2.0</v>
      </c>
      <c r="D1057" s="89">
        <v>0.0</v>
      </c>
      <c r="E1057" s="88"/>
      <c r="F1057" s="89">
        <v>0.3229</v>
      </c>
      <c r="G1057" s="89">
        <v>0.1912</v>
      </c>
      <c r="H1057" s="89">
        <v>0.0885</v>
      </c>
      <c r="I1057" s="89">
        <v>0.0558</v>
      </c>
      <c r="J1057" s="89">
        <v>15.35</v>
      </c>
      <c r="K1057" s="89">
        <f>average(1.55, 1.28, 1.37, 1.25)</f>
        <v>1.3625</v>
      </c>
      <c r="L1057" s="90"/>
      <c r="M1057" s="90">
        <v>44816.0</v>
      </c>
      <c r="N1057" s="93"/>
      <c r="O1057" s="92">
        <v>12.415</v>
      </c>
    </row>
    <row r="1058">
      <c r="A1058" s="88" t="s">
        <v>183</v>
      </c>
      <c r="B1058" s="89">
        <v>2085.0</v>
      </c>
      <c r="C1058" s="89">
        <v>1.0</v>
      </c>
      <c r="D1058" s="89">
        <v>0.0</v>
      </c>
      <c r="E1058" s="88"/>
      <c r="F1058" s="89">
        <v>1.761</v>
      </c>
      <c r="G1058" s="89">
        <v>1.0276</v>
      </c>
      <c r="H1058" s="89">
        <v>0.4937</v>
      </c>
      <c r="I1058" s="89">
        <v>0.3023</v>
      </c>
      <c r="J1058" s="89">
        <v>16.1</v>
      </c>
      <c r="K1058" s="89">
        <f>average(1.08, 1.27, 1.23, 1.08)</f>
        <v>1.165</v>
      </c>
      <c r="L1058" s="90"/>
      <c r="M1058" s="90">
        <v>44816.0</v>
      </c>
      <c r="N1058" s="93"/>
      <c r="O1058" s="92">
        <v>63.547</v>
      </c>
    </row>
    <row r="1059">
      <c r="A1059" s="88" t="s">
        <v>57</v>
      </c>
      <c r="B1059" s="89">
        <v>2093.0</v>
      </c>
      <c r="C1059" s="89">
        <v>2.0</v>
      </c>
      <c r="D1059" s="89">
        <v>0.0</v>
      </c>
      <c r="E1059" s="88"/>
      <c r="F1059" s="89">
        <v>1.0213</v>
      </c>
      <c r="G1059" s="89">
        <v>0.7538</v>
      </c>
      <c r="H1059" s="89">
        <v>0.1079</v>
      </c>
      <c r="I1059" s="89">
        <v>0.0682</v>
      </c>
      <c r="J1059" s="89">
        <v>22.38</v>
      </c>
      <c r="K1059" s="89">
        <f>average(1.4, 1.3, 1.76, 1.15)</f>
        <v>1.4025</v>
      </c>
      <c r="L1059" s="90"/>
      <c r="M1059" s="90">
        <v>44816.0</v>
      </c>
      <c r="N1059" s="93"/>
      <c r="O1059" s="92">
        <v>40.755</v>
      </c>
    </row>
    <row r="1060">
      <c r="A1060" s="88" t="s">
        <v>57</v>
      </c>
      <c r="B1060" s="89">
        <v>2093.0</v>
      </c>
      <c r="C1060" s="89">
        <v>2.0</v>
      </c>
      <c r="D1060" s="89">
        <v>1.0</v>
      </c>
      <c r="E1060" s="88"/>
      <c r="F1060" s="89">
        <v>4.5107</v>
      </c>
      <c r="G1060" s="89">
        <v>2.8936</v>
      </c>
      <c r="H1060" s="89">
        <v>0.9899</v>
      </c>
      <c r="I1060" s="89">
        <v>0.6106</v>
      </c>
      <c r="J1060" s="88"/>
      <c r="K1060" s="88"/>
      <c r="L1060" s="90"/>
      <c r="M1060" s="90">
        <v>44816.0</v>
      </c>
      <c r="N1060" s="93" t="s">
        <v>204</v>
      </c>
      <c r="O1060" s="92">
        <v>135.575</v>
      </c>
    </row>
    <row r="1061">
      <c r="A1061" s="88" t="s">
        <v>183</v>
      </c>
      <c r="B1061" s="89">
        <v>2375.0</v>
      </c>
      <c r="C1061" s="89">
        <v>2.0</v>
      </c>
      <c r="D1061" s="89">
        <v>0.0</v>
      </c>
      <c r="E1061" s="88"/>
      <c r="F1061" s="89">
        <v>0.4787</v>
      </c>
      <c r="G1061" s="89">
        <v>0.275</v>
      </c>
      <c r="H1061" s="89">
        <v>0.0452</v>
      </c>
      <c r="I1061" s="89">
        <v>0.0303</v>
      </c>
      <c r="J1061" s="89">
        <v>9.49</v>
      </c>
      <c r="K1061" s="89">
        <f>average(1.33, 1.65, 1.33, 1.39)</f>
        <v>1.425</v>
      </c>
      <c r="L1061" s="90"/>
      <c r="M1061" s="90">
        <v>44816.0</v>
      </c>
      <c r="N1061" s="93" t="s">
        <v>199</v>
      </c>
      <c r="O1061" s="92">
        <v>17.925</v>
      </c>
    </row>
    <row r="1062">
      <c r="A1062" s="88" t="s">
        <v>183</v>
      </c>
      <c r="B1062" s="89">
        <v>2090.0</v>
      </c>
      <c r="C1062" s="89">
        <v>3.0</v>
      </c>
      <c r="D1062" s="89">
        <v>0.0</v>
      </c>
      <c r="E1062" s="88"/>
      <c r="F1062" s="89">
        <v>0.8367</v>
      </c>
      <c r="G1062" s="89">
        <v>0.4985</v>
      </c>
      <c r="H1062" s="89">
        <v>0.2118</v>
      </c>
      <c r="I1062" s="89">
        <v>0.124</v>
      </c>
      <c r="J1062" s="89">
        <v>17.26</v>
      </c>
      <c r="K1062" s="89">
        <f>average(2.44, 2.39, 2.28, 2.44)</f>
        <v>2.3875</v>
      </c>
      <c r="L1062" s="90"/>
      <c r="M1062" s="90">
        <v>44816.0</v>
      </c>
      <c r="N1062" s="93"/>
      <c r="O1062" s="92">
        <v>33.199</v>
      </c>
    </row>
    <row r="1063">
      <c r="A1063" s="88" t="s">
        <v>57</v>
      </c>
      <c r="B1063" s="89">
        <v>2010.0</v>
      </c>
      <c r="C1063" s="89">
        <v>2.0</v>
      </c>
      <c r="D1063" s="89">
        <v>0.0</v>
      </c>
      <c r="E1063" s="88"/>
      <c r="F1063" s="89">
        <v>0.8264</v>
      </c>
      <c r="G1063" s="89">
        <v>0.4708</v>
      </c>
      <c r="H1063" s="89">
        <v>0.1247</v>
      </c>
      <c r="I1063" s="89">
        <v>0.0767</v>
      </c>
      <c r="J1063" s="89">
        <v>22.49</v>
      </c>
      <c r="K1063" s="89">
        <f>average(2.01, 2.01, 2.08, 1.89)</f>
        <v>1.9975</v>
      </c>
      <c r="L1063" s="90"/>
      <c r="M1063" s="90">
        <v>44816.0</v>
      </c>
      <c r="N1063" s="93"/>
      <c r="O1063" s="92">
        <v>32.619</v>
      </c>
    </row>
    <row r="1064">
      <c r="A1064" s="88" t="s">
        <v>183</v>
      </c>
      <c r="B1064" s="89">
        <v>2378.0</v>
      </c>
      <c r="C1064" s="89">
        <v>2.0</v>
      </c>
      <c r="D1064" s="89">
        <v>0.0</v>
      </c>
      <c r="E1064" s="88"/>
      <c r="F1064" s="89">
        <v>0.971</v>
      </c>
      <c r="G1064" s="89">
        <v>0.5789</v>
      </c>
      <c r="H1064" s="89">
        <v>0.254</v>
      </c>
      <c r="I1064" s="89">
        <v>0.1584</v>
      </c>
      <c r="J1064" s="89">
        <v>20.85</v>
      </c>
      <c r="K1064" s="89">
        <f>average(1.54, 1.58, 1.64, 1.35)</f>
        <v>1.5275</v>
      </c>
      <c r="L1064" s="90"/>
      <c r="M1064" s="90">
        <v>44816.0</v>
      </c>
      <c r="N1064" s="93"/>
      <c r="O1064" s="92">
        <v>42.295</v>
      </c>
    </row>
    <row r="1065">
      <c r="A1065" s="88" t="s">
        <v>183</v>
      </c>
      <c r="B1065" s="89">
        <v>2088.0</v>
      </c>
      <c r="C1065" s="88"/>
      <c r="D1065" s="89">
        <v>0.0</v>
      </c>
      <c r="E1065" s="88"/>
      <c r="F1065" s="89">
        <v>0.3703</v>
      </c>
      <c r="G1065" s="89">
        <v>0.2671</v>
      </c>
      <c r="H1065" s="89">
        <v>0.0771</v>
      </c>
      <c r="I1065" s="89">
        <v>0.0537</v>
      </c>
      <c r="J1065" s="89">
        <v>11.8</v>
      </c>
      <c r="K1065" s="89">
        <f>average(1.61, 1.58, 1.71, 1.81)</f>
        <v>1.6775</v>
      </c>
      <c r="L1065" s="90"/>
      <c r="M1065" s="90">
        <v>44816.0</v>
      </c>
      <c r="N1065" s="93" t="s">
        <v>205</v>
      </c>
      <c r="O1065" s="92">
        <v>17.169</v>
      </c>
    </row>
    <row r="1066">
      <c r="A1066" s="88" t="s">
        <v>183</v>
      </c>
      <c r="B1066" s="89">
        <v>2027.0</v>
      </c>
      <c r="C1066" s="89">
        <v>2.0</v>
      </c>
      <c r="D1066" s="89">
        <v>0.0</v>
      </c>
      <c r="E1066" s="88"/>
      <c r="F1066" s="89">
        <v>0.2087</v>
      </c>
      <c r="G1066" s="89">
        <v>0.1229</v>
      </c>
      <c r="H1066" s="89">
        <v>0.2601</v>
      </c>
      <c r="I1066" s="89">
        <v>0.1679</v>
      </c>
      <c r="J1066" s="89">
        <v>19.66</v>
      </c>
      <c r="K1066" s="89">
        <f>average(1.58, 1.86, 1.6, 1.85)</f>
        <v>1.7225</v>
      </c>
      <c r="L1066" s="90"/>
      <c r="M1066" s="90">
        <v>44816.0</v>
      </c>
      <c r="N1066" s="93" t="s">
        <v>199</v>
      </c>
      <c r="O1066" s="92">
        <v>9.583</v>
      </c>
    </row>
    <row r="1067">
      <c r="A1067" s="88" t="s">
        <v>57</v>
      </c>
      <c r="B1067" s="89">
        <v>2093.0</v>
      </c>
      <c r="C1067" s="89">
        <v>1.0</v>
      </c>
      <c r="D1067" s="89">
        <v>1.0</v>
      </c>
      <c r="E1067" s="88"/>
      <c r="F1067" s="89">
        <v>0.7776</v>
      </c>
      <c r="G1067" s="89">
        <v>0.5223</v>
      </c>
      <c r="H1067" s="89">
        <v>0.4738</v>
      </c>
      <c r="I1067" s="89">
        <v>0.2949</v>
      </c>
      <c r="J1067" s="89">
        <v>87.4</v>
      </c>
      <c r="K1067" s="89">
        <f>average(2.08, 2.04, 2.05, 2.18)</f>
        <v>2.0875</v>
      </c>
      <c r="L1067" s="90"/>
      <c r="M1067" s="90">
        <v>44816.0</v>
      </c>
      <c r="N1067" s="93" t="s">
        <v>199</v>
      </c>
      <c r="O1067" s="92">
        <v>24.462</v>
      </c>
    </row>
    <row r="1068">
      <c r="A1068" s="88" t="s">
        <v>57</v>
      </c>
      <c r="B1068" s="89">
        <v>2093.0</v>
      </c>
      <c r="C1068" s="89">
        <v>1.0</v>
      </c>
      <c r="D1068" s="89">
        <v>0.0</v>
      </c>
      <c r="E1068" s="88"/>
      <c r="F1068" s="89">
        <v>1.5379</v>
      </c>
      <c r="G1068" s="89">
        <v>0.0497</v>
      </c>
      <c r="H1068" s="89">
        <v>0.1039</v>
      </c>
      <c r="I1068" s="89">
        <v>0.0668</v>
      </c>
      <c r="J1068" s="89">
        <v>10.22</v>
      </c>
      <c r="K1068" s="89">
        <f>average(1.02, 0.96, 1.07, 0.81)</f>
        <v>0.965</v>
      </c>
      <c r="L1068" s="90"/>
      <c r="M1068" s="90">
        <v>44816.0</v>
      </c>
      <c r="N1068" s="93"/>
      <c r="O1068" s="92">
        <v>52.43</v>
      </c>
    </row>
    <row r="1069">
      <c r="A1069" s="88" t="s">
        <v>183</v>
      </c>
      <c r="B1069" s="89">
        <v>2354.0</v>
      </c>
      <c r="C1069" s="89">
        <v>3.0</v>
      </c>
      <c r="D1069" s="89">
        <v>0.0</v>
      </c>
      <c r="E1069" s="88"/>
      <c r="F1069" s="89">
        <v>0.2422</v>
      </c>
      <c r="G1069" s="89">
        <v>0.1418</v>
      </c>
      <c r="H1069" s="89">
        <v>0.0348</v>
      </c>
      <c r="I1069" s="89">
        <v>0.0202</v>
      </c>
      <c r="J1069" s="89">
        <v>21.86</v>
      </c>
      <c r="K1069" s="89">
        <f>average(0.98, 1.07, 1.03, 1.1)</f>
        <v>1.045</v>
      </c>
      <c r="L1069" s="90"/>
      <c r="M1069" s="90">
        <v>44816.0</v>
      </c>
      <c r="N1069" s="93" t="s">
        <v>199</v>
      </c>
      <c r="O1069" s="92">
        <v>13.467</v>
      </c>
    </row>
    <row r="1070">
      <c r="A1070" s="88" t="s">
        <v>183</v>
      </c>
      <c r="B1070" s="89">
        <v>2384.0</v>
      </c>
      <c r="C1070" s="89">
        <v>3.0</v>
      </c>
      <c r="D1070" s="89">
        <v>0.0</v>
      </c>
      <c r="E1070" s="88"/>
      <c r="F1070" s="89">
        <v>0.168</v>
      </c>
      <c r="G1070" s="89">
        <v>0.1041</v>
      </c>
      <c r="H1070" s="89">
        <v>0.0103</v>
      </c>
      <c r="I1070" s="89">
        <v>0.0073</v>
      </c>
      <c r="J1070" s="89">
        <v>5.89</v>
      </c>
      <c r="K1070" s="89">
        <f>average(1.28, 1.3, 1.29, 1.3)</f>
        <v>1.2925</v>
      </c>
      <c r="L1070" s="90"/>
      <c r="M1070" s="90">
        <v>44816.0</v>
      </c>
      <c r="N1070" s="93"/>
      <c r="O1070" s="92">
        <v>0.584</v>
      </c>
    </row>
    <row r="1071">
      <c r="A1071" s="88" t="s">
        <v>183</v>
      </c>
      <c r="B1071" s="89">
        <v>2381.0</v>
      </c>
      <c r="C1071" s="89">
        <v>2.0</v>
      </c>
      <c r="D1071" s="89">
        <v>0.0</v>
      </c>
      <c r="E1071" s="88"/>
      <c r="F1071" s="89">
        <v>0.268</v>
      </c>
      <c r="G1071" s="89">
        <v>0.1603</v>
      </c>
      <c r="H1071" s="89">
        <v>0.0923</v>
      </c>
      <c r="I1071" s="89">
        <v>0.061</v>
      </c>
      <c r="J1071" s="89">
        <v>13.3</v>
      </c>
      <c r="K1071" s="89">
        <f>average(1.35, 1.73, 1.59, 1.45)</f>
        <v>1.53</v>
      </c>
      <c r="L1071" s="90"/>
      <c r="M1071" s="90">
        <v>44816.0</v>
      </c>
      <c r="N1071" s="93"/>
      <c r="O1071" s="92">
        <v>9.948</v>
      </c>
    </row>
    <row r="1072">
      <c r="A1072" s="88" t="s">
        <v>183</v>
      </c>
      <c r="B1072" s="89">
        <v>2384.0</v>
      </c>
      <c r="C1072" s="89">
        <v>2.0</v>
      </c>
      <c r="D1072" s="89">
        <v>0.0</v>
      </c>
      <c r="E1072" s="88"/>
      <c r="F1072" s="89">
        <v>0.2797</v>
      </c>
      <c r="G1072" s="89">
        <v>0.1701</v>
      </c>
      <c r="H1072" s="89">
        <v>0.0311</v>
      </c>
      <c r="I1072" s="89">
        <v>0.0202</v>
      </c>
      <c r="J1072" s="89">
        <v>12.17</v>
      </c>
      <c r="K1072" s="89">
        <f>average(0.99, 0.86, 1.07, 0.86)</f>
        <v>0.945</v>
      </c>
      <c r="L1072" s="90"/>
      <c r="M1072" s="90">
        <v>44816.0</v>
      </c>
      <c r="N1072" s="93"/>
      <c r="O1072" s="92">
        <v>12.742</v>
      </c>
    </row>
    <row r="1073">
      <c r="A1073" s="88" t="s">
        <v>183</v>
      </c>
      <c r="B1073" s="89">
        <v>2384.0</v>
      </c>
      <c r="C1073" s="89">
        <v>1.0</v>
      </c>
      <c r="D1073" s="89">
        <v>0.0</v>
      </c>
      <c r="E1073" s="88"/>
      <c r="F1073" s="89">
        <v>0.5517</v>
      </c>
      <c r="G1073" s="89">
        <v>0.3382</v>
      </c>
      <c r="H1073" s="89">
        <v>0.0826</v>
      </c>
      <c r="I1073" s="89">
        <v>0.0521</v>
      </c>
      <c r="J1073" s="89">
        <v>21.16</v>
      </c>
      <c r="K1073" s="89">
        <f>average(1.39, 1.27, 1.36, 1.23)</f>
        <v>1.3125</v>
      </c>
      <c r="L1073" s="90"/>
      <c r="M1073" s="90">
        <v>44816.0</v>
      </c>
      <c r="N1073" s="93" t="s">
        <v>199</v>
      </c>
      <c r="O1073" s="92">
        <v>24.591</v>
      </c>
    </row>
    <row r="1074">
      <c r="A1074" s="88" t="s">
        <v>57</v>
      </c>
      <c r="B1074" s="89">
        <v>2091.0</v>
      </c>
      <c r="C1074" s="89">
        <v>1.0</v>
      </c>
      <c r="D1074" s="89">
        <v>1.0</v>
      </c>
      <c r="E1074" s="88"/>
      <c r="F1074" s="89">
        <v>0.5291</v>
      </c>
      <c r="G1074" s="89">
        <v>0.3317</v>
      </c>
      <c r="H1074" s="89">
        <v>0.567</v>
      </c>
      <c r="I1074" s="89">
        <v>0.3231</v>
      </c>
      <c r="J1074" s="89">
        <v>37.07</v>
      </c>
      <c r="K1074" s="89">
        <f>average(4.02, 4.45, 3.96, 4.15)</f>
        <v>4.145</v>
      </c>
      <c r="L1074" s="90"/>
      <c r="M1074" s="90">
        <v>44816.0</v>
      </c>
      <c r="N1074" s="93"/>
      <c r="O1074" s="92">
        <v>15.735</v>
      </c>
    </row>
    <row r="1075">
      <c r="A1075" s="88" t="s">
        <v>57</v>
      </c>
      <c r="B1075" s="89">
        <v>2029.0</v>
      </c>
      <c r="C1075" s="89">
        <v>1.0</v>
      </c>
      <c r="D1075" s="89">
        <v>0.0</v>
      </c>
      <c r="E1075" s="88"/>
      <c r="F1075" s="89">
        <v>1.5454</v>
      </c>
      <c r="G1075" s="89">
        <v>0.9186</v>
      </c>
      <c r="H1075" s="89">
        <v>0.0671</v>
      </c>
      <c r="I1075" s="89">
        <v>0.0449</v>
      </c>
      <c r="J1075" s="89">
        <v>21.56</v>
      </c>
      <c r="K1075" s="89">
        <f>average(1.51, 1.69, 1.51, 1.69)</f>
        <v>1.6</v>
      </c>
      <c r="L1075" s="90"/>
      <c r="M1075" s="90">
        <v>44816.0</v>
      </c>
      <c r="N1075" s="93"/>
      <c r="O1075" s="92">
        <v>51.561</v>
      </c>
    </row>
    <row r="1076">
      <c r="A1076" s="88" t="s">
        <v>183</v>
      </c>
      <c r="B1076" s="89">
        <v>2020.0</v>
      </c>
      <c r="C1076" s="89">
        <v>1.0</v>
      </c>
      <c r="D1076" s="89">
        <v>0.0</v>
      </c>
      <c r="E1076" s="88"/>
      <c r="F1076" s="89">
        <v>0.2153</v>
      </c>
      <c r="G1076" s="89">
        <v>0.1265</v>
      </c>
      <c r="H1076" s="89">
        <v>0.0722</v>
      </c>
      <c r="I1076" s="89">
        <v>0.0389</v>
      </c>
      <c r="J1076" s="89">
        <v>8.8</v>
      </c>
      <c r="K1076" s="89">
        <f>average(1.62, 1.63, 1.46, 1.71)</f>
        <v>1.605</v>
      </c>
      <c r="L1076" s="90"/>
      <c r="M1076" s="90">
        <v>44816.0</v>
      </c>
      <c r="N1076" s="93"/>
      <c r="O1076" s="92">
        <v>0.82</v>
      </c>
    </row>
    <row r="1077">
      <c r="A1077" s="88" t="s">
        <v>183</v>
      </c>
      <c r="B1077" s="89">
        <v>2347.0</v>
      </c>
      <c r="C1077" s="89">
        <v>2.0</v>
      </c>
      <c r="D1077" s="89">
        <v>0.0</v>
      </c>
      <c r="E1077" s="88"/>
      <c r="F1077" s="89">
        <v>0.3482</v>
      </c>
      <c r="G1077" s="89">
        <v>0.2099</v>
      </c>
      <c r="H1077" s="89">
        <v>0.041</v>
      </c>
      <c r="I1077" s="89">
        <v>0.0266</v>
      </c>
      <c r="J1077" s="89">
        <v>15.06</v>
      </c>
      <c r="K1077" s="89">
        <f>average(0.93, 0.94, 0.93, 0.95)</f>
        <v>0.9375</v>
      </c>
      <c r="L1077" s="90"/>
      <c r="M1077" s="90">
        <v>44816.0</v>
      </c>
      <c r="N1077" s="93"/>
      <c r="O1077" s="92">
        <v>2.015</v>
      </c>
    </row>
    <row r="1078">
      <c r="A1078" s="88" t="s">
        <v>183</v>
      </c>
      <c r="B1078" s="89">
        <v>2347.0</v>
      </c>
      <c r="C1078" s="89">
        <v>1.0</v>
      </c>
      <c r="D1078" s="89">
        <v>0.0</v>
      </c>
      <c r="E1078" s="88"/>
      <c r="F1078" s="89">
        <v>0.396</v>
      </c>
      <c r="G1078" s="89">
        <v>0.2372</v>
      </c>
      <c r="H1078" s="89">
        <v>0.0473</v>
      </c>
      <c r="I1078" s="89">
        <v>0.0298</v>
      </c>
      <c r="J1078" s="89">
        <v>23.03</v>
      </c>
      <c r="K1078" s="89">
        <f>average(0.89, 0.93, 0.78, 0.88)</f>
        <v>0.87</v>
      </c>
      <c r="L1078" s="90"/>
      <c r="M1078" s="90">
        <v>44816.0</v>
      </c>
      <c r="N1078" s="93"/>
      <c r="O1078" s="92">
        <v>2.153</v>
      </c>
    </row>
    <row r="1079">
      <c r="A1079" s="88" t="s">
        <v>57</v>
      </c>
      <c r="B1079" s="89">
        <v>2009.0</v>
      </c>
      <c r="C1079" s="89">
        <v>1.0</v>
      </c>
      <c r="D1079" s="89">
        <v>0.0</v>
      </c>
      <c r="E1079" s="88"/>
      <c r="F1079" s="89">
        <v>0.7625</v>
      </c>
      <c r="G1079" s="89">
        <v>0.3298</v>
      </c>
      <c r="H1079" s="89">
        <v>0.2435</v>
      </c>
      <c r="I1079" s="89">
        <v>0.0413</v>
      </c>
      <c r="J1079" s="89">
        <v>18.87</v>
      </c>
      <c r="K1079" s="89">
        <f>average(1.51, 1.11, 1.42, 1.16)</f>
        <v>1.3</v>
      </c>
      <c r="L1079" s="90"/>
      <c r="M1079" s="90">
        <v>44816.0</v>
      </c>
      <c r="N1079" s="93"/>
      <c r="O1079" s="92">
        <v>25.006</v>
      </c>
    </row>
    <row r="1080">
      <c r="A1080" s="95" t="s">
        <v>183</v>
      </c>
      <c r="B1080" s="96">
        <v>2378.0</v>
      </c>
      <c r="C1080" s="96">
        <v>1.0</v>
      </c>
      <c r="D1080" s="96">
        <v>0.0</v>
      </c>
      <c r="E1080" s="95" t="s">
        <v>186</v>
      </c>
      <c r="F1080" s="96">
        <v>0.3778</v>
      </c>
      <c r="G1080" s="96">
        <v>0.2243</v>
      </c>
      <c r="H1080" s="96">
        <v>0.0664</v>
      </c>
      <c r="I1080" s="96">
        <v>0.0424</v>
      </c>
      <c r="J1080" s="96">
        <v>16.08</v>
      </c>
      <c r="K1080" s="96">
        <f>average(1.96, 1.98, 1.79, 1.88)</f>
        <v>1.9025</v>
      </c>
      <c r="L1080" s="97"/>
      <c r="M1080" s="97">
        <v>44816.0</v>
      </c>
      <c r="N1080" s="98" t="s">
        <v>206</v>
      </c>
      <c r="O1080" s="99">
        <v>16.652</v>
      </c>
    </row>
    <row r="1081">
      <c r="A1081" s="88" t="s">
        <v>183</v>
      </c>
      <c r="B1081" s="89">
        <v>2378.0</v>
      </c>
      <c r="C1081" s="89">
        <v>1.0</v>
      </c>
      <c r="D1081" s="89">
        <v>0.0</v>
      </c>
      <c r="E1081" s="88" t="s">
        <v>184</v>
      </c>
      <c r="F1081" s="89">
        <v>0.4088</v>
      </c>
      <c r="G1081" s="89">
        <v>0.244</v>
      </c>
      <c r="H1081" s="89">
        <v>0.2115</v>
      </c>
      <c r="I1081" s="89">
        <v>0.1327</v>
      </c>
      <c r="J1081" s="89">
        <v>48.25</v>
      </c>
      <c r="K1081" s="89">
        <f>average(2.36, 2.17, 2.34, 2.11)</f>
        <v>2.245</v>
      </c>
      <c r="L1081" s="90"/>
      <c r="M1081" s="90">
        <v>44816.0</v>
      </c>
      <c r="N1081" s="93" t="s">
        <v>199</v>
      </c>
      <c r="O1081" s="92">
        <v>18.105</v>
      </c>
    </row>
    <row r="1082">
      <c r="A1082" s="88" t="s">
        <v>57</v>
      </c>
      <c r="B1082" s="89">
        <v>2030.0</v>
      </c>
      <c r="C1082" s="89">
        <v>2.0</v>
      </c>
      <c r="D1082" s="89">
        <v>0.0</v>
      </c>
      <c r="E1082" s="88"/>
      <c r="F1082" s="89">
        <v>0.3979</v>
      </c>
      <c r="G1082" s="89">
        <v>0.2491</v>
      </c>
      <c r="H1082" s="89">
        <v>0.0841</v>
      </c>
      <c r="I1082" s="89">
        <v>0.0591</v>
      </c>
      <c r="J1082" s="89">
        <v>22.8</v>
      </c>
      <c r="K1082" s="89">
        <f>average(0.9, 0.89, 0.8)</f>
        <v>0.8633333333</v>
      </c>
      <c r="L1082" s="90"/>
      <c r="M1082" s="90">
        <v>44816.0</v>
      </c>
      <c r="N1082" s="93"/>
      <c r="O1082" s="92">
        <v>12.275</v>
      </c>
    </row>
    <row r="1083">
      <c r="A1083" s="88" t="s">
        <v>183</v>
      </c>
      <c r="B1083" s="89">
        <v>2027.0</v>
      </c>
      <c r="C1083" s="89">
        <v>1.0</v>
      </c>
      <c r="D1083" s="89">
        <v>0.0</v>
      </c>
      <c r="E1083" s="88"/>
      <c r="F1083" s="89">
        <v>0.3835</v>
      </c>
      <c r="G1083" s="89">
        <v>0.2325</v>
      </c>
      <c r="H1083" s="89">
        <v>0.0477</v>
      </c>
      <c r="I1083" s="89">
        <v>0.029</v>
      </c>
      <c r="J1083" s="89">
        <v>11.17</v>
      </c>
      <c r="K1083" s="89">
        <f>average(1.15, 1.17, 1.12, 1.3)</f>
        <v>1.185</v>
      </c>
      <c r="L1083" s="90"/>
      <c r="M1083" s="90">
        <v>44816.0</v>
      </c>
      <c r="N1083" s="93"/>
      <c r="O1083" s="92">
        <v>16.647</v>
      </c>
    </row>
    <row r="1084">
      <c r="A1084" s="88" t="s">
        <v>183</v>
      </c>
      <c r="B1084" s="89">
        <v>2379.0</v>
      </c>
      <c r="C1084" s="89">
        <v>3.0</v>
      </c>
      <c r="D1084" s="89">
        <v>0.0</v>
      </c>
      <c r="E1084" s="88"/>
      <c r="F1084" s="89">
        <v>0.5276</v>
      </c>
      <c r="G1084" s="89">
        <v>0.3169</v>
      </c>
      <c r="H1084" s="89">
        <v>0.1535</v>
      </c>
      <c r="I1084" s="89">
        <v>0.1015</v>
      </c>
      <c r="J1084" s="89">
        <v>18.14</v>
      </c>
      <c r="K1084" s="89">
        <f>average(1.67, 1.58, 1.84, 1.65)</f>
        <v>1.685</v>
      </c>
      <c r="L1084" s="90"/>
      <c r="M1084" s="90">
        <v>44816.0</v>
      </c>
      <c r="N1084" s="93"/>
      <c r="O1084" s="92">
        <v>22.043</v>
      </c>
    </row>
    <row r="1085">
      <c r="A1085" s="88" t="s">
        <v>57</v>
      </c>
      <c r="B1085" s="89">
        <v>2365.0</v>
      </c>
      <c r="C1085" s="89">
        <v>2.0</v>
      </c>
      <c r="D1085" s="89">
        <v>1.0</v>
      </c>
      <c r="E1085" s="88"/>
      <c r="F1085" s="89">
        <v>1.0488</v>
      </c>
      <c r="G1085" s="89">
        <v>0.6588</v>
      </c>
      <c r="H1085" s="89">
        <v>0.0932</v>
      </c>
      <c r="I1085" s="89">
        <v>0.0563</v>
      </c>
      <c r="J1085" s="89">
        <v>30.67</v>
      </c>
      <c r="K1085" s="89">
        <f>average(1.67, 1.64, 1.51, 1.64)</f>
        <v>1.615</v>
      </c>
      <c r="L1085" s="90"/>
      <c r="M1085" s="90">
        <v>44816.0</v>
      </c>
      <c r="N1085" s="93"/>
      <c r="O1085" s="92">
        <v>48.453</v>
      </c>
    </row>
    <row r="1086">
      <c r="A1086" s="88" t="s">
        <v>57</v>
      </c>
      <c r="B1086" s="89">
        <v>2022.0</v>
      </c>
      <c r="C1086" s="89">
        <v>1.0</v>
      </c>
      <c r="D1086" s="89">
        <v>1.0</v>
      </c>
      <c r="E1086" s="88"/>
      <c r="F1086" s="89">
        <v>1.2059</v>
      </c>
      <c r="G1086" s="89">
        <v>0.7484</v>
      </c>
      <c r="H1086" s="89">
        <v>0.18</v>
      </c>
      <c r="I1086" s="89">
        <v>0.1003</v>
      </c>
      <c r="J1086" s="89">
        <v>33.16</v>
      </c>
      <c r="K1086" s="89">
        <f>average(1.85, 1.73, 1.85, 2.06)</f>
        <v>1.8725</v>
      </c>
      <c r="L1086" s="90"/>
      <c r="M1086" s="90">
        <v>44816.0</v>
      </c>
      <c r="N1086" s="93"/>
      <c r="O1086" s="92">
        <v>2.455</v>
      </c>
    </row>
    <row r="1087">
      <c r="A1087" s="88" t="s">
        <v>57</v>
      </c>
      <c r="B1087" s="89">
        <v>2022.0</v>
      </c>
      <c r="C1087" s="89">
        <v>1.0</v>
      </c>
      <c r="D1087" s="89">
        <v>0.0</v>
      </c>
      <c r="E1087" s="88" t="s">
        <v>184</v>
      </c>
      <c r="F1087" s="89">
        <v>1.2618</v>
      </c>
      <c r="G1087" s="89">
        <v>0.7835</v>
      </c>
      <c r="H1087" s="89">
        <v>0.0587</v>
      </c>
      <c r="I1087" s="89">
        <v>0.0358</v>
      </c>
      <c r="J1087" s="89">
        <v>23.35</v>
      </c>
      <c r="K1087" s="89">
        <f>average(1.33, 1.42, 1.34, 1.3)</f>
        <v>1.3475</v>
      </c>
      <c r="L1087" s="90"/>
      <c r="M1087" s="90">
        <v>44816.0</v>
      </c>
      <c r="N1087" s="93"/>
      <c r="O1087" s="92">
        <v>3.931</v>
      </c>
    </row>
    <row r="1088">
      <c r="A1088" s="88" t="s">
        <v>57</v>
      </c>
      <c r="B1088" s="89">
        <v>2022.0</v>
      </c>
      <c r="C1088" s="89">
        <v>1.0</v>
      </c>
      <c r="D1088" s="89">
        <v>0.0</v>
      </c>
      <c r="E1088" s="88" t="s">
        <v>185</v>
      </c>
      <c r="F1088" s="89">
        <v>1.2618</v>
      </c>
      <c r="G1088" s="89">
        <v>0.7835</v>
      </c>
      <c r="H1088" s="89">
        <v>0.0435</v>
      </c>
      <c r="I1088" s="89">
        <v>0.0271</v>
      </c>
      <c r="J1088" s="89">
        <v>10.99</v>
      </c>
      <c r="K1088" s="89">
        <f>average(1.99, 1.77, 1.98, 1.89)</f>
        <v>1.9075</v>
      </c>
      <c r="L1088" s="90"/>
      <c r="M1088" s="90">
        <v>44816.0</v>
      </c>
      <c r="N1088" s="93"/>
      <c r="O1088" s="92">
        <v>3.931</v>
      </c>
    </row>
    <row r="1089">
      <c r="A1089" s="88" t="s">
        <v>57</v>
      </c>
      <c r="B1089" s="89">
        <v>2023.0</v>
      </c>
      <c r="C1089" s="89">
        <v>2.0</v>
      </c>
      <c r="D1089" s="89">
        <v>1.0</v>
      </c>
      <c r="E1089" s="88"/>
      <c r="F1089" s="89">
        <v>1.3008</v>
      </c>
      <c r="G1089" s="89">
        <v>0.7927</v>
      </c>
      <c r="H1089" s="89">
        <v>0.2057</v>
      </c>
      <c r="I1089" s="89">
        <v>0.1361</v>
      </c>
      <c r="J1089" s="89">
        <v>61.99</v>
      </c>
      <c r="K1089" s="89">
        <f>average(1.32, 1.58, 1.65, 1.43)</f>
        <v>1.495</v>
      </c>
      <c r="L1089" s="90"/>
      <c r="M1089" s="90">
        <v>44816.0</v>
      </c>
      <c r="N1089" s="93"/>
      <c r="O1089" s="92">
        <v>2.83</v>
      </c>
    </row>
    <row r="1090">
      <c r="A1090" s="88" t="s">
        <v>57</v>
      </c>
      <c r="B1090" s="89">
        <v>2023.0</v>
      </c>
      <c r="C1090" s="89">
        <v>1.0</v>
      </c>
      <c r="D1090" s="89">
        <v>1.0</v>
      </c>
      <c r="E1090" s="88"/>
      <c r="F1090" s="89">
        <v>3.8405</v>
      </c>
      <c r="G1090" s="89">
        <v>2.3146</v>
      </c>
      <c r="H1090" s="89">
        <v>0.4607</v>
      </c>
      <c r="I1090" s="89">
        <v>0.2796</v>
      </c>
      <c r="J1090" s="89">
        <v>78.25</v>
      </c>
      <c r="K1090" s="89">
        <f>average(2.61, 2.29, 2.16, 2.7)</f>
        <v>2.44</v>
      </c>
      <c r="L1090" s="90"/>
      <c r="M1090" s="90">
        <v>44816.0</v>
      </c>
      <c r="N1090" s="93" t="s">
        <v>207</v>
      </c>
      <c r="O1090" s="92">
        <v>7.659</v>
      </c>
    </row>
    <row r="1091">
      <c r="A1091" s="88" t="s">
        <v>57</v>
      </c>
      <c r="B1091" s="89">
        <v>2023.0</v>
      </c>
      <c r="C1091" s="89">
        <v>3.0</v>
      </c>
      <c r="D1091" s="89">
        <v>1.0</v>
      </c>
      <c r="E1091" s="88"/>
      <c r="F1091" s="89">
        <v>2.1686</v>
      </c>
      <c r="G1091" s="89">
        <v>1.3291</v>
      </c>
      <c r="H1091" s="89">
        <v>2.1696</v>
      </c>
      <c r="I1091" s="89">
        <v>0.1148</v>
      </c>
      <c r="J1091" s="89">
        <v>46.44</v>
      </c>
      <c r="K1091" s="89">
        <f>average(2.3, 2.25, 2.46, 2.37)</f>
        <v>2.345</v>
      </c>
      <c r="L1091" s="90"/>
      <c r="M1091" s="90">
        <v>44816.0</v>
      </c>
      <c r="N1091" s="93"/>
      <c r="O1091" s="92">
        <v>4.31</v>
      </c>
    </row>
    <row r="1092">
      <c r="A1092" s="88" t="s">
        <v>57</v>
      </c>
      <c r="B1092" s="89">
        <v>2022.0</v>
      </c>
      <c r="C1092" s="89">
        <v>3.0</v>
      </c>
      <c r="D1092" s="89">
        <v>1.0</v>
      </c>
      <c r="E1092" s="88"/>
      <c r="F1092" s="89">
        <v>1.9092</v>
      </c>
      <c r="G1092" s="89">
        <v>1.1613</v>
      </c>
      <c r="H1092" s="89">
        <v>0.1218</v>
      </c>
      <c r="I1092" s="89">
        <v>0.0728</v>
      </c>
      <c r="J1092" s="89">
        <v>24.93</v>
      </c>
      <c r="K1092" s="89">
        <f>average(1.77, 1.74, 1.73, 1.75)</f>
        <v>1.7475</v>
      </c>
      <c r="L1092" s="90"/>
      <c r="M1092" s="90">
        <v>44817.0</v>
      </c>
      <c r="N1092" s="93"/>
      <c r="O1092" s="92">
        <v>6.246</v>
      </c>
    </row>
    <row r="1093">
      <c r="A1093" s="88" t="s">
        <v>57</v>
      </c>
      <c r="B1093" s="89">
        <v>2022.0</v>
      </c>
      <c r="C1093" s="89">
        <v>2.0</v>
      </c>
      <c r="D1093" s="89">
        <v>1.0</v>
      </c>
      <c r="E1093" s="88"/>
      <c r="F1093" s="89">
        <v>2.83</v>
      </c>
      <c r="G1093" s="89">
        <v>0.9103</v>
      </c>
      <c r="H1093" s="89">
        <v>0.1335</v>
      </c>
      <c r="I1093" s="89">
        <v>0.0828</v>
      </c>
      <c r="J1093" s="89">
        <v>29.3</v>
      </c>
      <c r="K1093" s="89">
        <f>average(1.75, 1.77, 1.8, 1.82)</f>
        <v>1.785</v>
      </c>
      <c r="L1093" s="90"/>
      <c r="M1093" s="90">
        <v>44816.0</v>
      </c>
      <c r="N1093" s="93"/>
      <c r="O1093" s="92">
        <v>14.485</v>
      </c>
    </row>
    <row r="1094">
      <c r="A1094" s="88" t="s">
        <v>183</v>
      </c>
      <c r="B1094" s="89">
        <v>2367.0</v>
      </c>
      <c r="C1094" s="89">
        <v>1.0</v>
      </c>
      <c r="D1094" s="89">
        <v>0.0</v>
      </c>
      <c r="E1094" s="88"/>
      <c r="F1094" s="89">
        <v>0.8383</v>
      </c>
      <c r="G1094" s="89">
        <v>0.5229</v>
      </c>
      <c r="H1094" s="89">
        <v>0.1438</v>
      </c>
      <c r="I1094" s="89">
        <v>0.0956</v>
      </c>
      <c r="J1094" s="89">
        <v>42.85</v>
      </c>
      <c r="K1094" s="89">
        <f>average(1.42, 1.55, 1.64, 1.57)</f>
        <v>1.545</v>
      </c>
      <c r="L1094" s="90"/>
      <c r="M1094" s="90">
        <v>44816.0</v>
      </c>
      <c r="N1094" s="93"/>
      <c r="O1094" s="92">
        <v>4.056</v>
      </c>
    </row>
    <row r="1095">
      <c r="A1095" s="88" t="s">
        <v>57</v>
      </c>
      <c r="B1095" s="89">
        <v>2301.0</v>
      </c>
      <c r="C1095" s="89">
        <v>1.0</v>
      </c>
      <c r="D1095" s="89">
        <v>0.0</v>
      </c>
      <c r="E1095" s="88"/>
      <c r="F1095" s="89">
        <v>0.9142</v>
      </c>
      <c r="G1095" s="89">
        <v>0.5511</v>
      </c>
      <c r="H1095" s="89">
        <v>0.0753</v>
      </c>
      <c r="I1095" s="89">
        <v>0.0469</v>
      </c>
      <c r="J1095" s="89">
        <v>25.6</v>
      </c>
      <c r="K1095" s="89">
        <f>average(1.4, 1.2, 1.45, 1.39)</f>
        <v>1.36</v>
      </c>
      <c r="L1095" s="90"/>
      <c r="M1095" s="90">
        <v>44816.0</v>
      </c>
      <c r="N1095" s="93"/>
      <c r="O1095" s="92">
        <v>29.66</v>
      </c>
    </row>
    <row r="1096">
      <c r="A1096" s="88" t="s">
        <v>183</v>
      </c>
      <c r="B1096" s="89">
        <v>2379.0</v>
      </c>
      <c r="C1096" s="89">
        <v>2.0</v>
      </c>
      <c r="D1096" s="89">
        <v>0.0</v>
      </c>
      <c r="E1096" s="88"/>
      <c r="F1096" s="89">
        <v>0.9912</v>
      </c>
      <c r="G1096" s="89">
        <v>0.6235</v>
      </c>
      <c r="H1096" s="89">
        <v>0.1706</v>
      </c>
      <c r="I1096" s="89">
        <v>0.1094</v>
      </c>
      <c r="J1096" s="89">
        <v>16.96</v>
      </c>
      <c r="K1096" s="89">
        <f>average(1.71, 1.62, 1.77, 1.62)</f>
        <v>1.68</v>
      </c>
      <c r="L1096" s="90"/>
      <c r="M1096" s="90">
        <v>44816.0</v>
      </c>
      <c r="N1096" s="93"/>
      <c r="O1096" s="92">
        <v>41.241</v>
      </c>
    </row>
    <row r="1097">
      <c r="A1097" s="88" t="s">
        <v>183</v>
      </c>
      <c r="B1097" s="89">
        <v>2370.0</v>
      </c>
      <c r="C1097" s="89">
        <v>1.0</v>
      </c>
      <c r="D1097" s="89">
        <v>0.0</v>
      </c>
      <c r="E1097" s="88"/>
      <c r="F1097" s="89">
        <v>0.2599</v>
      </c>
      <c r="G1097" s="89">
        <v>0.1676</v>
      </c>
      <c r="H1097" s="89">
        <v>0.0335</v>
      </c>
      <c r="I1097" s="89">
        <v>0.0222</v>
      </c>
      <c r="J1097" s="89">
        <v>10.36</v>
      </c>
      <c r="K1097" s="89">
        <f>average(1.32, 1.18, 1.29, 1.34)</f>
        <v>1.2825</v>
      </c>
      <c r="L1097" s="90"/>
      <c r="M1097" s="90">
        <v>44816.0</v>
      </c>
      <c r="N1097" s="93"/>
      <c r="O1097" s="92">
        <v>10.941</v>
      </c>
    </row>
    <row r="1098">
      <c r="A1098" s="88" t="s">
        <v>57</v>
      </c>
      <c r="B1098" s="89">
        <v>2369.0</v>
      </c>
      <c r="C1098" s="89">
        <v>1.0</v>
      </c>
      <c r="D1098" s="89">
        <v>1.0</v>
      </c>
      <c r="E1098" s="88"/>
      <c r="F1098" s="89">
        <v>0.1911</v>
      </c>
      <c r="G1098" s="89">
        <v>0.1374</v>
      </c>
      <c r="H1098" s="89">
        <v>0.0643</v>
      </c>
      <c r="I1098" s="89">
        <v>0.043</v>
      </c>
      <c r="J1098" s="89">
        <v>15.12</v>
      </c>
      <c r="K1098" s="89">
        <f>average(1.08, 1.09, 1.11, 1.14)</f>
        <v>1.105</v>
      </c>
      <c r="L1098" s="90"/>
      <c r="M1098" s="90">
        <v>44816.0</v>
      </c>
      <c r="N1098" s="93"/>
      <c r="O1098" s="92">
        <v>10.744</v>
      </c>
    </row>
    <row r="1099">
      <c r="A1099" s="88" t="s">
        <v>183</v>
      </c>
      <c r="B1099" s="89">
        <v>2378.0</v>
      </c>
      <c r="C1099" s="89">
        <v>1.0</v>
      </c>
      <c r="D1099" s="89">
        <v>0.0</v>
      </c>
      <c r="E1099" s="88" t="s">
        <v>185</v>
      </c>
      <c r="F1099" s="89">
        <v>0.3218</v>
      </c>
      <c r="G1099" s="89">
        <v>0.1933</v>
      </c>
      <c r="H1099" s="89">
        <v>0.0419</v>
      </c>
      <c r="I1099" s="89">
        <v>0.0273</v>
      </c>
      <c r="J1099" s="89">
        <v>11.72</v>
      </c>
      <c r="K1099" s="89">
        <f>average(1.32, 1.32, 1.44, 1.33)</f>
        <v>1.3525</v>
      </c>
      <c r="L1099" s="90"/>
      <c r="M1099" s="90">
        <v>44816.0</v>
      </c>
      <c r="N1099" s="93"/>
      <c r="O1099" s="92">
        <v>14.693</v>
      </c>
    </row>
    <row r="1100">
      <c r="A1100" s="88" t="s">
        <v>57</v>
      </c>
      <c r="B1100" s="89">
        <v>2354.0</v>
      </c>
      <c r="C1100" s="89">
        <v>1.0</v>
      </c>
      <c r="D1100" s="89">
        <v>1.0</v>
      </c>
      <c r="E1100" s="88"/>
      <c r="F1100" s="89">
        <v>1.176</v>
      </c>
      <c r="G1100" s="89">
        <v>0.6436</v>
      </c>
      <c r="H1100" s="89">
        <v>0.0697</v>
      </c>
      <c r="I1100" s="89">
        <v>0.0697</v>
      </c>
      <c r="J1100" s="89">
        <v>0.0372</v>
      </c>
      <c r="K1100" s="89">
        <f>average(1.34, 1.38, 1.23, 1.41)</f>
        <v>1.34</v>
      </c>
      <c r="L1100" s="90"/>
      <c r="M1100" s="90">
        <v>44816.0</v>
      </c>
      <c r="N1100" s="93" t="s">
        <v>208</v>
      </c>
      <c r="O1100" s="92">
        <v>57.011</v>
      </c>
    </row>
    <row r="1101">
      <c r="A1101" s="88" t="s">
        <v>57</v>
      </c>
      <c r="B1101" s="89">
        <v>2331.0</v>
      </c>
      <c r="C1101" s="89">
        <v>2.0</v>
      </c>
      <c r="D1101" s="89">
        <v>0.0</v>
      </c>
      <c r="E1101" s="88"/>
      <c r="F1101" s="89">
        <v>0.2632</v>
      </c>
      <c r="G1101" s="89">
        <v>0.1625</v>
      </c>
      <c r="H1101" s="89">
        <v>0.0488</v>
      </c>
      <c r="I1101" s="89">
        <v>0.0309</v>
      </c>
      <c r="J1101" s="89">
        <v>27.01</v>
      </c>
      <c r="K1101" s="89">
        <f>average(1.52, 1.62, 1.38, 1.35)</f>
        <v>1.4675</v>
      </c>
      <c r="L1101" s="90"/>
      <c r="M1101" s="90">
        <v>44816.0</v>
      </c>
      <c r="N1101" s="93"/>
      <c r="O1101" s="92">
        <v>9.189</v>
      </c>
    </row>
    <row r="1102">
      <c r="A1102" s="88" t="s">
        <v>57</v>
      </c>
      <c r="B1102" s="89">
        <v>2331.0</v>
      </c>
      <c r="C1102" s="89">
        <v>3.0</v>
      </c>
      <c r="D1102" s="89">
        <v>0.0</v>
      </c>
      <c r="E1102" s="88"/>
      <c r="F1102" s="89">
        <v>0.3055</v>
      </c>
      <c r="G1102" s="89">
        <v>0.2063</v>
      </c>
      <c r="H1102" s="89">
        <v>0.0501</v>
      </c>
      <c r="I1102" s="89">
        <v>0.0353</v>
      </c>
      <c r="J1102" s="89">
        <v>23.95</v>
      </c>
      <c r="K1102" s="89">
        <f>average(1.07, 1.21, 1.04, 1.16)</f>
        <v>1.12</v>
      </c>
      <c r="L1102" s="90"/>
      <c r="M1102" s="90">
        <v>44816.0</v>
      </c>
      <c r="N1102" s="93"/>
      <c r="O1102" s="92">
        <v>12.177</v>
      </c>
    </row>
    <row r="1103">
      <c r="A1103" s="88" t="s">
        <v>57</v>
      </c>
      <c r="B1103" s="89">
        <v>2331.0</v>
      </c>
      <c r="C1103" s="89">
        <v>1.0</v>
      </c>
      <c r="D1103" s="89">
        <v>0.0</v>
      </c>
      <c r="E1103" s="88"/>
      <c r="F1103" s="89">
        <v>0.4807</v>
      </c>
      <c r="G1103" s="89">
        <v>0.3268</v>
      </c>
      <c r="H1103" s="89">
        <v>0.0539</v>
      </c>
      <c r="I1103" s="89">
        <v>0.0366</v>
      </c>
      <c r="J1103" s="89">
        <v>16.36</v>
      </c>
      <c r="K1103" s="89">
        <f>average(1.27, 1.24, 1.3, 1.09)</f>
        <v>1.225</v>
      </c>
      <c r="L1103" s="90"/>
      <c r="M1103" s="90">
        <v>44816.0</v>
      </c>
      <c r="N1103" s="93"/>
      <c r="O1103" s="92">
        <v>19.909</v>
      </c>
    </row>
    <row r="1104">
      <c r="A1104" s="88" t="s">
        <v>183</v>
      </c>
      <c r="B1104" s="89">
        <v>2031.0</v>
      </c>
      <c r="C1104" s="89">
        <v>1.0</v>
      </c>
      <c r="D1104" s="89">
        <v>0.0</v>
      </c>
      <c r="E1104" s="88"/>
      <c r="F1104" s="89">
        <v>0.2654</v>
      </c>
      <c r="G1104" s="89">
        <v>0.1607</v>
      </c>
      <c r="H1104" s="89">
        <v>0.0677</v>
      </c>
      <c r="I1104" s="89">
        <v>0.0445</v>
      </c>
      <c r="J1104" s="89">
        <v>15.56</v>
      </c>
      <c r="K1104" s="89">
        <f>average(2.03, 1.88, 2.09, 2.1)</f>
        <v>2.025</v>
      </c>
      <c r="L1104" s="90"/>
      <c r="M1104" s="90">
        <v>44816.0</v>
      </c>
      <c r="N1104" s="93"/>
      <c r="O1104" s="92">
        <v>10.883</v>
      </c>
    </row>
    <row r="1105">
      <c r="A1105" s="88" t="s">
        <v>183</v>
      </c>
      <c r="B1105" s="89">
        <v>2379.0</v>
      </c>
      <c r="C1105" s="89">
        <v>1.0</v>
      </c>
      <c r="D1105" s="89">
        <v>0.0</v>
      </c>
      <c r="E1105" s="88"/>
      <c r="F1105" s="89">
        <v>0.6552</v>
      </c>
      <c r="G1105" s="89">
        <v>0.3995</v>
      </c>
      <c r="H1105" s="89">
        <v>0.1295</v>
      </c>
      <c r="I1105" s="89">
        <v>0.0804</v>
      </c>
      <c r="J1105" s="89">
        <v>19.19</v>
      </c>
      <c r="K1105" s="89">
        <f>average(1.33, 1.62, 1.37, 1.44)</f>
        <v>1.44</v>
      </c>
      <c r="L1105" s="90"/>
      <c r="M1105" s="90">
        <v>44816.0</v>
      </c>
      <c r="N1105" s="93"/>
      <c r="O1105" s="92">
        <v>27.81</v>
      </c>
    </row>
    <row r="1106">
      <c r="A1106" s="88" t="s">
        <v>57</v>
      </c>
      <c r="B1106" s="89">
        <v>2360.0</v>
      </c>
      <c r="C1106" s="89">
        <v>1.0</v>
      </c>
      <c r="D1106" s="89">
        <v>1.0</v>
      </c>
      <c r="E1106" s="88"/>
      <c r="F1106" s="89">
        <v>0.761</v>
      </c>
      <c r="G1106" s="89">
        <v>0.4356</v>
      </c>
      <c r="H1106" s="89">
        <v>0.0467</v>
      </c>
      <c r="I1106" s="89">
        <v>0.0261</v>
      </c>
      <c r="J1106" s="89">
        <v>24.19</v>
      </c>
      <c r="K1106" s="89">
        <f>average(1.04, 1.29, 1.01, 1.07)</f>
        <v>1.1025</v>
      </c>
      <c r="L1106" s="90"/>
      <c r="M1106" s="90">
        <v>44816.0</v>
      </c>
      <c r="N1106" s="93"/>
      <c r="O1106" s="92">
        <v>38.767</v>
      </c>
    </row>
    <row r="1107">
      <c r="A1107" s="88" t="s">
        <v>183</v>
      </c>
      <c r="B1107" s="89">
        <v>2378.0</v>
      </c>
      <c r="C1107" s="89">
        <v>1.0</v>
      </c>
      <c r="D1107" s="89">
        <v>0.0</v>
      </c>
      <c r="E1107" s="88" t="s">
        <v>209</v>
      </c>
      <c r="F1107" s="89">
        <v>0.6022</v>
      </c>
      <c r="G1107" s="89">
        <v>0.3679</v>
      </c>
      <c r="H1107" s="88"/>
      <c r="I1107" s="88"/>
      <c r="J1107" s="88"/>
      <c r="K1107" s="88"/>
      <c r="L1107" s="88"/>
      <c r="M1107" s="88"/>
      <c r="N1107" s="93" t="s">
        <v>210</v>
      </c>
      <c r="O1107" s="92">
        <v>23.268</v>
      </c>
    </row>
    <row r="1108">
      <c r="A1108" s="88" t="s">
        <v>57</v>
      </c>
      <c r="B1108" s="89">
        <v>2365.0</v>
      </c>
      <c r="C1108" s="89">
        <v>1.0</v>
      </c>
      <c r="D1108" s="89">
        <v>1.0</v>
      </c>
      <c r="E1108" s="88"/>
      <c r="F1108" s="89">
        <v>1.1418</v>
      </c>
      <c r="G1108" s="89">
        <v>0.7235</v>
      </c>
      <c r="H1108" s="89">
        <v>0.1038</v>
      </c>
      <c r="I1108" s="89">
        <v>0.0662</v>
      </c>
      <c r="J1108" s="89">
        <v>38.64</v>
      </c>
      <c r="K1108" s="89">
        <f>average(1.48, 1.44, 1.56, 1.5)</f>
        <v>1.495</v>
      </c>
      <c r="L1108" s="90"/>
      <c r="M1108" s="90">
        <v>44816.0</v>
      </c>
      <c r="N1108" s="93"/>
      <c r="O1108" s="92">
        <v>48.534</v>
      </c>
    </row>
    <row r="1109">
      <c r="A1109" s="88" t="s">
        <v>57</v>
      </c>
      <c r="B1109" s="89">
        <v>2301.0</v>
      </c>
      <c r="C1109" s="89">
        <v>1.0</v>
      </c>
      <c r="D1109" s="89">
        <v>2.0</v>
      </c>
      <c r="E1109" s="88"/>
      <c r="F1109" s="89">
        <v>1.477</v>
      </c>
      <c r="G1109" s="89">
        <v>0.9832</v>
      </c>
      <c r="H1109" s="89">
        <v>0.239</v>
      </c>
      <c r="I1109" s="89">
        <v>0.1436</v>
      </c>
      <c r="J1109" s="89">
        <v>53.17</v>
      </c>
      <c r="K1109" s="89">
        <f>average(1.54, 1.69, 1.71, 1.76)</f>
        <v>1.675</v>
      </c>
      <c r="L1109" s="90"/>
      <c r="M1109" s="90">
        <v>44816.0</v>
      </c>
      <c r="N1109" s="93"/>
      <c r="O1109" s="92">
        <v>54.761</v>
      </c>
    </row>
    <row r="1110">
      <c r="A1110" s="88" t="s">
        <v>57</v>
      </c>
      <c r="B1110" s="89">
        <v>2301.0</v>
      </c>
      <c r="C1110" s="89">
        <v>2.0</v>
      </c>
      <c r="D1110" s="89">
        <v>0.0</v>
      </c>
      <c r="E1110" s="88"/>
      <c r="F1110" s="89">
        <v>3.5536</v>
      </c>
      <c r="G1110" s="89">
        <v>2.253</v>
      </c>
      <c r="H1110" s="89">
        <v>0.3284</v>
      </c>
      <c r="I1110" s="89">
        <v>0.1939</v>
      </c>
      <c r="J1110" s="89">
        <v>65.36</v>
      </c>
      <c r="K1110" s="89">
        <f>average(2.69, 2.71, 2.86, 2.88)</f>
        <v>2.785</v>
      </c>
      <c r="L1110" s="90"/>
      <c r="M1110" s="90">
        <v>44816.0</v>
      </c>
      <c r="N1110" s="93"/>
      <c r="O1110" s="92">
        <v>110.046</v>
      </c>
    </row>
    <row r="1111">
      <c r="A1111" s="88" t="s">
        <v>183</v>
      </c>
      <c r="B1111" s="89">
        <v>2022.0</v>
      </c>
      <c r="C1111" s="89">
        <v>1.0</v>
      </c>
      <c r="D1111" s="89">
        <v>0.0</v>
      </c>
      <c r="E1111" s="88"/>
      <c r="F1111" s="89">
        <v>0.8896</v>
      </c>
      <c r="G1111" s="89">
        <v>0.5157</v>
      </c>
      <c r="H1111" s="89">
        <v>0.1641</v>
      </c>
      <c r="I1111" s="89">
        <v>0.0997</v>
      </c>
      <c r="J1111" s="89">
        <v>15.79</v>
      </c>
      <c r="K1111" s="89">
        <f>average(1.11, 1.17, 1.22, 1.08)</f>
        <v>1.145</v>
      </c>
      <c r="L1111" s="90"/>
      <c r="M1111" s="90">
        <v>44816.0</v>
      </c>
      <c r="N1111" s="93"/>
      <c r="O1111" s="92">
        <v>33.93</v>
      </c>
    </row>
    <row r="1112">
      <c r="A1112" s="88" t="s">
        <v>57</v>
      </c>
      <c r="B1112" s="89">
        <v>2030.0</v>
      </c>
      <c r="C1112" s="89">
        <v>1.0</v>
      </c>
      <c r="D1112" s="89">
        <v>0.0</v>
      </c>
      <c r="E1112" s="88"/>
      <c r="F1112" s="89">
        <v>0.4289</v>
      </c>
      <c r="G1112" s="89">
        <v>0.257</v>
      </c>
      <c r="H1112" s="89">
        <v>0.0421</v>
      </c>
      <c r="I1112" s="89">
        <v>0.028</v>
      </c>
      <c r="J1112" s="89">
        <v>14.25</v>
      </c>
      <c r="K1112" s="89">
        <f>average(1.31, 0.85, 1.08, 0.92)</f>
        <v>1.04</v>
      </c>
      <c r="L1112" s="90"/>
      <c r="M1112" s="90">
        <v>44816.0</v>
      </c>
      <c r="N1112" s="93"/>
      <c r="O1112" s="92">
        <v>15.776</v>
      </c>
    </row>
    <row r="1113">
      <c r="A1113" s="88" t="s">
        <v>57</v>
      </c>
      <c r="B1113" s="89">
        <v>2354.0</v>
      </c>
      <c r="C1113" s="89">
        <v>2.0</v>
      </c>
      <c r="D1113" s="89">
        <v>1.0</v>
      </c>
      <c r="E1113" s="88"/>
      <c r="F1113" s="89">
        <v>0.3979</v>
      </c>
      <c r="G1113" s="89">
        <v>0.2387</v>
      </c>
      <c r="H1113" s="89">
        <v>0.0469</v>
      </c>
      <c r="I1113" s="89">
        <v>0.0285</v>
      </c>
      <c r="J1113" s="89">
        <f>average(1.35, 1.85, 1.4, 1.6)</f>
        <v>1.55</v>
      </c>
      <c r="K1113" s="89">
        <v>15.44</v>
      </c>
      <c r="L1113" s="90"/>
      <c r="M1113" s="90">
        <v>44816.0</v>
      </c>
      <c r="N1113" s="93"/>
      <c r="O1113" s="89">
        <v>16.782</v>
      </c>
    </row>
    <row r="1114">
      <c r="A1114" s="88" t="s">
        <v>183</v>
      </c>
      <c r="B1114" s="89">
        <v>2020.0</v>
      </c>
      <c r="C1114" s="89">
        <v>1.0</v>
      </c>
      <c r="D1114" s="89">
        <v>0.0</v>
      </c>
      <c r="E1114" s="88"/>
      <c r="F1114" s="89">
        <v>0.3114</v>
      </c>
      <c r="G1114" s="89">
        <v>0.1853</v>
      </c>
      <c r="H1114" s="89">
        <v>0.1455</v>
      </c>
      <c r="I1114" s="89">
        <v>0.0861</v>
      </c>
      <c r="J1114" s="89">
        <v>12.75</v>
      </c>
      <c r="K1114" s="89">
        <f>average(1.4, 1.41, 1.53, 1.41)</f>
        <v>1.4375</v>
      </c>
      <c r="L1114" s="90"/>
      <c r="M1114" s="90">
        <v>44816.0</v>
      </c>
      <c r="N1114" s="93"/>
      <c r="O1114" s="92">
        <v>11.444</v>
      </c>
    </row>
    <row r="1115">
      <c r="A1115" s="88" t="s">
        <v>183</v>
      </c>
      <c r="B1115" s="89">
        <v>2026.0</v>
      </c>
      <c r="C1115" s="89">
        <v>1.0</v>
      </c>
      <c r="D1115" s="89">
        <v>0.0</v>
      </c>
      <c r="E1115" s="88"/>
      <c r="F1115" s="89">
        <v>0.9475</v>
      </c>
      <c r="G1115" s="89">
        <v>0.5762</v>
      </c>
      <c r="H1115" s="89">
        <v>0.3134</v>
      </c>
      <c r="I1115" s="89">
        <v>0.2017</v>
      </c>
      <c r="J1115" s="100">
        <f>average(22.22, 22.14, 16.71, 14.34)</f>
        <v>18.8525</v>
      </c>
      <c r="K1115" s="89">
        <f>average(1.5, 1.66, 1.77, 1.88)</f>
        <v>1.7025</v>
      </c>
      <c r="L1115" s="90"/>
      <c r="M1115" s="90">
        <v>44816.0</v>
      </c>
      <c r="N1115" s="93"/>
      <c r="O1115" s="92">
        <v>39.745</v>
      </c>
    </row>
    <row r="1116">
      <c r="A1116" s="88" t="s">
        <v>183</v>
      </c>
      <c r="B1116" s="89">
        <v>2367.0</v>
      </c>
      <c r="C1116" s="89">
        <v>1.0</v>
      </c>
      <c r="D1116" s="89">
        <v>0.0</v>
      </c>
      <c r="E1116" s="89">
        <v>1.0</v>
      </c>
      <c r="F1116" s="89">
        <v>0.3244</v>
      </c>
      <c r="G1116" s="89">
        <v>0.2004</v>
      </c>
      <c r="H1116" s="89">
        <v>0.0174</v>
      </c>
      <c r="I1116" s="89">
        <v>0.0144</v>
      </c>
      <c r="J1116" s="89">
        <v>11.8</v>
      </c>
      <c r="K1116" s="89">
        <f>average(1.48, 1.14, 1.75, 1.32)</f>
        <v>1.4225</v>
      </c>
      <c r="L1116" s="90"/>
      <c r="M1116" s="90">
        <v>44816.0</v>
      </c>
      <c r="N1116" s="93"/>
      <c r="O1116" s="92">
        <v>15.544</v>
      </c>
    </row>
    <row r="1117">
      <c r="A1117" s="88" t="s">
        <v>183</v>
      </c>
      <c r="B1117" s="89">
        <v>2367.0</v>
      </c>
      <c r="C1117" s="89">
        <v>1.0</v>
      </c>
      <c r="D1117" s="89">
        <v>0.0</v>
      </c>
      <c r="E1117" s="89">
        <v>2.0</v>
      </c>
      <c r="F1117" s="89">
        <v>0.2838</v>
      </c>
      <c r="G1117" s="89">
        <v>0.1747</v>
      </c>
      <c r="H1117" s="89">
        <v>0.0288</v>
      </c>
      <c r="I1117" s="89">
        <v>0.0222</v>
      </c>
      <c r="J1117" s="89">
        <v>15.5</v>
      </c>
      <c r="K1117" s="89">
        <f>average(1.32, 1.45, 1.4, 1.22)</f>
        <v>1.3475</v>
      </c>
      <c r="L1117" s="90"/>
      <c r="M1117" s="90">
        <v>44816.0</v>
      </c>
      <c r="N1117" s="93"/>
      <c r="O1117" s="92">
        <v>12.468</v>
      </c>
    </row>
    <row r="1118">
      <c r="A1118" s="88" t="s">
        <v>183</v>
      </c>
      <c r="B1118" s="89">
        <v>2025.0</v>
      </c>
      <c r="C1118" s="89">
        <v>3.0</v>
      </c>
      <c r="D1118" s="89">
        <v>0.0</v>
      </c>
      <c r="E1118" s="88"/>
      <c r="F1118" s="89">
        <v>0.1792</v>
      </c>
      <c r="G1118" s="89">
        <v>0.1018</v>
      </c>
      <c r="H1118" s="89">
        <v>0.0682</v>
      </c>
      <c r="I1118" s="89">
        <v>0.0405</v>
      </c>
      <c r="J1118" s="89">
        <v>17.29</v>
      </c>
      <c r="K1118" s="89">
        <f>average(1.2, 1.52, 1.44, 1.32)</f>
        <v>1.37</v>
      </c>
      <c r="L1118" s="90"/>
      <c r="M1118" s="90">
        <v>44816.0</v>
      </c>
      <c r="N1118" s="93"/>
      <c r="O1118" s="92">
        <v>7.312</v>
      </c>
    </row>
    <row r="1119">
      <c r="A1119" s="88" t="s">
        <v>57</v>
      </c>
      <c r="B1119" s="89">
        <v>2029.0</v>
      </c>
      <c r="C1119" s="89">
        <v>2.0</v>
      </c>
      <c r="D1119" s="89">
        <v>0.0</v>
      </c>
      <c r="E1119" s="88" t="s">
        <v>184</v>
      </c>
      <c r="F1119" s="89">
        <v>2.2213</v>
      </c>
      <c r="G1119" s="89">
        <v>1.3109</v>
      </c>
      <c r="H1119" s="89">
        <v>0.1138</v>
      </c>
      <c r="I1119" s="89">
        <v>0.0676</v>
      </c>
      <c r="J1119" s="89">
        <v>38.71</v>
      </c>
      <c r="K1119" s="89">
        <f>average(1.28, 1.32, 1.36, 1.31)</f>
        <v>1.3175</v>
      </c>
      <c r="L1119" s="90"/>
      <c r="M1119" s="90">
        <v>44816.0</v>
      </c>
      <c r="N1119" s="93"/>
      <c r="O1119" s="92">
        <v>68.519</v>
      </c>
    </row>
    <row r="1120">
      <c r="A1120" s="88" t="s">
        <v>183</v>
      </c>
      <c r="B1120" s="89">
        <v>2087.0</v>
      </c>
      <c r="C1120" s="89">
        <v>1.0</v>
      </c>
      <c r="D1120" s="89">
        <v>0.0</v>
      </c>
      <c r="E1120" s="88"/>
      <c r="F1120" s="89">
        <v>2.0957</v>
      </c>
      <c r="G1120" s="89">
        <v>1.2337</v>
      </c>
      <c r="H1120" s="89">
        <v>0.4482</v>
      </c>
      <c r="I1120" s="89">
        <v>0.2457</v>
      </c>
      <c r="J1120" s="89">
        <v>31.24</v>
      </c>
      <c r="K1120" s="89">
        <f>average(2.9, 2.64, 2.75, 2.48)</f>
        <v>2.6925</v>
      </c>
      <c r="L1120" s="90"/>
      <c r="M1120" s="90">
        <v>44816.0</v>
      </c>
      <c r="N1120" s="93"/>
      <c r="O1120" s="92">
        <v>74.941</v>
      </c>
    </row>
    <row r="1121">
      <c r="A1121" s="88" t="s">
        <v>183</v>
      </c>
      <c r="B1121" s="89">
        <v>2367.0</v>
      </c>
      <c r="C1121" s="89">
        <v>3.0</v>
      </c>
      <c r="D1121" s="89">
        <v>0.0</v>
      </c>
      <c r="E1121" s="88"/>
      <c r="F1121" s="89">
        <v>0.4352</v>
      </c>
      <c r="G1121" s="89">
        <v>0.2913</v>
      </c>
      <c r="H1121" s="89">
        <v>0.0294</v>
      </c>
      <c r="I1121" s="89">
        <v>0.0172</v>
      </c>
      <c r="J1121" s="89">
        <v>13.09</v>
      </c>
      <c r="K1121" s="89">
        <f>average(1.15, 1.16, 1.23, 1.19)</f>
        <v>1.1825</v>
      </c>
      <c r="L1121" s="90"/>
      <c r="M1121" s="90">
        <v>44816.0</v>
      </c>
      <c r="N1121" s="93"/>
      <c r="O1121" s="92">
        <v>21.37</v>
      </c>
    </row>
    <row r="1122">
      <c r="A1122" s="88" t="s">
        <v>183</v>
      </c>
      <c r="B1122" s="89">
        <v>2025.0</v>
      </c>
      <c r="C1122" s="89">
        <v>2.0</v>
      </c>
      <c r="D1122" s="89">
        <v>0.0</v>
      </c>
      <c r="E1122" s="88"/>
      <c r="F1122" s="89">
        <v>0.1699</v>
      </c>
      <c r="G1122" s="89">
        <v>0.0994</v>
      </c>
      <c r="H1122" s="89">
        <v>0.0624</v>
      </c>
      <c r="I1122" s="89">
        <v>0.0405</v>
      </c>
      <c r="J1122" s="89">
        <v>19.4</v>
      </c>
      <c r="K1122" s="89">
        <f>average(1.19, 1.17, 1.26, 1.21)</f>
        <v>1.2075</v>
      </c>
      <c r="L1122" s="90"/>
      <c r="M1122" s="90">
        <v>44816.0</v>
      </c>
      <c r="N1122" s="93"/>
      <c r="O1122" s="92">
        <v>6.981</v>
      </c>
    </row>
    <row r="1123">
      <c r="A1123" s="88" t="s">
        <v>57</v>
      </c>
      <c r="B1123" s="89">
        <v>2092.0</v>
      </c>
      <c r="C1123" s="89">
        <v>1.0</v>
      </c>
      <c r="D1123" s="89">
        <v>1.0</v>
      </c>
      <c r="E1123" s="88"/>
      <c r="F1123" s="89">
        <v>0.6247</v>
      </c>
      <c r="G1123" s="89">
        <v>0.3721</v>
      </c>
      <c r="H1123" s="89">
        <v>0.0701</v>
      </c>
      <c r="I1123" s="89">
        <v>0.0373</v>
      </c>
      <c r="J1123" s="89">
        <v>19.56</v>
      </c>
      <c r="K1123" s="89">
        <f>average(1.78, 1.83, 1.7, 1.65)</f>
        <v>1.74</v>
      </c>
      <c r="L1123" s="90"/>
      <c r="M1123" s="90">
        <v>44816.0</v>
      </c>
      <c r="N1123" s="93"/>
      <c r="O1123" s="92">
        <v>15.727</v>
      </c>
    </row>
    <row r="1124">
      <c r="N1124" s="87"/>
    </row>
    <row r="1125">
      <c r="N1125" s="87"/>
    </row>
    <row r="1126">
      <c r="N1126" s="87"/>
    </row>
    <row r="1127">
      <c r="N1127" s="87"/>
    </row>
    <row r="1128">
      <c r="N1128" s="87"/>
    </row>
    <row r="1129">
      <c r="N1129" s="87"/>
    </row>
    <row r="1130">
      <c r="N1130" s="87"/>
    </row>
    <row r="1131">
      <c r="N1131" s="87"/>
    </row>
    <row r="1132">
      <c r="N1132" s="87"/>
    </row>
    <row r="1133">
      <c r="N1133" s="87"/>
    </row>
    <row r="1134">
      <c r="N1134" s="87"/>
    </row>
    <row r="1135">
      <c r="N1135" s="87"/>
    </row>
    <row r="1136">
      <c r="N1136" s="87"/>
    </row>
    <row r="1137">
      <c r="N1137" s="87"/>
    </row>
    <row r="1138">
      <c r="N1138" s="87"/>
    </row>
    <row r="1139">
      <c r="N1139" s="87"/>
    </row>
    <row r="1140">
      <c r="N1140" s="87"/>
    </row>
    <row r="1141">
      <c r="N1141" s="87"/>
    </row>
    <row r="1142">
      <c r="N1142" s="87"/>
    </row>
    <row r="1143">
      <c r="N1143" s="87"/>
    </row>
    <row r="1144">
      <c r="N1144" s="87"/>
    </row>
    <row r="1145">
      <c r="N1145" s="87"/>
    </row>
    <row r="1146">
      <c r="N1146" s="87"/>
    </row>
    <row r="1147">
      <c r="N1147" s="87"/>
    </row>
    <row r="1148">
      <c r="N1148" s="87"/>
    </row>
    <row r="1149">
      <c r="N1149" s="87"/>
    </row>
    <row r="1150">
      <c r="N1150" s="87"/>
    </row>
    <row r="1151">
      <c r="N1151" s="87"/>
    </row>
    <row r="1152">
      <c r="N1152" s="87"/>
    </row>
    <row r="1153">
      <c r="N1153" s="87"/>
    </row>
    <row r="1154">
      <c r="N1154" s="87"/>
    </row>
    <row r="1155">
      <c r="N1155" s="87"/>
    </row>
    <row r="1156">
      <c r="N1156" s="87"/>
    </row>
    <row r="1157">
      <c r="N1157" s="87"/>
    </row>
    <row r="1158">
      <c r="N1158" s="87"/>
    </row>
    <row r="1159">
      <c r="N1159" s="87"/>
    </row>
    <row r="1160">
      <c r="N1160" s="87"/>
    </row>
    <row r="1161">
      <c r="N1161" s="87"/>
    </row>
    <row r="1162">
      <c r="N1162" s="87"/>
    </row>
    <row r="1163">
      <c r="N1163" s="87"/>
    </row>
    <row r="1164">
      <c r="N1164" s="87"/>
    </row>
    <row r="1165">
      <c r="N1165" s="87"/>
    </row>
    <row r="1166">
      <c r="N1166" s="87"/>
    </row>
    <row r="1167">
      <c r="N1167" s="87"/>
    </row>
    <row r="1168">
      <c r="N1168" s="87"/>
    </row>
    <row r="1169">
      <c r="N1169" s="87"/>
    </row>
    <row r="1170">
      <c r="N1170" s="87"/>
    </row>
    <row r="1171">
      <c r="N1171" s="87"/>
    </row>
    <row r="1172">
      <c r="N1172" s="87"/>
    </row>
    <row r="1173">
      <c r="N1173" s="87"/>
    </row>
    <row r="1174">
      <c r="N1174" s="87"/>
    </row>
    <row r="1175">
      <c r="N1175" s="87"/>
    </row>
    <row r="1176">
      <c r="N1176" s="87"/>
    </row>
    <row r="1177">
      <c r="N1177" s="87"/>
    </row>
    <row r="1178">
      <c r="N1178" s="87"/>
    </row>
    <row r="1179">
      <c r="N1179" s="87"/>
    </row>
    <row r="1180">
      <c r="N1180" s="87"/>
    </row>
    <row r="1181">
      <c r="N1181" s="87"/>
    </row>
    <row r="1182">
      <c r="N1182" s="87"/>
    </row>
    <row r="1183">
      <c r="N1183" s="87"/>
    </row>
    <row r="1184">
      <c r="N1184" s="87"/>
    </row>
    <row r="1185">
      <c r="N1185" s="87"/>
    </row>
    <row r="1186">
      <c r="N1186" s="87"/>
    </row>
    <row r="1187">
      <c r="N1187" s="87"/>
    </row>
    <row r="1188">
      <c r="N1188" s="87"/>
    </row>
    <row r="1189">
      <c r="N1189" s="87"/>
    </row>
    <row r="1190">
      <c r="N1190" s="87"/>
    </row>
    <row r="1191">
      <c r="N1191" s="87"/>
    </row>
    <row r="1192">
      <c r="N1192" s="87"/>
    </row>
    <row r="1193">
      <c r="N1193" s="87"/>
    </row>
    <row r="1194">
      <c r="N1194" s="87"/>
    </row>
    <row r="1195">
      <c r="N1195" s="87"/>
    </row>
    <row r="1196">
      <c r="N1196" s="87"/>
    </row>
    <row r="1197">
      <c r="N1197" s="87"/>
    </row>
    <row r="1198">
      <c r="N1198" s="87"/>
    </row>
    <row r="1199">
      <c r="N1199" s="87"/>
    </row>
    <row r="1200">
      <c r="N1200" s="87"/>
    </row>
    <row r="1201">
      <c r="N1201" s="87"/>
    </row>
    <row r="1202">
      <c r="N1202" s="87"/>
    </row>
    <row r="1203">
      <c r="N1203" s="87"/>
    </row>
    <row r="1204">
      <c r="N1204" s="87"/>
    </row>
    <row r="1205">
      <c r="N1205" s="87"/>
    </row>
    <row r="1206">
      <c r="N1206" s="87"/>
    </row>
    <row r="1207">
      <c r="N1207" s="87"/>
    </row>
    <row r="1208">
      <c r="N1208" s="87"/>
    </row>
    <row r="1209">
      <c r="N1209" s="87"/>
    </row>
    <row r="1210">
      <c r="N1210" s="87"/>
    </row>
    <row r="1211">
      <c r="N1211" s="87"/>
    </row>
    <row r="1212">
      <c r="N1212" s="87"/>
    </row>
    <row r="1213">
      <c r="N1213" s="87"/>
    </row>
    <row r="1214">
      <c r="N1214" s="87"/>
    </row>
    <row r="1215">
      <c r="N1215" s="87"/>
    </row>
    <row r="1216">
      <c r="N1216" s="87"/>
    </row>
    <row r="1217">
      <c r="N1217" s="87"/>
    </row>
    <row r="1218">
      <c r="N1218" s="87"/>
    </row>
    <row r="1219">
      <c r="N1219" s="87"/>
    </row>
    <row r="1220">
      <c r="N1220" s="87"/>
    </row>
    <row r="1221">
      <c r="N1221" s="87"/>
    </row>
    <row r="1222">
      <c r="N1222" s="87"/>
    </row>
    <row r="1223">
      <c r="N1223" s="87"/>
    </row>
    <row r="1224">
      <c r="N1224" s="87"/>
    </row>
    <row r="1225">
      <c r="N1225" s="87"/>
    </row>
    <row r="1226">
      <c r="N1226" s="87"/>
    </row>
    <row r="1227">
      <c r="N1227" s="87"/>
    </row>
    <row r="1228">
      <c r="N1228" s="87"/>
    </row>
    <row r="1229">
      <c r="N1229" s="87"/>
    </row>
    <row r="1230">
      <c r="N1230" s="87"/>
    </row>
    <row r="1231">
      <c r="N1231" s="87"/>
    </row>
    <row r="1232">
      <c r="N1232" s="87"/>
    </row>
    <row r="1233">
      <c r="N1233" s="87"/>
    </row>
    <row r="1234">
      <c r="N1234" s="87"/>
    </row>
    <row r="1235">
      <c r="N1235" s="87"/>
    </row>
    <row r="1236">
      <c r="N1236" s="87"/>
    </row>
    <row r="1237">
      <c r="N1237" s="87"/>
    </row>
    <row r="1238">
      <c r="N1238" s="87"/>
    </row>
    <row r="1239">
      <c r="N1239" s="87"/>
    </row>
    <row r="1240">
      <c r="N1240" s="87"/>
    </row>
    <row r="1241">
      <c r="N1241" s="87"/>
    </row>
    <row r="1242">
      <c r="N1242" s="87"/>
    </row>
    <row r="1243">
      <c r="N1243" s="87"/>
    </row>
    <row r="1244">
      <c r="N1244" s="87"/>
    </row>
    <row r="1245">
      <c r="N1245" s="87"/>
    </row>
    <row r="1246">
      <c r="N1246" s="87"/>
    </row>
    <row r="1247">
      <c r="N1247" s="87"/>
    </row>
    <row r="1248">
      <c r="N1248" s="87"/>
    </row>
    <row r="1249">
      <c r="N1249" s="87"/>
    </row>
    <row r="1250">
      <c r="N1250" s="87"/>
    </row>
    <row r="1251">
      <c r="N1251" s="87"/>
    </row>
    <row r="1252">
      <c r="N1252" s="87"/>
    </row>
    <row r="1253">
      <c r="N1253" s="87"/>
    </row>
    <row r="1254">
      <c r="N1254" s="87"/>
    </row>
    <row r="1255">
      <c r="N1255" s="87"/>
    </row>
    <row r="1256">
      <c r="N1256" s="87"/>
    </row>
    <row r="1257">
      <c r="N1257" s="87"/>
    </row>
    <row r="1258">
      <c r="N1258" s="87"/>
    </row>
    <row r="1259">
      <c r="N1259" s="87"/>
    </row>
    <row r="1260">
      <c r="N1260" s="87"/>
    </row>
    <row r="1261">
      <c r="N1261" s="87"/>
    </row>
    <row r="1262">
      <c r="N1262" s="87"/>
    </row>
    <row r="1263">
      <c r="N1263" s="87"/>
    </row>
    <row r="1264">
      <c r="N1264" s="87"/>
    </row>
    <row r="1265">
      <c r="N1265" s="87"/>
    </row>
    <row r="1266">
      <c r="N1266" s="87"/>
    </row>
    <row r="1267">
      <c r="N1267" s="87"/>
    </row>
    <row r="1268">
      <c r="N1268" s="87"/>
    </row>
    <row r="1269">
      <c r="N1269" s="87"/>
    </row>
    <row r="1270">
      <c r="N1270" s="87"/>
    </row>
    <row r="1271">
      <c r="N1271" s="87"/>
    </row>
    <row r="1272">
      <c r="N1272" s="87"/>
    </row>
    <row r="1273">
      <c r="N1273" s="87"/>
    </row>
    <row r="1274">
      <c r="N1274" s="87"/>
    </row>
    <row r="1275">
      <c r="N1275" s="87"/>
    </row>
    <row r="1276">
      <c r="N1276" s="87"/>
    </row>
    <row r="1277">
      <c r="N1277" s="87"/>
    </row>
    <row r="1278">
      <c r="N1278" s="87"/>
    </row>
    <row r="1279">
      <c r="N1279" s="87"/>
    </row>
    <row r="1280">
      <c r="N1280" s="87"/>
    </row>
    <row r="1281">
      <c r="N1281" s="87"/>
    </row>
    <row r="1282">
      <c r="N1282" s="87"/>
    </row>
    <row r="1283">
      <c r="N1283" s="87"/>
    </row>
    <row r="1284">
      <c r="N1284" s="87"/>
    </row>
    <row r="1285">
      <c r="N1285" s="87"/>
    </row>
    <row r="1286">
      <c r="N1286" s="87"/>
    </row>
    <row r="1287">
      <c r="N1287" s="87"/>
    </row>
    <row r="1288">
      <c r="N1288" s="87"/>
    </row>
    <row r="1289">
      <c r="N1289" s="87"/>
    </row>
    <row r="1290">
      <c r="N1290" s="87"/>
    </row>
    <row r="1291">
      <c r="N1291" s="87"/>
    </row>
    <row r="1292">
      <c r="N1292" s="87"/>
    </row>
    <row r="1293">
      <c r="N1293" s="87"/>
    </row>
    <row r="1294">
      <c r="N1294" s="87"/>
    </row>
    <row r="1295">
      <c r="N1295" s="87"/>
    </row>
    <row r="1296">
      <c r="N1296" s="87"/>
    </row>
    <row r="1297">
      <c r="N1297" s="87"/>
    </row>
    <row r="1298">
      <c r="N1298" s="87"/>
    </row>
    <row r="1299">
      <c r="N1299" s="87"/>
    </row>
    <row r="1300">
      <c r="N1300" s="87"/>
    </row>
    <row r="1301">
      <c r="N1301" s="87"/>
    </row>
    <row r="1302">
      <c r="N1302" s="87"/>
    </row>
    <row r="1303">
      <c r="N1303" s="87"/>
    </row>
    <row r="1304">
      <c r="N1304" s="87"/>
    </row>
    <row r="1305">
      <c r="N1305" s="87"/>
    </row>
    <row r="1306">
      <c r="N1306" s="87"/>
    </row>
    <row r="1307">
      <c r="N1307" s="87"/>
    </row>
    <row r="1308">
      <c r="N1308" s="87"/>
    </row>
    <row r="1309">
      <c r="N1309" s="87"/>
    </row>
    <row r="1310">
      <c r="N1310" s="87"/>
    </row>
    <row r="1311">
      <c r="N1311" s="87"/>
    </row>
    <row r="1312">
      <c r="N1312" s="87"/>
    </row>
    <row r="1313">
      <c r="N1313" s="87"/>
    </row>
    <row r="1314">
      <c r="N1314" s="87"/>
    </row>
    <row r="1315">
      <c r="N1315" s="87"/>
    </row>
    <row r="1316">
      <c r="N1316" s="87"/>
    </row>
    <row r="1317">
      <c r="N1317" s="87"/>
    </row>
    <row r="1318">
      <c r="N1318" s="87"/>
    </row>
    <row r="1319">
      <c r="N1319" s="87"/>
    </row>
    <row r="1320">
      <c r="N1320" s="87"/>
    </row>
    <row r="1321">
      <c r="N1321" s="87"/>
    </row>
    <row r="1322">
      <c r="N1322" s="87"/>
    </row>
    <row r="1323">
      <c r="N1323" s="87"/>
    </row>
    <row r="1324">
      <c r="N1324" s="87"/>
    </row>
    <row r="1325">
      <c r="N1325" s="87"/>
    </row>
    <row r="1326">
      <c r="N1326" s="87"/>
    </row>
    <row r="1327">
      <c r="N1327" s="87"/>
    </row>
    <row r="1328">
      <c r="N1328" s="87"/>
    </row>
    <row r="1329">
      <c r="N1329" s="87"/>
    </row>
    <row r="1330">
      <c r="N1330" s="87"/>
    </row>
    <row r="1331">
      <c r="N1331" s="87"/>
    </row>
    <row r="1332">
      <c r="N1332" s="87"/>
    </row>
    <row r="1333">
      <c r="N1333" s="87"/>
    </row>
    <row r="1334">
      <c r="N1334" s="87"/>
    </row>
    <row r="1335">
      <c r="N1335" s="87"/>
    </row>
    <row r="1336">
      <c r="N1336" s="87"/>
    </row>
    <row r="1337">
      <c r="N1337" s="87"/>
    </row>
    <row r="1338">
      <c r="N1338" s="87"/>
    </row>
    <row r="1339">
      <c r="N1339" s="87"/>
    </row>
    <row r="1340">
      <c r="N1340" s="87"/>
    </row>
    <row r="1341">
      <c r="N1341" s="87"/>
    </row>
    <row r="1342">
      <c r="N1342" s="87"/>
    </row>
    <row r="1343">
      <c r="N1343" s="87"/>
    </row>
    <row r="1344">
      <c r="N1344" s="87"/>
    </row>
    <row r="1345">
      <c r="N1345" s="87"/>
    </row>
    <row r="1346">
      <c r="N1346" s="87"/>
    </row>
    <row r="1347">
      <c r="N1347" s="87"/>
    </row>
    <row r="1348">
      <c r="N1348" s="87"/>
    </row>
    <row r="1349">
      <c r="N1349" s="87"/>
    </row>
    <row r="1350">
      <c r="N1350" s="87"/>
    </row>
    <row r="1351">
      <c r="N1351" s="87"/>
    </row>
    <row r="1352">
      <c r="N1352" s="87"/>
    </row>
    <row r="1353">
      <c r="N1353" s="87"/>
    </row>
    <row r="1354">
      <c r="N1354" s="87"/>
    </row>
    <row r="1355">
      <c r="N1355" s="87"/>
    </row>
    <row r="1356">
      <c r="N1356" s="87"/>
    </row>
    <row r="1357">
      <c r="N1357" s="87"/>
    </row>
    <row r="1358">
      <c r="N1358" s="87"/>
    </row>
    <row r="1359">
      <c r="N1359" s="87"/>
    </row>
    <row r="1360">
      <c r="N1360" s="87"/>
    </row>
    <row r="1361">
      <c r="N1361" s="87"/>
    </row>
    <row r="1362">
      <c r="N1362" s="87"/>
    </row>
    <row r="1363">
      <c r="N1363" s="87"/>
    </row>
    <row r="1364">
      <c r="N1364" s="87"/>
    </row>
    <row r="1365">
      <c r="N1365" s="87"/>
    </row>
    <row r="1366">
      <c r="N1366" s="87"/>
    </row>
    <row r="1367">
      <c r="N1367" s="87"/>
    </row>
    <row r="1368">
      <c r="N1368" s="87"/>
    </row>
    <row r="1369">
      <c r="N1369" s="87"/>
    </row>
    <row r="1370">
      <c r="N1370" s="87"/>
    </row>
    <row r="1371">
      <c r="N1371" s="87"/>
    </row>
    <row r="1372">
      <c r="N1372" s="87"/>
    </row>
    <row r="1373">
      <c r="N1373" s="87"/>
    </row>
    <row r="1374">
      <c r="N1374" s="87"/>
    </row>
    <row r="1375">
      <c r="N1375" s="87"/>
    </row>
    <row r="1376">
      <c r="N1376" s="87"/>
    </row>
    <row r="1377">
      <c r="N1377" s="87"/>
    </row>
    <row r="1378">
      <c r="N1378" s="87"/>
    </row>
    <row r="1379">
      <c r="N1379" s="87"/>
    </row>
    <row r="1380">
      <c r="N1380" s="87"/>
    </row>
    <row r="1381">
      <c r="N1381" s="87"/>
    </row>
    <row r="1382">
      <c r="N1382" s="87"/>
    </row>
    <row r="1383">
      <c r="N1383" s="87"/>
    </row>
    <row r="1384">
      <c r="N1384" s="87"/>
    </row>
    <row r="1385">
      <c r="N1385" s="87"/>
    </row>
    <row r="1386">
      <c r="N1386" s="87"/>
    </row>
    <row r="1387">
      <c r="N1387" s="87"/>
    </row>
    <row r="1388">
      <c r="N1388" s="87"/>
    </row>
    <row r="1389">
      <c r="N1389" s="87"/>
    </row>
    <row r="1390">
      <c r="N1390" s="87"/>
    </row>
    <row r="1391">
      <c r="N1391" s="87"/>
    </row>
    <row r="1392">
      <c r="N1392" s="87"/>
    </row>
    <row r="1393">
      <c r="N1393" s="87"/>
    </row>
    <row r="1394">
      <c r="N1394" s="87"/>
    </row>
    <row r="1395">
      <c r="N1395" s="87"/>
    </row>
    <row r="1396">
      <c r="N1396" s="87"/>
    </row>
    <row r="1397">
      <c r="N1397" s="87"/>
    </row>
    <row r="1398">
      <c r="N1398" s="87"/>
    </row>
    <row r="1399">
      <c r="N1399" s="87"/>
    </row>
    <row r="1400">
      <c r="N1400" s="87"/>
    </row>
    <row r="1401">
      <c r="N1401" s="87"/>
    </row>
    <row r="1402">
      <c r="N1402" s="87"/>
    </row>
    <row r="1403">
      <c r="N1403" s="87"/>
    </row>
    <row r="1404">
      <c r="N1404" s="87"/>
    </row>
    <row r="1405">
      <c r="N1405" s="87"/>
    </row>
    <row r="1406">
      <c r="N1406" s="87"/>
    </row>
    <row r="1407">
      <c r="N1407" s="87"/>
    </row>
    <row r="1408">
      <c r="N1408" s="87"/>
    </row>
    <row r="1409">
      <c r="N1409" s="87"/>
    </row>
    <row r="1410">
      <c r="N1410" s="87"/>
    </row>
    <row r="1411">
      <c r="N1411" s="87"/>
    </row>
    <row r="1412">
      <c r="N1412" s="87"/>
    </row>
    <row r="1413">
      <c r="N1413" s="87"/>
    </row>
    <row r="1414">
      <c r="N1414" s="87"/>
    </row>
    <row r="1415">
      <c r="N1415" s="87"/>
    </row>
    <row r="1416">
      <c r="N1416" s="87"/>
    </row>
    <row r="1417">
      <c r="N1417" s="87"/>
    </row>
    <row r="1418">
      <c r="N1418" s="87"/>
    </row>
    <row r="1419">
      <c r="N1419" s="87"/>
    </row>
    <row r="1420">
      <c r="N1420" s="87"/>
    </row>
    <row r="1421">
      <c r="N1421" s="87"/>
    </row>
    <row r="1422">
      <c r="N1422" s="87"/>
    </row>
    <row r="1423">
      <c r="N1423" s="87"/>
    </row>
    <row r="1424">
      <c r="N1424" s="87"/>
    </row>
    <row r="1425">
      <c r="N1425" s="87"/>
    </row>
    <row r="1426">
      <c r="N1426" s="87"/>
    </row>
    <row r="1427">
      <c r="N1427" s="87"/>
    </row>
    <row r="1428">
      <c r="N1428" s="87"/>
    </row>
    <row r="1429">
      <c r="N1429" s="87"/>
    </row>
    <row r="1430">
      <c r="N1430" s="87"/>
    </row>
    <row r="1431">
      <c r="N1431" s="87"/>
    </row>
    <row r="1432">
      <c r="N1432" s="87"/>
    </row>
    <row r="1433">
      <c r="N1433" s="87"/>
    </row>
    <row r="1434">
      <c r="N1434" s="87"/>
    </row>
    <row r="1435">
      <c r="N1435" s="87"/>
    </row>
    <row r="1436">
      <c r="N1436" s="87"/>
    </row>
    <row r="1437">
      <c r="N1437" s="87"/>
    </row>
    <row r="1438">
      <c r="N1438" s="87"/>
    </row>
    <row r="1439">
      <c r="N1439" s="87"/>
    </row>
    <row r="1440">
      <c r="N1440" s="87"/>
    </row>
    <row r="1441">
      <c r="N1441" s="87"/>
    </row>
    <row r="1442">
      <c r="N1442" s="87"/>
    </row>
    <row r="1443">
      <c r="N1443" s="87"/>
    </row>
    <row r="1444">
      <c r="N1444" s="87"/>
    </row>
    <row r="1445">
      <c r="N1445" s="87"/>
    </row>
    <row r="1446">
      <c r="N1446" s="87"/>
    </row>
    <row r="1447">
      <c r="N1447" s="87"/>
    </row>
    <row r="1448">
      <c r="N1448" s="87"/>
    </row>
    <row r="1449">
      <c r="N1449" s="87"/>
    </row>
    <row r="1450">
      <c r="N1450" s="87"/>
    </row>
    <row r="1451">
      <c r="N1451" s="87"/>
    </row>
    <row r="1452">
      <c r="N1452" s="87"/>
    </row>
    <row r="1453">
      <c r="N1453" s="87"/>
    </row>
    <row r="1454">
      <c r="N1454" s="87"/>
    </row>
    <row r="1455">
      <c r="N1455" s="87"/>
    </row>
    <row r="1456">
      <c r="N1456" s="87"/>
    </row>
    <row r="1457">
      <c r="N1457" s="87"/>
    </row>
    <row r="1458">
      <c r="N1458" s="87"/>
    </row>
    <row r="1459">
      <c r="N1459" s="87"/>
    </row>
    <row r="1460">
      <c r="N1460" s="87"/>
    </row>
    <row r="1461">
      <c r="N1461" s="87"/>
    </row>
    <row r="1462">
      <c r="N1462" s="87"/>
    </row>
    <row r="1463">
      <c r="N1463" s="87"/>
    </row>
    <row r="1464">
      <c r="N1464" s="87"/>
    </row>
    <row r="1465">
      <c r="N1465" s="87"/>
    </row>
    <row r="1466">
      <c r="N1466" s="87"/>
    </row>
    <row r="1467">
      <c r="N1467" s="87"/>
    </row>
    <row r="1468">
      <c r="N1468" s="87"/>
    </row>
    <row r="1469">
      <c r="N1469" s="87"/>
    </row>
    <row r="1470">
      <c r="N1470" s="87"/>
    </row>
    <row r="1471">
      <c r="N1471" s="87"/>
    </row>
    <row r="1472">
      <c r="N1472" s="87"/>
    </row>
    <row r="1473">
      <c r="N1473" s="87"/>
    </row>
    <row r="1474">
      <c r="N1474" s="87"/>
    </row>
    <row r="1475">
      <c r="N1475" s="87"/>
    </row>
    <row r="1476">
      <c r="N1476" s="87"/>
    </row>
    <row r="1477">
      <c r="N1477" s="87"/>
    </row>
    <row r="1478">
      <c r="N1478" s="87"/>
    </row>
    <row r="1479">
      <c r="N1479" s="87"/>
    </row>
    <row r="1480">
      <c r="N1480" s="87"/>
    </row>
    <row r="1481">
      <c r="N1481" s="87"/>
    </row>
    <row r="1482">
      <c r="N1482" s="87"/>
    </row>
    <row r="1483">
      <c r="N1483" s="87"/>
    </row>
    <row r="1484">
      <c r="N1484" s="87"/>
    </row>
    <row r="1485">
      <c r="N1485" s="87"/>
    </row>
    <row r="1486">
      <c r="N1486" s="87"/>
    </row>
    <row r="1487">
      <c r="N1487" s="87"/>
    </row>
    <row r="1488">
      <c r="N1488" s="87"/>
    </row>
    <row r="1489">
      <c r="N1489" s="87"/>
    </row>
    <row r="1490">
      <c r="N1490" s="87"/>
    </row>
    <row r="1491">
      <c r="N1491" s="87"/>
    </row>
    <row r="1492">
      <c r="N1492" s="87"/>
    </row>
    <row r="1493">
      <c r="N1493" s="87"/>
    </row>
    <row r="1494">
      <c r="N1494" s="87"/>
    </row>
    <row r="1495">
      <c r="N1495" s="87"/>
    </row>
    <row r="1496">
      <c r="N1496" s="87"/>
    </row>
    <row r="1497">
      <c r="N1497" s="87"/>
    </row>
    <row r="1498">
      <c r="N1498" s="87"/>
    </row>
    <row r="1499">
      <c r="N1499" s="87"/>
    </row>
    <row r="1500">
      <c r="N1500" s="87"/>
    </row>
    <row r="1501">
      <c r="N1501" s="87"/>
    </row>
    <row r="1502">
      <c r="N1502" s="87"/>
    </row>
    <row r="1503">
      <c r="N1503" s="87"/>
    </row>
    <row r="1504">
      <c r="N1504" s="87"/>
    </row>
    <row r="1505">
      <c r="N1505" s="87"/>
    </row>
    <row r="1506">
      <c r="N1506" s="87"/>
    </row>
    <row r="1507">
      <c r="N1507" s="87"/>
    </row>
    <row r="1508">
      <c r="N1508" s="87"/>
    </row>
    <row r="1509">
      <c r="N1509" s="87"/>
    </row>
    <row r="1510">
      <c r="N1510" s="87"/>
    </row>
    <row r="1511">
      <c r="N1511" s="87"/>
    </row>
    <row r="1512">
      <c r="N1512" s="87"/>
    </row>
    <row r="1513">
      <c r="N1513" s="87"/>
    </row>
    <row r="1514">
      <c r="N1514" s="87"/>
    </row>
    <row r="1515">
      <c r="N1515" s="87"/>
    </row>
    <row r="1516">
      <c r="N1516" s="87"/>
    </row>
    <row r="1517">
      <c r="N1517" s="87"/>
    </row>
    <row r="1518">
      <c r="N1518" s="87"/>
    </row>
    <row r="1519">
      <c r="N1519" s="87"/>
    </row>
    <row r="1520">
      <c r="N1520" s="87"/>
    </row>
    <row r="1521">
      <c r="N1521" s="87"/>
    </row>
    <row r="1522">
      <c r="N1522" s="87"/>
    </row>
    <row r="1523">
      <c r="N1523" s="87"/>
    </row>
    <row r="1524">
      <c r="N1524" s="87"/>
    </row>
    <row r="1525">
      <c r="N1525" s="87"/>
    </row>
    <row r="1526">
      <c r="N1526" s="87"/>
    </row>
    <row r="1527">
      <c r="N1527" s="87"/>
    </row>
    <row r="1528">
      <c r="N1528" s="87"/>
    </row>
    <row r="1529">
      <c r="N1529" s="87"/>
    </row>
    <row r="1530">
      <c r="N1530" s="87"/>
    </row>
    <row r="1531">
      <c r="N1531" s="87"/>
    </row>
    <row r="1532">
      <c r="N1532" s="87"/>
    </row>
    <row r="1533">
      <c r="N1533" s="87"/>
    </row>
    <row r="1534">
      <c r="N1534" s="87"/>
    </row>
    <row r="1535">
      <c r="N1535" s="87"/>
    </row>
    <row r="1536">
      <c r="N1536" s="87"/>
    </row>
    <row r="1537">
      <c r="N1537" s="87"/>
    </row>
    <row r="1538">
      <c r="N1538" s="87"/>
    </row>
    <row r="1539">
      <c r="N1539" s="87"/>
    </row>
    <row r="1540">
      <c r="N1540" s="87"/>
    </row>
    <row r="1541">
      <c r="N1541" s="87"/>
    </row>
    <row r="1542">
      <c r="N1542" s="87"/>
    </row>
    <row r="1543">
      <c r="N1543" s="87"/>
    </row>
    <row r="1544">
      <c r="N1544" s="87"/>
    </row>
    <row r="1545">
      <c r="N1545" s="87"/>
    </row>
    <row r="1546">
      <c r="N1546" s="87"/>
    </row>
    <row r="1547">
      <c r="N1547" s="87"/>
    </row>
    <row r="1548">
      <c r="N1548" s="87"/>
    </row>
    <row r="1549">
      <c r="N1549" s="87"/>
    </row>
    <row r="1550">
      <c r="N1550" s="87"/>
    </row>
    <row r="1551">
      <c r="N1551" s="87"/>
    </row>
    <row r="1552">
      <c r="N1552" s="87"/>
    </row>
    <row r="1553">
      <c r="N1553" s="87"/>
    </row>
    <row r="1554">
      <c r="N1554" s="87"/>
    </row>
    <row r="1555">
      <c r="N1555" s="87"/>
    </row>
    <row r="1556">
      <c r="N1556" s="87"/>
    </row>
    <row r="1557">
      <c r="N1557" s="87"/>
    </row>
    <row r="1558">
      <c r="N1558" s="87"/>
    </row>
    <row r="1559">
      <c r="N1559" s="87"/>
    </row>
    <row r="1560">
      <c r="N1560" s="87"/>
    </row>
    <row r="1561">
      <c r="N1561" s="87"/>
    </row>
    <row r="1562">
      <c r="N1562" s="87"/>
    </row>
    <row r="1563">
      <c r="N1563" s="87"/>
    </row>
    <row r="1564">
      <c r="N1564" s="87"/>
    </row>
    <row r="1565">
      <c r="N1565" s="87"/>
    </row>
    <row r="1566">
      <c r="N1566" s="87"/>
    </row>
    <row r="1567">
      <c r="N1567" s="87"/>
    </row>
    <row r="1568">
      <c r="N1568" s="87"/>
    </row>
    <row r="1569">
      <c r="N1569" s="87"/>
    </row>
    <row r="1570">
      <c r="N1570" s="87"/>
    </row>
    <row r="1571">
      <c r="N1571" s="87"/>
    </row>
    <row r="1572">
      <c r="N1572" s="87"/>
    </row>
    <row r="1573">
      <c r="N1573" s="87"/>
    </row>
    <row r="1574">
      <c r="N1574" s="87"/>
    </row>
    <row r="1575">
      <c r="N1575" s="87"/>
    </row>
    <row r="1576">
      <c r="N1576" s="87"/>
    </row>
    <row r="1577">
      <c r="N1577" s="87"/>
    </row>
    <row r="1578">
      <c r="N1578" s="87"/>
    </row>
    <row r="1579">
      <c r="N1579" s="87"/>
    </row>
    <row r="1580">
      <c r="N1580" s="87"/>
    </row>
    <row r="1581">
      <c r="N1581" s="87"/>
    </row>
    <row r="1582">
      <c r="N1582" s="87"/>
    </row>
    <row r="1583">
      <c r="N1583" s="87"/>
    </row>
    <row r="1584">
      <c r="N1584" s="87"/>
    </row>
    <row r="1585">
      <c r="N1585" s="87"/>
    </row>
    <row r="1586">
      <c r="N1586" s="87"/>
    </row>
    <row r="1587">
      <c r="N1587" s="87"/>
    </row>
    <row r="1588">
      <c r="N1588" s="87"/>
    </row>
    <row r="1589">
      <c r="N1589" s="87"/>
    </row>
    <row r="1590">
      <c r="N1590" s="87"/>
    </row>
    <row r="1591">
      <c r="N1591" s="87"/>
    </row>
    <row r="1592">
      <c r="N1592" s="87"/>
    </row>
    <row r="1593">
      <c r="N1593" s="87"/>
    </row>
    <row r="1594">
      <c r="N1594" s="87"/>
    </row>
    <row r="1595">
      <c r="N1595" s="87"/>
    </row>
    <row r="1596">
      <c r="N1596" s="87"/>
    </row>
    <row r="1597">
      <c r="N1597" s="87"/>
    </row>
    <row r="1598">
      <c r="N1598" s="87"/>
    </row>
    <row r="1599">
      <c r="N1599" s="87"/>
    </row>
    <row r="1600">
      <c r="N1600" s="87"/>
    </row>
    <row r="1601">
      <c r="N1601" s="87"/>
    </row>
    <row r="1602">
      <c r="N1602" s="87"/>
    </row>
    <row r="1603">
      <c r="N1603" s="87"/>
    </row>
    <row r="1604">
      <c r="N1604" s="87"/>
    </row>
    <row r="1605">
      <c r="N1605" s="87"/>
    </row>
    <row r="1606">
      <c r="N1606" s="87"/>
    </row>
    <row r="1607">
      <c r="N1607" s="87"/>
    </row>
    <row r="1608">
      <c r="N1608" s="87"/>
    </row>
    <row r="1609">
      <c r="N1609" s="87"/>
    </row>
    <row r="1610">
      <c r="N1610" s="87"/>
    </row>
    <row r="1611">
      <c r="N1611" s="87"/>
    </row>
    <row r="1612">
      <c r="N1612" s="87"/>
    </row>
    <row r="1613">
      <c r="N1613" s="87"/>
    </row>
    <row r="1614">
      <c r="N1614" s="87"/>
    </row>
    <row r="1615">
      <c r="N1615" s="87"/>
    </row>
    <row r="1616">
      <c r="N1616" s="87"/>
    </row>
    <row r="1617">
      <c r="N1617" s="87"/>
    </row>
    <row r="1618">
      <c r="N1618" s="87"/>
    </row>
    <row r="1619">
      <c r="N1619" s="87"/>
    </row>
    <row r="1620">
      <c r="N1620" s="87"/>
    </row>
    <row r="1621">
      <c r="N1621" s="87"/>
    </row>
    <row r="1622">
      <c r="N1622" s="87"/>
    </row>
    <row r="1623">
      <c r="N1623" s="87"/>
    </row>
    <row r="1624">
      <c r="N1624" s="87"/>
    </row>
    <row r="1625">
      <c r="N1625" s="87"/>
    </row>
    <row r="1626">
      <c r="N1626" s="87"/>
    </row>
    <row r="1627">
      <c r="N1627" s="87"/>
    </row>
    <row r="1628">
      <c r="N1628" s="87"/>
    </row>
    <row r="1629">
      <c r="N1629" s="87"/>
    </row>
    <row r="1630">
      <c r="N1630" s="87"/>
    </row>
    <row r="1631">
      <c r="N1631" s="87"/>
    </row>
    <row r="1632">
      <c r="N1632" s="87"/>
    </row>
    <row r="1633">
      <c r="N1633" s="87"/>
    </row>
    <row r="1634">
      <c r="N1634" s="87"/>
    </row>
    <row r="1635">
      <c r="N1635" s="87"/>
    </row>
    <row r="1636">
      <c r="N1636" s="87"/>
    </row>
    <row r="1637">
      <c r="N1637" s="87"/>
    </row>
    <row r="1638">
      <c r="N1638" s="87"/>
    </row>
    <row r="1639">
      <c r="N1639" s="87"/>
    </row>
    <row r="1640">
      <c r="N1640" s="87"/>
    </row>
    <row r="1641">
      <c r="N1641" s="87"/>
    </row>
    <row r="1642">
      <c r="N1642" s="87"/>
    </row>
    <row r="1643">
      <c r="N1643" s="87"/>
    </row>
    <row r="1644">
      <c r="N1644" s="87"/>
    </row>
    <row r="1645">
      <c r="N1645" s="87"/>
    </row>
    <row r="1646">
      <c r="N1646" s="87"/>
    </row>
    <row r="1647">
      <c r="N1647" s="87"/>
    </row>
    <row r="1648">
      <c r="N1648" s="87"/>
    </row>
    <row r="1649">
      <c r="N1649" s="87"/>
    </row>
    <row r="1650">
      <c r="N1650" s="87"/>
    </row>
    <row r="1651">
      <c r="N1651" s="87"/>
    </row>
    <row r="1652">
      <c r="N1652" s="87"/>
    </row>
    <row r="1653">
      <c r="N1653" s="87"/>
    </row>
    <row r="1654">
      <c r="N1654" s="87"/>
    </row>
    <row r="1655">
      <c r="N1655" s="87"/>
    </row>
    <row r="1656">
      <c r="N1656" s="87"/>
    </row>
    <row r="1657">
      <c r="N1657" s="87"/>
    </row>
    <row r="1658">
      <c r="N1658" s="87"/>
    </row>
    <row r="1659">
      <c r="N1659" s="87"/>
    </row>
    <row r="1660">
      <c r="N1660" s="87"/>
    </row>
    <row r="1661">
      <c r="N1661" s="87"/>
    </row>
    <row r="1662">
      <c r="N1662" s="87"/>
    </row>
    <row r="1663">
      <c r="N1663" s="87"/>
    </row>
    <row r="1664">
      <c r="N1664" s="87"/>
    </row>
    <row r="1665">
      <c r="N1665" s="87"/>
    </row>
    <row r="1666">
      <c r="N1666" s="87"/>
    </row>
    <row r="1667">
      <c r="N1667" s="87"/>
    </row>
    <row r="1668">
      <c r="N1668" s="87"/>
    </row>
    <row r="1669">
      <c r="N1669" s="87"/>
    </row>
    <row r="1670">
      <c r="N1670" s="87"/>
    </row>
    <row r="1671">
      <c r="N1671" s="87"/>
    </row>
    <row r="1672">
      <c r="N1672" s="87"/>
    </row>
    <row r="1673">
      <c r="N1673" s="87"/>
    </row>
    <row r="1674">
      <c r="N1674" s="87"/>
    </row>
    <row r="1675">
      <c r="N1675" s="87"/>
    </row>
    <row r="1676">
      <c r="N1676" s="87"/>
    </row>
    <row r="1677">
      <c r="N1677" s="87"/>
    </row>
    <row r="1678">
      <c r="N1678" s="87"/>
    </row>
    <row r="1679">
      <c r="N1679" s="87"/>
    </row>
    <row r="1680">
      <c r="N1680" s="87"/>
    </row>
    <row r="1681">
      <c r="N1681" s="87"/>
    </row>
    <row r="1682">
      <c r="N1682" s="87"/>
    </row>
    <row r="1683">
      <c r="N1683" s="87"/>
    </row>
    <row r="1684">
      <c r="N1684" s="87"/>
    </row>
    <row r="1685">
      <c r="N1685" s="87"/>
    </row>
    <row r="1686">
      <c r="N1686" s="87"/>
    </row>
    <row r="1687">
      <c r="N1687" s="87"/>
    </row>
    <row r="1688">
      <c r="N1688" s="87"/>
    </row>
    <row r="1689">
      <c r="N1689" s="87"/>
    </row>
    <row r="1690">
      <c r="N1690" s="87"/>
    </row>
    <row r="1691">
      <c r="N1691" s="87"/>
    </row>
    <row r="1692">
      <c r="N1692" s="87"/>
    </row>
    <row r="1693">
      <c r="N1693" s="87"/>
    </row>
    <row r="1694">
      <c r="N1694" s="87"/>
    </row>
    <row r="1695">
      <c r="N1695" s="87"/>
    </row>
    <row r="1696">
      <c r="N1696" s="87"/>
    </row>
    <row r="1697">
      <c r="N1697" s="87"/>
    </row>
    <row r="1698">
      <c r="N1698" s="87"/>
    </row>
    <row r="1699">
      <c r="N1699" s="87"/>
    </row>
    <row r="1700">
      <c r="N1700" s="87"/>
    </row>
    <row r="1701">
      <c r="N1701" s="87"/>
    </row>
    <row r="1702">
      <c r="N1702" s="87"/>
    </row>
    <row r="1703">
      <c r="N1703" s="87"/>
    </row>
    <row r="1704">
      <c r="N1704" s="87"/>
    </row>
    <row r="1705">
      <c r="N1705" s="87"/>
    </row>
    <row r="1706">
      <c r="N1706" s="87"/>
    </row>
    <row r="1707">
      <c r="N1707" s="87"/>
    </row>
    <row r="1708">
      <c r="N1708" s="87"/>
    </row>
    <row r="1709">
      <c r="N1709" s="87"/>
    </row>
    <row r="1710">
      <c r="N1710" s="87"/>
    </row>
    <row r="1711">
      <c r="N1711" s="87"/>
    </row>
    <row r="1712">
      <c r="N1712" s="87"/>
    </row>
    <row r="1713">
      <c r="N1713" s="87"/>
    </row>
    <row r="1714">
      <c r="N1714" s="87"/>
    </row>
    <row r="1715">
      <c r="N1715" s="87"/>
    </row>
    <row r="1716">
      <c r="N1716" s="87"/>
    </row>
    <row r="1717">
      <c r="N1717" s="87"/>
    </row>
    <row r="1718">
      <c r="N1718" s="87"/>
    </row>
    <row r="1719">
      <c r="N1719" s="87"/>
    </row>
    <row r="1720">
      <c r="N1720" s="87"/>
    </row>
    <row r="1721">
      <c r="N1721" s="87"/>
    </row>
    <row r="1722">
      <c r="N1722" s="87"/>
    </row>
    <row r="1723">
      <c r="N1723" s="87"/>
    </row>
    <row r="1724">
      <c r="N1724" s="87"/>
    </row>
    <row r="1725">
      <c r="N1725" s="87"/>
    </row>
    <row r="1726">
      <c r="N1726" s="87"/>
    </row>
    <row r="1727">
      <c r="N1727" s="87"/>
    </row>
    <row r="1728">
      <c r="N1728" s="87"/>
    </row>
    <row r="1729">
      <c r="N1729" s="87"/>
    </row>
    <row r="1730">
      <c r="N1730" s="87"/>
    </row>
    <row r="1731">
      <c r="N1731" s="87"/>
    </row>
    <row r="1732">
      <c r="N1732" s="87"/>
    </row>
    <row r="1733">
      <c r="N1733" s="87"/>
    </row>
    <row r="1734">
      <c r="N1734" s="87"/>
    </row>
    <row r="1735">
      <c r="N1735" s="87"/>
    </row>
    <row r="1736">
      <c r="N1736" s="87"/>
    </row>
    <row r="1737">
      <c r="N1737" s="87"/>
    </row>
    <row r="1738">
      <c r="N1738" s="87"/>
    </row>
    <row r="1739">
      <c r="N1739" s="87"/>
    </row>
    <row r="1740">
      <c r="N1740" s="87"/>
    </row>
    <row r="1741">
      <c r="N1741" s="87"/>
    </row>
    <row r="1742">
      <c r="N1742" s="87"/>
    </row>
    <row r="1743">
      <c r="N1743" s="87"/>
    </row>
    <row r="1744">
      <c r="N1744" s="87"/>
    </row>
    <row r="1745">
      <c r="N1745" s="87"/>
    </row>
    <row r="1746">
      <c r="N1746" s="87"/>
    </row>
    <row r="1747">
      <c r="N1747" s="87"/>
    </row>
    <row r="1748">
      <c r="N1748" s="87"/>
    </row>
    <row r="1749">
      <c r="N1749" s="87"/>
    </row>
    <row r="1750">
      <c r="N1750" s="87"/>
    </row>
    <row r="1751">
      <c r="N1751" s="87"/>
    </row>
    <row r="1752">
      <c r="N1752" s="87"/>
    </row>
    <row r="1753">
      <c r="N1753" s="87"/>
    </row>
    <row r="1754">
      <c r="N1754" s="87"/>
    </row>
    <row r="1755">
      <c r="N1755" s="87"/>
    </row>
    <row r="1756">
      <c r="N1756" s="87"/>
    </row>
    <row r="1757">
      <c r="N1757" s="87"/>
    </row>
    <row r="1758">
      <c r="N1758" s="87"/>
    </row>
    <row r="1759">
      <c r="N1759" s="87"/>
    </row>
    <row r="1760">
      <c r="N1760" s="87"/>
    </row>
    <row r="1761">
      <c r="N1761" s="87"/>
    </row>
    <row r="1762">
      <c r="N1762" s="87"/>
    </row>
    <row r="1763">
      <c r="N1763" s="87"/>
    </row>
    <row r="1764">
      <c r="N1764" s="87"/>
    </row>
    <row r="1765">
      <c r="N1765" s="87"/>
    </row>
    <row r="1766">
      <c r="N1766" s="87"/>
    </row>
    <row r="1767">
      <c r="N1767" s="87"/>
    </row>
    <row r="1768">
      <c r="N1768" s="87"/>
    </row>
    <row r="1769">
      <c r="N1769" s="87"/>
    </row>
    <row r="1770">
      <c r="N1770" s="87"/>
    </row>
    <row r="1771">
      <c r="N1771" s="87"/>
    </row>
    <row r="1772">
      <c r="N1772" s="87"/>
    </row>
    <row r="1773">
      <c r="N1773" s="87"/>
    </row>
    <row r="1774">
      <c r="N1774" s="87"/>
    </row>
    <row r="1775">
      <c r="N1775" s="87"/>
    </row>
    <row r="1776">
      <c r="N1776" s="87"/>
    </row>
    <row r="1777">
      <c r="N1777" s="87"/>
    </row>
    <row r="1778">
      <c r="N1778" s="87"/>
    </row>
    <row r="1779">
      <c r="N1779" s="87"/>
    </row>
    <row r="1780">
      <c r="N1780" s="87"/>
    </row>
    <row r="1781">
      <c r="N1781" s="87"/>
    </row>
    <row r="1782">
      <c r="N1782" s="87"/>
    </row>
    <row r="1783">
      <c r="N1783" s="87"/>
    </row>
    <row r="1784">
      <c r="N1784" s="87"/>
    </row>
    <row r="1785">
      <c r="N1785" s="87"/>
    </row>
    <row r="1786">
      <c r="N1786" s="87"/>
    </row>
    <row r="1787">
      <c r="N1787" s="87"/>
    </row>
    <row r="1788">
      <c r="N1788" s="87"/>
    </row>
    <row r="1789">
      <c r="N1789" s="87"/>
    </row>
    <row r="1790">
      <c r="N1790" s="87"/>
    </row>
    <row r="1791">
      <c r="N1791" s="87"/>
    </row>
    <row r="1792">
      <c r="N1792" s="87"/>
    </row>
    <row r="1793">
      <c r="N1793" s="87"/>
    </row>
    <row r="1794">
      <c r="N1794" s="87"/>
    </row>
    <row r="1795">
      <c r="N1795" s="87"/>
    </row>
    <row r="1796">
      <c r="N1796" s="87"/>
    </row>
    <row r="1797">
      <c r="N1797" s="87"/>
    </row>
    <row r="1798">
      <c r="N1798" s="87"/>
    </row>
    <row r="1799">
      <c r="N1799" s="87"/>
    </row>
    <row r="1800">
      <c r="N1800" s="87"/>
    </row>
    <row r="1801">
      <c r="N1801" s="87"/>
    </row>
    <row r="1802">
      <c r="N1802" s="87"/>
    </row>
    <row r="1803">
      <c r="N1803" s="87"/>
    </row>
    <row r="1804">
      <c r="N1804" s="87"/>
    </row>
    <row r="1805">
      <c r="N1805" s="87"/>
    </row>
    <row r="1806">
      <c r="N1806" s="87"/>
    </row>
    <row r="1807">
      <c r="N1807" s="87"/>
    </row>
    <row r="1808">
      <c r="N1808" s="87"/>
    </row>
    <row r="1809">
      <c r="N1809" s="87"/>
    </row>
    <row r="1810">
      <c r="N1810" s="87"/>
    </row>
    <row r="1811">
      <c r="N1811" s="87"/>
    </row>
    <row r="1812">
      <c r="N1812" s="87"/>
    </row>
    <row r="1813">
      <c r="N1813" s="87"/>
    </row>
    <row r="1814">
      <c r="N1814" s="87"/>
    </row>
    <row r="1815">
      <c r="N1815" s="87"/>
    </row>
    <row r="1816">
      <c r="N1816" s="87"/>
    </row>
    <row r="1817">
      <c r="N1817" s="87"/>
    </row>
    <row r="1818">
      <c r="N1818" s="87"/>
    </row>
    <row r="1819">
      <c r="N1819" s="87"/>
    </row>
    <row r="1820">
      <c r="N1820" s="87"/>
    </row>
    <row r="1821">
      <c r="N1821" s="87"/>
    </row>
    <row r="1822">
      <c r="N1822" s="87"/>
    </row>
    <row r="1823">
      <c r="N1823" s="87"/>
    </row>
    <row r="1824">
      <c r="N1824" s="87"/>
    </row>
    <row r="1825">
      <c r="N1825" s="87"/>
    </row>
    <row r="1826">
      <c r="N1826" s="87"/>
    </row>
    <row r="1827">
      <c r="N1827" s="87"/>
    </row>
    <row r="1828">
      <c r="N1828" s="87"/>
    </row>
    <row r="1829">
      <c r="N1829" s="87"/>
    </row>
    <row r="1830">
      <c r="N1830" s="87"/>
    </row>
    <row r="1831">
      <c r="N1831" s="87"/>
    </row>
    <row r="1832">
      <c r="N1832" s="87"/>
    </row>
    <row r="1833">
      <c r="N1833" s="87"/>
    </row>
    <row r="1834">
      <c r="N1834" s="87"/>
    </row>
    <row r="1835">
      <c r="N1835" s="87"/>
    </row>
    <row r="1836">
      <c r="N1836" s="87"/>
    </row>
    <row r="1837">
      <c r="N1837" s="87"/>
    </row>
    <row r="1838">
      <c r="N1838" s="87"/>
    </row>
    <row r="1839">
      <c r="N1839" s="87"/>
    </row>
    <row r="1840">
      <c r="N1840" s="87"/>
    </row>
    <row r="1841">
      <c r="N1841" s="87"/>
    </row>
    <row r="1842">
      <c r="N1842" s="87"/>
    </row>
    <row r="1843">
      <c r="N1843" s="87"/>
    </row>
    <row r="1844">
      <c r="N1844" s="87"/>
    </row>
    <row r="1845">
      <c r="N1845" s="87"/>
    </row>
    <row r="1846">
      <c r="N1846" s="87"/>
    </row>
    <row r="1847">
      <c r="N1847" s="87"/>
    </row>
    <row r="1848">
      <c r="N1848" s="87"/>
    </row>
    <row r="1849">
      <c r="N1849" s="87"/>
    </row>
    <row r="1850">
      <c r="N1850" s="87"/>
    </row>
    <row r="1851">
      <c r="N1851" s="87"/>
    </row>
    <row r="1852">
      <c r="N1852" s="87"/>
    </row>
    <row r="1853">
      <c r="N1853" s="87"/>
    </row>
    <row r="1854">
      <c r="N1854" s="87"/>
    </row>
    <row r="1855">
      <c r="N1855" s="87"/>
    </row>
    <row r="1856">
      <c r="N1856" s="87"/>
    </row>
    <row r="1857">
      <c r="N1857" s="87"/>
    </row>
    <row r="1858">
      <c r="N1858" s="87"/>
    </row>
    <row r="1859">
      <c r="N1859" s="87"/>
    </row>
    <row r="1860">
      <c r="N1860" s="87"/>
    </row>
    <row r="1861">
      <c r="N1861" s="87"/>
    </row>
    <row r="1862">
      <c r="N1862" s="87"/>
    </row>
    <row r="1863">
      <c r="N1863" s="87"/>
    </row>
    <row r="1864">
      <c r="N1864" s="87"/>
    </row>
    <row r="1865">
      <c r="N1865" s="87"/>
    </row>
    <row r="1866">
      <c r="N1866" s="87"/>
    </row>
    <row r="1867">
      <c r="N1867" s="87"/>
    </row>
    <row r="1868">
      <c r="N1868" s="87"/>
    </row>
    <row r="1869">
      <c r="N1869" s="87"/>
    </row>
    <row r="1870">
      <c r="N1870" s="87"/>
    </row>
    <row r="1871">
      <c r="N1871" s="87"/>
    </row>
    <row r="1872">
      <c r="N1872" s="87"/>
    </row>
    <row r="1873">
      <c r="N1873" s="87"/>
    </row>
    <row r="1874">
      <c r="N1874" s="87"/>
    </row>
    <row r="1875">
      <c r="N1875" s="87"/>
    </row>
    <row r="1876">
      <c r="N1876" s="87"/>
    </row>
    <row r="1877">
      <c r="N1877" s="87"/>
    </row>
    <row r="1878">
      <c r="N1878" s="87"/>
    </row>
    <row r="1879">
      <c r="N1879" s="87"/>
    </row>
    <row r="1880">
      <c r="N1880" s="87"/>
    </row>
    <row r="1881">
      <c r="N1881" s="87"/>
    </row>
    <row r="1882">
      <c r="N1882" s="87"/>
    </row>
    <row r="1883">
      <c r="N1883" s="87"/>
    </row>
    <row r="1884">
      <c r="N1884" s="87"/>
    </row>
    <row r="1885">
      <c r="N1885" s="87"/>
    </row>
    <row r="1886">
      <c r="N1886" s="87"/>
    </row>
    <row r="1887">
      <c r="N1887" s="87"/>
    </row>
    <row r="1888">
      <c r="N1888" s="87"/>
    </row>
    <row r="1889">
      <c r="N1889" s="87"/>
    </row>
    <row r="1890">
      <c r="N1890" s="87"/>
    </row>
    <row r="1891">
      <c r="N1891" s="87"/>
    </row>
    <row r="1892">
      <c r="N1892" s="87"/>
    </row>
    <row r="1893">
      <c r="N1893" s="87"/>
    </row>
    <row r="1894">
      <c r="N1894" s="87"/>
    </row>
    <row r="1895">
      <c r="N1895" s="87"/>
    </row>
    <row r="1896">
      <c r="N1896" s="87"/>
    </row>
    <row r="1897">
      <c r="N1897" s="87"/>
    </row>
    <row r="1898">
      <c r="N1898" s="87"/>
    </row>
    <row r="1899">
      <c r="N1899" s="87"/>
    </row>
    <row r="1900">
      <c r="N1900" s="87"/>
    </row>
    <row r="1901">
      <c r="N1901" s="87"/>
    </row>
    <row r="1902">
      <c r="N1902" s="87"/>
    </row>
    <row r="1903">
      <c r="N1903" s="87"/>
    </row>
    <row r="1904">
      <c r="N1904" s="87"/>
    </row>
    <row r="1905">
      <c r="N1905" s="87"/>
    </row>
    <row r="1906">
      <c r="N1906" s="87"/>
    </row>
    <row r="1907">
      <c r="N1907" s="87"/>
    </row>
    <row r="1908">
      <c r="N1908" s="87"/>
    </row>
    <row r="1909">
      <c r="N1909" s="87"/>
    </row>
    <row r="1910">
      <c r="N1910" s="87"/>
    </row>
    <row r="1911">
      <c r="N1911" s="87"/>
    </row>
    <row r="1912">
      <c r="N1912" s="87"/>
    </row>
    <row r="1913">
      <c r="N1913" s="87"/>
    </row>
    <row r="1914">
      <c r="N1914" s="87"/>
    </row>
    <row r="1915">
      <c r="N1915" s="87"/>
    </row>
    <row r="1916">
      <c r="N1916" s="87"/>
    </row>
    <row r="1917">
      <c r="N1917" s="87"/>
    </row>
    <row r="1918">
      <c r="N1918" s="87"/>
    </row>
    <row r="1919">
      <c r="N1919" s="87"/>
    </row>
    <row r="1920">
      <c r="N1920" s="87"/>
    </row>
    <row r="1921">
      <c r="N1921" s="87"/>
    </row>
    <row r="1922">
      <c r="N1922" s="87"/>
    </row>
    <row r="1923">
      <c r="N1923" s="87"/>
    </row>
    <row r="1924">
      <c r="N1924" s="87"/>
    </row>
    <row r="1925">
      <c r="N1925" s="87"/>
    </row>
    <row r="1926">
      <c r="N1926" s="87"/>
    </row>
    <row r="1927">
      <c r="N1927" s="87"/>
    </row>
    <row r="1928">
      <c r="N1928" s="87"/>
    </row>
    <row r="1929">
      <c r="N1929" s="87"/>
    </row>
    <row r="1930">
      <c r="N1930" s="87"/>
    </row>
    <row r="1931">
      <c r="N1931" s="87"/>
    </row>
    <row r="1932">
      <c r="N1932" s="87"/>
    </row>
    <row r="1933">
      <c r="N1933" s="87"/>
    </row>
    <row r="1934">
      <c r="N1934" s="87"/>
    </row>
    <row r="1935">
      <c r="N1935" s="87"/>
    </row>
    <row r="1936">
      <c r="N1936" s="87"/>
    </row>
    <row r="1937">
      <c r="N1937" s="87"/>
    </row>
    <row r="1938">
      <c r="N1938" s="87"/>
    </row>
    <row r="1939">
      <c r="N1939" s="87"/>
    </row>
    <row r="1940">
      <c r="N1940" s="87"/>
    </row>
    <row r="1941">
      <c r="N1941" s="87"/>
    </row>
    <row r="1942">
      <c r="N1942" s="87"/>
    </row>
    <row r="1943">
      <c r="N1943" s="87"/>
    </row>
    <row r="1944">
      <c r="N1944" s="87"/>
    </row>
    <row r="1945">
      <c r="N1945" s="87"/>
    </row>
    <row r="1946">
      <c r="N1946" s="87"/>
    </row>
    <row r="1947">
      <c r="N1947" s="87"/>
    </row>
    <row r="1948">
      <c r="N1948" s="87"/>
    </row>
    <row r="1949">
      <c r="N1949" s="87"/>
    </row>
    <row r="1950">
      <c r="N1950" s="87"/>
    </row>
    <row r="1951">
      <c r="N1951" s="87"/>
    </row>
    <row r="1952">
      <c r="N1952" s="87"/>
    </row>
    <row r="1953">
      <c r="N1953" s="87"/>
    </row>
    <row r="1954">
      <c r="N1954" s="87"/>
    </row>
    <row r="1955">
      <c r="N1955" s="87"/>
    </row>
    <row r="1956">
      <c r="N1956" s="87"/>
    </row>
    <row r="1957">
      <c r="N1957" s="87"/>
    </row>
    <row r="1958">
      <c r="N1958" s="87"/>
    </row>
    <row r="1959">
      <c r="N1959" s="87"/>
    </row>
    <row r="1960">
      <c r="N1960" s="87"/>
    </row>
    <row r="1961">
      <c r="N1961" s="87"/>
    </row>
    <row r="1962">
      <c r="N1962" s="87"/>
    </row>
    <row r="1963">
      <c r="N1963" s="87"/>
    </row>
    <row r="1964">
      <c r="N1964" s="87"/>
    </row>
    <row r="1965">
      <c r="N1965" s="87"/>
    </row>
    <row r="1966">
      <c r="N1966" s="87"/>
    </row>
    <row r="1967">
      <c r="N1967" s="87"/>
    </row>
    <row r="1968">
      <c r="N1968" s="87"/>
    </row>
    <row r="1969">
      <c r="N1969" s="87"/>
    </row>
    <row r="1970">
      <c r="N1970" s="87"/>
    </row>
    <row r="1971">
      <c r="N1971" s="87"/>
    </row>
    <row r="1972">
      <c r="N1972" s="87"/>
    </row>
    <row r="1973">
      <c r="N1973" s="87"/>
    </row>
    <row r="1974">
      <c r="N1974" s="87"/>
    </row>
    <row r="1975">
      <c r="N1975" s="87"/>
    </row>
    <row r="1976">
      <c r="N1976" s="87"/>
    </row>
    <row r="1977">
      <c r="N1977" s="87"/>
    </row>
    <row r="1978">
      <c r="N1978" s="87"/>
    </row>
    <row r="1979">
      <c r="N1979" s="87"/>
    </row>
    <row r="1980">
      <c r="N1980" s="87"/>
    </row>
    <row r="1981">
      <c r="N1981" s="87"/>
    </row>
    <row r="1982">
      <c r="N1982" s="87"/>
    </row>
    <row r="1983">
      <c r="N1983" s="87"/>
    </row>
    <row r="1984">
      <c r="N1984" s="87"/>
    </row>
    <row r="1985">
      <c r="N1985" s="87"/>
    </row>
    <row r="1986">
      <c r="N1986" s="87"/>
    </row>
    <row r="1987">
      <c r="N1987" s="87"/>
    </row>
    <row r="1988">
      <c r="N1988" s="87"/>
    </row>
    <row r="1989">
      <c r="N1989" s="87"/>
    </row>
    <row r="1990">
      <c r="N1990" s="87"/>
    </row>
    <row r="1991">
      <c r="N1991" s="87"/>
    </row>
    <row r="1992">
      <c r="N1992" s="87"/>
    </row>
    <row r="1993">
      <c r="N1993" s="87"/>
    </row>
    <row r="1994">
      <c r="N1994" s="87"/>
    </row>
    <row r="1995">
      <c r="N1995" s="87"/>
    </row>
    <row r="1996">
      <c r="N1996" s="87"/>
    </row>
    <row r="1997">
      <c r="N1997" s="87"/>
    </row>
    <row r="1998">
      <c r="N1998" s="87"/>
    </row>
    <row r="1999">
      <c r="N1999" s="87"/>
    </row>
    <row r="2000">
      <c r="N2000" s="87"/>
    </row>
  </sheetData>
  <conditionalFormatting sqref="M1:M2000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179</v>
      </c>
      <c r="B1" s="79" t="s">
        <v>211</v>
      </c>
      <c r="C1" s="79" t="s">
        <v>168</v>
      </c>
      <c r="D1" s="79" t="s">
        <v>212</v>
      </c>
      <c r="E1" s="79" t="s">
        <v>213</v>
      </c>
      <c r="F1" s="79" t="s">
        <v>214</v>
      </c>
      <c r="G1" s="79" t="s">
        <v>170</v>
      </c>
      <c r="H1" s="79" t="s">
        <v>215</v>
      </c>
      <c r="I1" s="79" t="s">
        <v>216</v>
      </c>
      <c r="J1" s="79" t="s">
        <v>217</v>
      </c>
      <c r="K1" s="79" t="s">
        <v>218</v>
      </c>
      <c r="L1" s="79" t="s">
        <v>219</v>
      </c>
      <c r="M1" s="79" t="s">
        <v>99</v>
      </c>
      <c r="N1" s="79" t="s">
        <v>220</v>
      </c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>
      <c r="A2" s="83">
        <v>44620.0</v>
      </c>
      <c r="B2" s="83">
        <v>44620.0</v>
      </c>
      <c r="C2" s="66">
        <v>2354.0</v>
      </c>
      <c r="D2" s="66" t="s">
        <v>221</v>
      </c>
      <c r="E2" s="66">
        <v>3.0</v>
      </c>
      <c r="F2" s="66" t="s">
        <v>222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2">
        <f t="shared" ref="K2:K1356" si="2">I2-H2</f>
        <v>19.564</v>
      </c>
      <c r="L2" s="82">
        <f t="shared" ref="L2:L1356" si="3">J2-H2</f>
        <v>11.3683</v>
      </c>
    </row>
    <row r="3">
      <c r="A3" s="83">
        <v>44620.0</v>
      </c>
      <c r="B3" s="83">
        <v>44620.0</v>
      </c>
      <c r="C3" s="66">
        <v>2354.0</v>
      </c>
      <c r="D3" s="66" t="s">
        <v>221</v>
      </c>
      <c r="E3" s="66">
        <v>3.0</v>
      </c>
      <c r="F3" s="66" t="s">
        <v>222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2">
        <f t="shared" si="2"/>
        <v>10.8943</v>
      </c>
      <c r="L3" s="82">
        <f t="shared" si="3"/>
        <v>6.3791</v>
      </c>
      <c r="N3" s="66" t="s">
        <v>223</v>
      </c>
    </row>
    <row r="4">
      <c r="A4" s="83">
        <v>44620.0</v>
      </c>
      <c r="B4" s="83">
        <v>44620.0</v>
      </c>
      <c r="C4" s="66">
        <v>2381.0</v>
      </c>
      <c r="D4" s="66" t="s">
        <v>221</v>
      </c>
      <c r="E4" s="66">
        <v>3.0</v>
      </c>
      <c r="F4" s="66" t="s">
        <v>222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2">
        <f t="shared" si="2"/>
        <v>9.4342</v>
      </c>
      <c r="L4" s="82">
        <f t="shared" si="3"/>
        <v>5.4782</v>
      </c>
      <c r="N4" s="66" t="s">
        <v>224</v>
      </c>
    </row>
    <row r="5">
      <c r="A5" s="83">
        <v>44620.0</v>
      </c>
      <c r="B5" s="83">
        <v>44620.0</v>
      </c>
      <c r="C5" s="66">
        <v>2301.0</v>
      </c>
      <c r="D5" s="66" t="s">
        <v>221</v>
      </c>
      <c r="E5" s="66">
        <v>3.0</v>
      </c>
      <c r="F5" s="66" t="s">
        <v>222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2">
        <f t="shared" si="2"/>
        <v>7.1133</v>
      </c>
      <c r="L5" s="82">
        <f t="shared" si="3"/>
        <v>3.7438</v>
      </c>
      <c r="N5" s="66" t="s">
        <v>225</v>
      </c>
    </row>
    <row r="6">
      <c r="A6" s="83">
        <v>44620.0</v>
      </c>
      <c r="B6" s="83">
        <v>44620.0</v>
      </c>
      <c r="C6" s="66">
        <v>3477.0</v>
      </c>
      <c r="D6" s="66" t="s">
        <v>221</v>
      </c>
      <c r="E6" s="66">
        <v>3.0</v>
      </c>
      <c r="F6" s="66" t="s">
        <v>222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2">
        <f t="shared" si="2"/>
        <v>14.3925</v>
      </c>
      <c r="L6" s="82">
        <f t="shared" si="3"/>
        <v>7.7057</v>
      </c>
    </row>
    <row r="7">
      <c r="A7" s="83">
        <v>44620.0</v>
      </c>
      <c r="B7" s="83">
        <v>44620.0</v>
      </c>
      <c r="C7" s="66">
        <v>2301.0</v>
      </c>
      <c r="D7" s="66" t="s">
        <v>221</v>
      </c>
      <c r="E7" s="66">
        <v>3.0</v>
      </c>
      <c r="F7" s="66" t="s">
        <v>222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2">
        <f t="shared" si="2"/>
        <v>13.0159</v>
      </c>
      <c r="L7" s="82">
        <f t="shared" si="3"/>
        <v>7.1916</v>
      </c>
    </row>
    <row r="8">
      <c r="A8" s="83">
        <v>44620.0</v>
      </c>
      <c r="B8" s="83">
        <v>44620.0</v>
      </c>
      <c r="C8" s="66">
        <v>2331.0</v>
      </c>
      <c r="D8" s="66" t="s">
        <v>221</v>
      </c>
      <c r="E8" s="66">
        <v>3.0</v>
      </c>
      <c r="F8" s="66" t="s">
        <v>222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2">
        <f t="shared" si="2"/>
        <v>20.4055</v>
      </c>
      <c r="L8" s="82">
        <f t="shared" si="3"/>
        <v>11.8998</v>
      </c>
    </row>
    <row r="9">
      <c r="A9" s="83">
        <v>44620.0</v>
      </c>
      <c r="B9" s="83">
        <v>44620.0</v>
      </c>
      <c r="C9" s="66">
        <v>3480.0</v>
      </c>
      <c r="D9" s="66" t="s">
        <v>221</v>
      </c>
      <c r="E9" s="66">
        <v>3.0</v>
      </c>
      <c r="F9" s="66" t="s">
        <v>222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2">
        <f t="shared" si="2"/>
        <v>16.043</v>
      </c>
      <c r="L9" s="82">
        <f t="shared" si="3"/>
        <v>10.1346</v>
      </c>
    </row>
    <row r="10">
      <c r="A10" s="83">
        <v>44620.0</v>
      </c>
      <c r="B10" s="83">
        <v>44620.0</v>
      </c>
      <c r="C10" s="66">
        <v>2376.0</v>
      </c>
      <c r="D10" s="66" t="s">
        <v>221</v>
      </c>
      <c r="E10" s="66">
        <v>3.0</v>
      </c>
      <c r="F10" s="66" t="s">
        <v>222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2">
        <f t="shared" si="2"/>
        <v>21.5425</v>
      </c>
      <c r="L10" s="82">
        <f t="shared" si="3"/>
        <v>12.1395</v>
      </c>
    </row>
    <row r="11">
      <c r="A11" s="83">
        <v>44620.0</v>
      </c>
      <c r="B11" s="83">
        <v>44620.0</v>
      </c>
      <c r="C11" s="66">
        <v>2352.0</v>
      </c>
      <c r="D11" s="66" t="s">
        <v>221</v>
      </c>
      <c r="E11" s="66">
        <v>3.0</v>
      </c>
      <c r="F11" s="66" t="s">
        <v>222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2">
        <f t="shared" si="2"/>
        <v>14.2128</v>
      </c>
      <c r="L11" s="82">
        <f t="shared" si="3"/>
        <v>8.2913</v>
      </c>
    </row>
    <row r="12">
      <c r="A12" s="83">
        <v>44620.0</v>
      </c>
      <c r="B12" s="83">
        <v>44620.0</v>
      </c>
      <c r="C12" s="66">
        <v>2331.0</v>
      </c>
      <c r="D12" s="66" t="s">
        <v>226</v>
      </c>
      <c r="E12" s="66">
        <v>1.0</v>
      </c>
      <c r="F12" s="66" t="s">
        <v>227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2">
        <f t="shared" si="2"/>
        <v>1.2421</v>
      </c>
      <c r="L12" s="82">
        <f t="shared" si="3"/>
        <v>0.6694</v>
      </c>
    </row>
    <row r="13">
      <c r="A13" s="83">
        <v>44620.0</v>
      </c>
      <c r="B13" s="83">
        <v>44620.0</v>
      </c>
      <c r="C13" s="66">
        <v>2345.0</v>
      </c>
      <c r="D13" s="66" t="s">
        <v>221</v>
      </c>
      <c r="E13" s="66">
        <v>3.0</v>
      </c>
      <c r="F13" s="66" t="s">
        <v>222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2">
        <f t="shared" si="2"/>
        <v>12.543</v>
      </c>
      <c r="L13" s="82">
        <f t="shared" si="3"/>
        <v>7.2021</v>
      </c>
    </row>
    <row r="14">
      <c r="A14" s="83">
        <v>44620.0</v>
      </c>
      <c r="B14" s="83">
        <v>44620.0</v>
      </c>
      <c r="C14" s="66">
        <v>2366.0</v>
      </c>
      <c r="D14" s="66" t="s">
        <v>221</v>
      </c>
      <c r="E14" s="66">
        <v>3.0</v>
      </c>
      <c r="F14" s="66" t="s">
        <v>222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2">
        <f t="shared" si="2"/>
        <v>12.0129</v>
      </c>
      <c r="L14" s="82">
        <f t="shared" si="3"/>
        <v>6.9234</v>
      </c>
    </row>
    <row r="15">
      <c r="A15" s="83">
        <v>44620.0</v>
      </c>
      <c r="B15" s="83">
        <v>44620.0</v>
      </c>
      <c r="C15" s="66">
        <v>2377.0</v>
      </c>
      <c r="D15" s="66" t="s">
        <v>221</v>
      </c>
      <c r="E15" s="66">
        <v>3.0</v>
      </c>
      <c r="F15" s="66" t="s">
        <v>222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2">
        <f t="shared" si="2"/>
        <v>12.8476</v>
      </c>
      <c r="L15" s="82">
        <f t="shared" si="3"/>
        <v>7.4813</v>
      </c>
    </row>
    <row r="16">
      <c r="A16" s="83">
        <v>44620.0</v>
      </c>
      <c r="B16" s="83">
        <v>44620.0</v>
      </c>
      <c r="C16" s="66">
        <v>2322.0</v>
      </c>
      <c r="D16" s="66" t="s">
        <v>221</v>
      </c>
      <c r="E16" s="66">
        <v>3.0</v>
      </c>
      <c r="F16" s="66" t="s">
        <v>222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2">
        <f t="shared" si="2"/>
        <v>12.7938</v>
      </c>
      <c r="L16" s="82">
        <f t="shared" si="3"/>
        <v>1.6944</v>
      </c>
    </row>
    <row r="17">
      <c r="A17" s="83">
        <v>44620.0</v>
      </c>
      <c r="B17" s="83">
        <v>44620.0</v>
      </c>
      <c r="C17" s="66">
        <v>2345.0</v>
      </c>
      <c r="D17" s="66" t="s">
        <v>221</v>
      </c>
      <c r="E17" s="66">
        <v>3.0</v>
      </c>
      <c r="F17" s="66" t="s">
        <v>222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2">
        <f t="shared" si="2"/>
        <v>8.6134</v>
      </c>
      <c r="L17" s="82">
        <f t="shared" si="3"/>
        <v>4.6572</v>
      </c>
    </row>
    <row r="18">
      <c r="A18" s="83">
        <v>44628.0</v>
      </c>
      <c r="B18" s="83">
        <v>44628.0</v>
      </c>
      <c r="C18" s="66">
        <v>2381.0</v>
      </c>
      <c r="D18" s="66" t="s">
        <v>226</v>
      </c>
      <c r="E18" s="66">
        <v>0.0</v>
      </c>
      <c r="F18" s="66" t="s">
        <v>227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2">
        <f t="shared" si="2"/>
        <v>0.3565</v>
      </c>
      <c r="L18" s="82">
        <f t="shared" si="3"/>
        <v>0.2848</v>
      </c>
    </row>
    <row r="19">
      <c r="A19" s="83">
        <v>44628.0</v>
      </c>
      <c r="B19" s="83">
        <v>44628.0</v>
      </c>
      <c r="C19" s="66">
        <v>2378.0</v>
      </c>
      <c r="D19" s="66" t="s">
        <v>221</v>
      </c>
      <c r="E19" s="66">
        <v>0.0</v>
      </c>
      <c r="F19" s="66" t="s">
        <v>227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2">
        <f t="shared" si="2"/>
        <v>0.2302</v>
      </c>
      <c r="L19" s="82">
        <f t="shared" si="3"/>
        <v>0.2415</v>
      </c>
    </row>
    <row r="20">
      <c r="A20" s="83">
        <v>44628.0</v>
      </c>
      <c r="B20" s="83">
        <v>44628.0</v>
      </c>
      <c r="C20" s="66">
        <v>2382.0</v>
      </c>
      <c r="D20" s="66" t="s">
        <v>226</v>
      </c>
      <c r="E20" s="66">
        <v>0.0</v>
      </c>
      <c r="F20" s="66" t="s">
        <v>227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2">
        <f t="shared" si="2"/>
        <v>1.4778</v>
      </c>
      <c r="L20" s="82">
        <f t="shared" si="3"/>
        <v>0.3556</v>
      </c>
    </row>
    <row r="21">
      <c r="A21" s="83">
        <v>44628.0</v>
      </c>
      <c r="B21" s="83">
        <v>44628.0</v>
      </c>
      <c r="C21" s="66">
        <v>2382.0</v>
      </c>
      <c r="D21" s="66" t="s">
        <v>221</v>
      </c>
      <c r="E21" s="66">
        <v>0.0</v>
      </c>
      <c r="F21" s="66" t="s">
        <v>227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2">
        <f t="shared" si="2"/>
        <v>1.4784</v>
      </c>
      <c r="L21" s="82">
        <f t="shared" si="3"/>
        <v>0.5258</v>
      </c>
    </row>
    <row r="22">
      <c r="A22" s="83">
        <v>44628.0</v>
      </c>
      <c r="B22" s="83">
        <v>44628.0</v>
      </c>
      <c r="C22" s="66">
        <v>2377.0</v>
      </c>
      <c r="D22" s="66" t="s">
        <v>221</v>
      </c>
      <c r="E22" s="66">
        <v>0.0</v>
      </c>
      <c r="F22" s="66" t="s">
        <v>227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2">
        <f t="shared" si="2"/>
        <v>0.8624</v>
      </c>
      <c r="L22" s="82">
        <f t="shared" si="3"/>
        <v>0.2941</v>
      </c>
    </row>
    <row r="23">
      <c r="A23" s="83">
        <v>44628.0</v>
      </c>
      <c r="B23" s="83">
        <v>44628.0</v>
      </c>
      <c r="C23" s="66">
        <v>2380.0</v>
      </c>
      <c r="D23" s="66" t="s">
        <v>226</v>
      </c>
      <c r="E23" s="66">
        <v>1.0</v>
      </c>
      <c r="F23" s="66" t="s">
        <v>228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2">
        <f t="shared" si="2"/>
        <v>8.0488</v>
      </c>
      <c r="L23" s="82">
        <f t="shared" si="3"/>
        <v>4.64</v>
      </c>
    </row>
    <row r="24">
      <c r="A24" s="83">
        <v>44628.0</v>
      </c>
      <c r="B24" s="83">
        <v>44628.0</v>
      </c>
      <c r="C24" s="66">
        <v>2381.0</v>
      </c>
      <c r="D24" s="66" t="s">
        <v>221</v>
      </c>
      <c r="E24" s="66">
        <v>1.0</v>
      </c>
      <c r="F24" s="66" t="s">
        <v>227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2">
        <f t="shared" si="2"/>
        <v>2.7412</v>
      </c>
      <c r="L24" s="82">
        <f t="shared" si="3"/>
        <v>1.3411</v>
      </c>
    </row>
    <row r="25">
      <c r="A25" s="83">
        <v>44628.0</v>
      </c>
      <c r="B25" s="83">
        <v>44628.0</v>
      </c>
      <c r="C25" s="66">
        <v>2377.0</v>
      </c>
      <c r="D25" s="66" t="s">
        <v>221</v>
      </c>
      <c r="E25" s="66">
        <v>1.0</v>
      </c>
      <c r="F25" s="66" t="s">
        <v>227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2">
        <f t="shared" si="2"/>
        <v>1.3038</v>
      </c>
      <c r="L25" s="82">
        <f t="shared" si="3"/>
        <v>0.7263</v>
      </c>
    </row>
    <row r="26">
      <c r="A26" s="83">
        <v>44628.0</v>
      </c>
      <c r="B26" s="83">
        <v>44628.0</v>
      </c>
      <c r="C26" s="66">
        <v>2378.0</v>
      </c>
      <c r="D26" s="66" t="s">
        <v>221</v>
      </c>
      <c r="E26" s="66">
        <v>0.0</v>
      </c>
      <c r="F26" s="66" t="s">
        <v>228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2">
        <f t="shared" si="2"/>
        <v>5.8242</v>
      </c>
      <c r="L26" s="82">
        <f t="shared" si="3"/>
        <v>2.2822</v>
      </c>
    </row>
    <row r="27">
      <c r="A27" s="83">
        <v>44628.0</v>
      </c>
      <c r="B27" s="83">
        <v>44628.0</v>
      </c>
      <c r="C27" s="66">
        <v>2007.0</v>
      </c>
      <c r="D27" s="66" t="s">
        <v>221</v>
      </c>
      <c r="E27" s="66">
        <v>0.0</v>
      </c>
      <c r="F27" s="66" t="s">
        <v>227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2">
        <f t="shared" si="2"/>
        <v>1.0395</v>
      </c>
      <c r="L27" s="82">
        <f t="shared" si="3"/>
        <v>0.3859</v>
      </c>
    </row>
    <row r="28">
      <c r="A28" s="83">
        <v>44628.0</v>
      </c>
      <c r="B28" s="83">
        <v>44628.0</v>
      </c>
      <c r="C28" s="66">
        <v>2345.0</v>
      </c>
      <c r="D28" s="66" t="s">
        <v>226</v>
      </c>
      <c r="E28" s="66">
        <v>1.0</v>
      </c>
      <c r="F28" s="66" t="s">
        <v>228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2">
        <f t="shared" si="2"/>
        <v>9.5029</v>
      </c>
      <c r="L28" s="82">
        <f t="shared" si="3"/>
        <v>5.1219</v>
      </c>
    </row>
    <row r="29">
      <c r="A29" s="83">
        <v>44628.0</v>
      </c>
      <c r="B29" s="83">
        <v>44628.0</v>
      </c>
      <c r="C29" s="66">
        <v>2384.0</v>
      </c>
      <c r="D29" s="66" t="s">
        <v>226</v>
      </c>
      <c r="E29" s="66">
        <v>0.0</v>
      </c>
      <c r="F29" s="66" t="s">
        <v>228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2">
        <f t="shared" si="2"/>
        <v>6.3881</v>
      </c>
      <c r="L29" s="82">
        <f t="shared" si="3"/>
        <v>2.1202</v>
      </c>
    </row>
    <row r="30">
      <c r="A30" s="83">
        <v>44628.0</v>
      </c>
      <c r="B30" s="83">
        <v>44628.0</v>
      </c>
      <c r="C30" s="66">
        <v>2380.0</v>
      </c>
      <c r="D30" s="66" t="s">
        <v>226</v>
      </c>
      <c r="E30" s="66">
        <v>0.0</v>
      </c>
      <c r="F30" s="66" t="s">
        <v>228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2">
        <f t="shared" si="2"/>
        <v>5.4359</v>
      </c>
      <c r="L30" s="82">
        <f t="shared" si="3"/>
        <v>1.6965</v>
      </c>
    </row>
    <row r="31">
      <c r="A31" s="83">
        <v>44628.0</v>
      </c>
      <c r="B31" s="83">
        <v>44628.0</v>
      </c>
      <c r="C31" s="66">
        <v>2380.0</v>
      </c>
      <c r="D31" s="66" t="s">
        <v>226</v>
      </c>
      <c r="E31" s="66">
        <v>0.0</v>
      </c>
      <c r="F31" s="66" t="s">
        <v>227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2">
        <f t="shared" si="2"/>
        <v>1.5309</v>
      </c>
      <c r="L31" s="82">
        <f t="shared" si="3"/>
        <v>0.3149</v>
      </c>
    </row>
    <row r="32">
      <c r="A32" s="83">
        <v>44628.0</v>
      </c>
      <c r="B32" s="83">
        <v>44628.0</v>
      </c>
      <c r="C32" s="66">
        <v>2377.0</v>
      </c>
      <c r="D32" s="66" t="s">
        <v>226</v>
      </c>
      <c r="E32" s="66">
        <v>0.0</v>
      </c>
      <c r="F32" s="66" t="s">
        <v>227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2">
        <f t="shared" si="2"/>
        <v>0.5494</v>
      </c>
      <c r="L32" s="82">
        <f t="shared" si="3"/>
        <v>0.0793</v>
      </c>
    </row>
    <row r="33">
      <c r="A33" s="83">
        <v>44628.0</v>
      </c>
      <c r="B33" s="83">
        <v>44628.0</v>
      </c>
      <c r="C33" s="66">
        <v>2381.0</v>
      </c>
      <c r="D33" s="66" t="s">
        <v>226</v>
      </c>
      <c r="E33" s="66">
        <v>1.0</v>
      </c>
      <c r="F33" s="66" t="s">
        <v>227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2">
        <f t="shared" si="2"/>
        <v>6.851</v>
      </c>
      <c r="L33" s="82">
        <f t="shared" si="3"/>
        <v>3.6451</v>
      </c>
    </row>
    <row r="34">
      <c r="A34" s="83">
        <v>44628.0</v>
      </c>
      <c r="B34" s="83">
        <v>44628.0</v>
      </c>
      <c r="C34" s="66">
        <v>2345.0</v>
      </c>
      <c r="D34" s="66" t="s">
        <v>221</v>
      </c>
      <c r="E34" s="66">
        <v>1.0</v>
      </c>
      <c r="F34" s="66" t="s">
        <v>228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2">
        <f t="shared" si="2"/>
        <v>7.1386</v>
      </c>
      <c r="L34" s="82">
        <f t="shared" si="3"/>
        <v>4.0206</v>
      </c>
    </row>
    <row r="35">
      <c r="A35" s="83">
        <v>44628.0</v>
      </c>
      <c r="B35" s="83">
        <v>44628.0</v>
      </c>
      <c r="C35" s="66">
        <v>2376.0</v>
      </c>
      <c r="D35" s="66" t="s">
        <v>221</v>
      </c>
      <c r="E35" s="66">
        <v>1.0</v>
      </c>
      <c r="F35" s="66" t="s">
        <v>228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2">
        <f t="shared" si="2"/>
        <v>7.0421</v>
      </c>
      <c r="L35" s="82">
        <f t="shared" si="3"/>
        <v>4.0581</v>
      </c>
    </row>
    <row r="36">
      <c r="A36" s="83">
        <v>44628.0</v>
      </c>
      <c r="B36" s="83">
        <v>44628.0</v>
      </c>
      <c r="C36" s="66">
        <v>2352.0</v>
      </c>
      <c r="D36" s="66" t="s">
        <v>221</v>
      </c>
      <c r="E36" s="66">
        <v>1.0</v>
      </c>
      <c r="F36" s="66" t="s">
        <v>227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2">
        <f t="shared" si="2"/>
        <v>1.1546</v>
      </c>
      <c r="L36" s="82">
        <f t="shared" si="3"/>
        <v>0.7657</v>
      </c>
    </row>
    <row r="37">
      <c r="A37" s="83">
        <v>44628.0</v>
      </c>
      <c r="B37" s="83">
        <v>44628.0</v>
      </c>
      <c r="C37" s="66">
        <v>2377.0</v>
      </c>
      <c r="D37" s="66" t="s">
        <v>221</v>
      </c>
      <c r="E37" s="66">
        <v>0.0</v>
      </c>
      <c r="F37" s="66" t="s">
        <v>228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2">
        <f t="shared" si="2"/>
        <v>6.8037</v>
      </c>
      <c r="L37" s="82">
        <f t="shared" si="3"/>
        <v>2.351</v>
      </c>
    </row>
    <row r="38">
      <c r="A38" s="83">
        <v>44628.0</v>
      </c>
      <c r="B38" s="83">
        <v>44628.0</v>
      </c>
      <c r="C38" s="66">
        <v>2377.0</v>
      </c>
      <c r="D38" s="66" t="s">
        <v>221</v>
      </c>
      <c r="E38" s="66">
        <v>1.0</v>
      </c>
      <c r="F38" s="66" t="s">
        <v>228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2">
        <f t="shared" si="2"/>
        <v>3.4785</v>
      </c>
      <c r="L38" s="82">
        <f t="shared" si="3"/>
        <v>1.8506</v>
      </c>
    </row>
    <row r="39">
      <c r="A39" s="83">
        <v>44628.0</v>
      </c>
      <c r="B39" s="83">
        <v>44628.0</v>
      </c>
      <c r="C39" s="66">
        <v>2366.0</v>
      </c>
      <c r="D39" s="66" t="s">
        <v>226</v>
      </c>
      <c r="E39" s="66">
        <v>0.0</v>
      </c>
      <c r="F39" s="66" t="s">
        <v>227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2">
        <f t="shared" si="2"/>
        <v>0.723</v>
      </c>
      <c r="L39" s="82">
        <f t="shared" si="3"/>
        <v>0.2346</v>
      </c>
    </row>
    <row r="40">
      <c r="A40" s="83">
        <v>44628.0</v>
      </c>
      <c r="B40" s="83">
        <v>44628.0</v>
      </c>
      <c r="C40" s="66">
        <v>2331.0</v>
      </c>
      <c r="D40" s="66" t="s">
        <v>221</v>
      </c>
      <c r="E40" s="66">
        <v>0.0</v>
      </c>
      <c r="F40" s="66" t="s">
        <v>228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2">
        <f t="shared" si="2"/>
        <v>0.2735</v>
      </c>
      <c r="L40" s="82">
        <f t="shared" si="3"/>
        <v>0.173</v>
      </c>
    </row>
    <row r="41">
      <c r="A41" s="83">
        <v>44628.0</v>
      </c>
      <c r="B41" s="83">
        <v>44628.0</v>
      </c>
      <c r="C41" s="66">
        <v>2381.0</v>
      </c>
      <c r="D41" s="66" t="s">
        <v>221</v>
      </c>
      <c r="E41" s="66">
        <v>0.0</v>
      </c>
      <c r="F41" s="66" t="s">
        <v>228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2">
        <f t="shared" si="2"/>
        <v>11.5408</v>
      </c>
      <c r="L41" s="82">
        <f t="shared" si="3"/>
        <v>4.0766</v>
      </c>
    </row>
    <row r="42">
      <c r="A42" s="83">
        <v>44628.0</v>
      </c>
      <c r="B42" s="83">
        <v>44628.0</v>
      </c>
      <c r="C42" s="66">
        <v>2352.0</v>
      </c>
      <c r="D42" s="66" t="s">
        <v>221</v>
      </c>
      <c r="E42" s="66">
        <v>1.0</v>
      </c>
      <c r="F42" s="66" t="s">
        <v>228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2">
        <f t="shared" si="2"/>
        <v>3.469</v>
      </c>
      <c r="L42" s="82">
        <f t="shared" si="3"/>
        <v>2.4294</v>
      </c>
    </row>
    <row r="43">
      <c r="A43" s="83">
        <v>44628.0</v>
      </c>
      <c r="B43" s="83">
        <v>44628.0</v>
      </c>
      <c r="C43" s="66">
        <v>2366.0</v>
      </c>
      <c r="D43" s="66" t="s">
        <v>226</v>
      </c>
      <c r="E43" s="66">
        <v>1.0</v>
      </c>
      <c r="F43" s="66" t="s">
        <v>227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2">
        <f t="shared" si="2"/>
        <v>6.4326</v>
      </c>
      <c r="L43" s="82">
        <f t="shared" si="3"/>
        <v>3.6302</v>
      </c>
    </row>
    <row r="44">
      <c r="A44" s="83">
        <v>44628.0</v>
      </c>
      <c r="B44" s="83">
        <v>44628.0</v>
      </c>
      <c r="C44" s="66">
        <v>2382.0</v>
      </c>
      <c r="D44" s="66" t="s">
        <v>226</v>
      </c>
      <c r="E44" s="66">
        <v>1.0</v>
      </c>
      <c r="F44" s="66" t="s">
        <v>227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2">
        <f t="shared" si="2"/>
        <v>0.0928</v>
      </c>
      <c r="L44" s="82">
        <f t="shared" si="3"/>
        <v>0.0613</v>
      </c>
    </row>
    <row r="45">
      <c r="A45" s="83">
        <v>44628.0</v>
      </c>
      <c r="B45" s="83">
        <v>44628.0</v>
      </c>
      <c r="C45" s="66">
        <v>2366.0</v>
      </c>
      <c r="D45" s="66" t="s">
        <v>226</v>
      </c>
      <c r="E45" s="66">
        <v>1.0</v>
      </c>
      <c r="F45" s="66" t="s">
        <v>228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2">
        <f t="shared" si="2"/>
        <v>3.4833</v>
      </c>
      <c r="L45" s="82">
        <f t="shared" si="3"/>
        <v>1.3173</v>
      </c>
    </row>
    <row r="46">
      <c r="A46" s="83">
        <v>44628.0</v>
      </c>
      <c r="B46" s="83">
        <v>44628.0</v>
      </c>
      <c r="C46" s="66">
        <v>2331.0</v>
      </c>
      <c r="D46" s="66" t="s">
        <v>221</v>
      </c>
      <c r="E46" s="66">
        <v>1.0</v>
      </c>
      <c r="F46" s="66" t="s">
        <v>228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2">
        <f t="shared" si="2"/>
        <v>8.9729</v>
      </c>
      <c r="L46" s="82">
        <f t="shared" si="3"/>
        <v>4.9806</v>
      </c>
    </row>
    <row r="47">
      <c r="A47" s="83">
        <v>44628.0</v>
      </c>
      <c r="B47" s="83">
        <v>44628.0</v>
      </c>
      <c r="C47" s="66">
        <v>2007.0</v>
      </c>
      <c r="D47" s="66" t="s">
        <v>221</v>
      </c>
      <c r="E47" s="66">
        <v>0.0</v>
      </c>
      <c r="F47" s="66" t="s">
        <v>228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2">
        <f t="shared" si="2"/>
        <v>8.78</v>
      </c>
      <c r="L47" s="82">
        <f t="shared" si="3"/>
        <v>3.5569</v>
      </c>
    </row>
    <row r="48">
      <c r="A48" s="83">
        <v>44628.0</v>
      </c>
      <c r="B48" s="83">
        <v>44628.0</v>
      </c>
      <c r="C48" s="66">
        <v>2384.0</v>
      </c>
      <c r="D48" s="66" t="s">
        <v>226</v>
      </c>
      <c r="E48" s="66">
        <v>1.0</v>
      </c>
      <c r="F48" s="66" t="s">
        <v>227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2">
        <f t="shared" si="2"/>
        <v>5.4366</v>
      </c>
      <c r="L48" s="82">
        <f t="shared" si="3"/>
        <v>3.1544</v>
      </c>
    </row>
    <row r="49">
      <c r="A49" s="83">
        <v>44628.0</v>
      </c>
      <c r="B49" s="83">
        <v>44628.0</v>
      </c>
      <c r="C49" s="66">
        <v>2381.0</v>
      </c>
      <c r="D49" s="66" t="s">
        <v>226</v>
      </c>
      <c r="E49" s="66">
        <v>0.0</v>
      </c>
      <c r="F49" s="66" t="s">
        <v>228</v>
      </c>
      <c r="G49" s="66">
        <f t="shared" si="1"/>
        <v>0</v>
      </c>
      <c r="H49" s="82">
        <f>AVERAGE(H30:H48)</f>
        <v>26.13505263</v>
      </c>
      <c r="I49" s="66">
        <v>33.6098</v>
      </c>
      <c r="J49" s="66">
        <v>28.4749</v>
      </c>
      <c r="K49" s="82">
        <f t="shared" si="2"/>
        <v>7.474747368</v>
      </c>
      <c r="L49" s="82">
        <f t="shared" si="3"/>
        <v>2.339847368</v>
      </c>
    </row>
    <row r="50">
      <c r="A50" s="83">
        <v>44628.0</v>
      </c>
      <c r="B50" s="83">
        <v>44628.0</v>
      </c>
      <c r="C50" s="66">
        <v>2345.0</v>
      </c>
      <c r="D50" s="66" t="s">
        <v>221</v>
      </c>
      <c r="E50" s="66">
        <v>1.0</v>
      </c>
      <c r="F50" s="66" t="s">
        <v>227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2">
        <f t="shared" si="2"/>
        <v>1.6714</v>
      </c>
      <c r="L50" s="82">
        <f t="shared" si="3"/>
        <v>0.9778</v>
      </c>
    </row>
    <row r="51">
      <c r="A51" s="83">
        <v>44628.0</v>
      </c>
      <c r="B51" s="83">
        <v>44628.0</v>
      </c>
      <c r="C51" s="66">
        <v>2384.0</v>
      </c>
      <c r="D51" s="66" t="s">
        <v>226</v>
      </c>
      <c r="E51" s="66">
        <v>0.0</v>
      </c>
      <c r="F51" s="66" t="s">
        <v>227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2">
        <f t="shared" si="2"/>
        <v>0.5943</v>
      </c>
      <c r="L51" s="82">
        <f t="shared" si="3"/>
        <v>0.1663</v>
      </c>
    </row>
    <row r="52">
      <c r="A52" s="83">
        <v>44628.0</v>
      </c>
      <c r="B52" s="83">
        <v>44628.0</v>
      </c>
      <c r="C52" s="66">
        <v>2331.0</v>
      </c>
      <c r="D52" s="66" t="s">
        <v>221</v>
      </c>
      <c r="E52" s="66">
        <v>1.0</v>
      </c>
      <c r="F52" s="66" t="s">
        <v>228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2">
        <f t="shared" si="2"/>
        <v>11.4802</v>
      </c>
      <c r="L52" s="82">
        <f t="shared" si="3"/>
        <v>6.3892</v>
      </c>
    </row>
    <row r="53">
      <c r="A53" s="83">
        <v>44628.0</v>
      </c>
      <c r="B53" s="83">
        <v>44628.0</v>
      </c>
      <c r="C53" s="66">
        <v>2376.0</v>
      </c>
      <c r="D53" s="66" t="s">
        <v>221</v>
      </c>
      <c r="E53" s="66">
        <v>1.0</v>
      </c>
      <c r="F53" s="66" t="s">
        <v>227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2">
        <f t="shared" si="2"/>
        <v>1.131</v>
      </c>
      <c r="L53" s="82">
        <f t="shared" si="3"/>
        <v>0.6363</v>
      </c>
    </row>
    <row r="54">
      <c r="A54" s="83">
        <v>44628.0</v>
      </c>
      <c r="B54" s="83">
        <v>44628.0</v>
      </c>
      <c r="C54" s="66">
        <v>2377.0</v>
      </c>
      <c r="D54" s="66" t="s">
        <v>226</v>
      </c>
      <c r="E54" s="66">
        <v>0.0</v>
      </c>
      <c r="F54" s="66" t="s">
        <v>228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2">
        <f t="shared" si="2"/>
        <v>1.1252</v>
      </c>
      <c r="L54" s="82">
        <f t="shared" si="3"/>
        <v>0.3906</v>
      </c>
    </row>
    <row r="55">
      <c r="A55" s="83">
        <v>44628.0</v>
      </c>
      <c r="B55" s="83">
        <v>44628.0</v>
      </c>
      <c r="C55" s="66">
        <v>2345.0</v>
      </c>
      <c r="D55" s="66" t="s">
        <v>226</v>
      </c>
      <c r="E55" s="66">
        <v>1.0</v>
      </c>
      <c r="F55" s="66" t="s">
        <v>227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2">
        <f t="shared" si="2"/>
        <v>4.1878</v>
      </c>
      <c r="L55" s="82">
        <f t="shared" si="3"/>
        <v>2.0836</v>
      </c>
    </row>
    <row r="56">
      <c r="A56" s="83">
        <v>44628.0</v>
      </c>
      <c r="B56" s="83">
        <v>44628.0</v>
      </c>
      <c r="C56" s="66">
        <v>2381.0</v>
      </c>
      <c r="D56" s="66" t="s">
        <v>221</v>
      </c>
      <c r="E56" s="66">
        <v>0.0</v>
      </c>
      <c r="F56" s="66" t="s">
        <v>227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2">
        <f t="shared" si="2"/>
        <v>1.3532</v>
      </c>
      <c r="L56" s="82">
        <f t="shared" si="3"/>
        <v>0.3397</v>
      </c>
    </row>
    <row r="57">
      <c r="A57" s="83">
        <v>44628.0</v>
      </c>
      <c r="B57" s="83">
        <v>44628.0</v>
      </c>
      <c r="C57" s="66">
        <v>2301.0</v>
      </c>
      <c r="D57" s="66" t="s">
        <v>221</v>
      </c>
      <c r="E57" s="66">
        <v>1.0</v>
      </c>
      <c r="F57" s="66" t="s">
        <v>227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2">
        <f t="shared" si="2"/>
        <v>1.4557</v>
      </c>
      <c r="L57" s="82">
        <f t="shared" si="3"/>
        <v>0.6064</v>
      </c>
    </row>
    <row r="58">
      <c r="A58" s="83">
        <v>44628.0</v>
      </c>
      <c r="B58" s="83">
        <v>44628.0</v>
      </c>
      <c r="C58" s="66">
        <v>2377.0</v>
      </c>
      <c r="D58" s="66" t="s">
        <v>226</v>
      </c>
      <c r="E58" s="66">
        <v>1.0</v>
      </c>
      <c r="F58" s="66" t="s">
        <v>227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2">
        <f t="shared" si="2"/>
        <v>3.5973</v>
      </c>
      <c r="L58" s="82">
        <f t="shared" si="3"/>
        <v>2.1253</v>
      </c>
    </row>
    <row r="59">
      <c r="A59" s="83">
        <v>44628.0</v>
      </c>
      <c r="B59" s="83">
        <v>44628.0</v>
      </c>
      <c r="C59" s="66">
        <v>2382.0</v>
      </c>
      <c r="D59" s="66" t="s">
        <v>226</v>
      </c>
      <c r="E59" s="66">
        <v>1.0</v>
      </c>
      <c r="F59" s="66" t="s">
        <v>228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2">
        <f t="shared" si="2"/>
        <v>8.5029</v>
      </c>
      <c r="L59" s="82">
        <f t="shared" si="3"/>
        <v>2.8023</v>
      </c>
    </row>
    <row r="60">
      <c r="A60" s="83">
        <v>44628.0</v>
      </c>
      <c r="B60" s="83">
        <v>44628.0</v>
      </c>
      <c r="C60" s="66">
        <v>2380.0</v>
      </c>
      <c r="D60" s="66" t="s">
        <v>226</v>
      </c>
      <c r="E60" s="66">
        <v>1.0</v>
      </c>
      <c r="F60" s="66" t="s">
        <v>227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2">
        <f t="shared" si="2"/>
        <v>2.3631</v>
      </c>
      <c r="L60" s="82">
        <f t="shared" si="3"/>
        <v>1.322</v>
      </c>
    </row>
    <row r="61">
      <c r="A61" s="83">
        <v>44628.0</v>
      </c>
      <c r="B61" s="83">
        <v>44628.0</v>
      </c>
      <c r="C61" s="66">
        <v>2381.0</v>
      </c>
      <c r="D61" s="66" t="s">
        <v>226</v>
      </c>
      <c r="E61" s="66">
        <v>0.0</v>
      </c>
      <c r="F61" s="66" t="s">
        <v>228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2">
        <f t="shared" si="2"/>
        <v>7.6206</v>
      </c>
      <c r="L61" s="82">
        <f t="shared" si="3"/>
        <v>2.4857</v>
      </c>
    </row>
    <row r="62">
      <c r="A62" s="83">
        <v>44628.0</v>
      </c>
      <c r="B62" s="83">
        <v>44628.0</v>
      </c>
      <c r="C62" s="66">
        <v>2331.0</v>
      </c>
      <c r="D62" s="66" t="s">
        <v>221</v>
      </c>
      <c r="E62" s="66">
        <v>1.0</v>
      </c>
      <c r="F62" s="66" t="s">
        <v>227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2">
        <f t="shared" si="2"/>
        <v>1.7414</v>
      </c>
      <c r="L62" s="82">
        <f t="shared" si="3"/>
        <v>1.0309</v>
      </c>
    </row>
    <row r="63">
      <c r="A63" s="83">
        <v>44628.0</v>
      </c>
      <c r="B63" s="83">
        <v>44628.0</v>
      </c>
      <c r="C63" s="66">
        <v>2381.0</v>
      </c>
      <c r="D63" s="66" t="s">
        <v>226</v>
      </c>
      <c r="E63" s="66">
        <v>1.0</v>
      </c>
      <c r="F63" s="66" t="s">
        <v>228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2">
        <f t="shared" si="2"/>
        <v>0.5254</v>
      </c>
      <c r="L63" s="82">
        <f t="shared" si="3"/>
        <v>0.1086</v>
      </c>
    </row>
    <row r="64">
      <c r="A64" s="83">
        <v>44628.0</v>
      </c>
      <c r="B64" s="83">
        <v>44628.0</v>
      </c>
      <c r="C64" s="66">
        <v>2331.0</v>
      </c>
      <c r="D64" s="66" t="s">
        <v>226</v>
      </c>
      <c r="E64" s="66">
        <v>1.0</v>
      </c>
      <c r="F64" s="66" t="s">
        <v>228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2">
        <f t="shared" si="2"/>
        <v>7.3328</v>
      </c>
      <c r="L64" s="82">
        <f t="shared" si="3"/>
        <v>4.2513</v>
      </c>
    </row>
    <row r="65">
      <c r="A65" s="83">
        <v>44628.0</v>
      </c>
      <c r="B65" s="83">
        <v>44628.0</v>
      </c>
      <c r="C65" s="66">
        <v>2301.0</v>
      </c>
      <c r="D65" s="66" t="s">
        <v>226</v>
      </c>
      <c r="E65" s="66">
        <v>1.0</v>
      </c>
      <c r="F65" s="66" t="s">
        <v>228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2">
        <f t="shared" si="2"/>
        <v>12.4747</v>
      </c>
      <c r="L65" s="82">
        <f t="shared" si="3"/>
        <v>6.9441</v>
      </c>
    </row>
    <row r="66">
      <c r="A66" s="83">
        <v>44628.0</v>
      </c>
      <c r="B66" s="83">
        <v>44628.0</v>
      </c>
      <c r="C66" s="66">
        <v>2301.0</v>
      </c>
      <c r="D66" s="66" t="s">
        <v>226</v>
      </c>
      <c r="E66" s="66">
        <v>1.0</v>
      </c>
      <c r="F66" s="66" t="s">
        <v>227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2">
        <f t="shared" si="2"/>
        <v>1.7082</v>
      </c>
      <c r="L66" s="82">
        <f t="shared" si="3"/>
        <v>0.7634</v>
      </c>
    </row>
    <row r="67">
      <c r="A67" s="83">
        <v>44628.0</v>
      </c>
      <c r="B67" s="83">
        <v>44628.0</v>
      </c>
      <c r="C67" s="66">
        <v>2377.0</v>
      </c>
      <c r="D67" s="66" t="s">
        <v>226</v>
      </c>
      <c r="E67" s="66">
        <v>1.0</v>
      </c>
      <c r="F67" s="66" t="s">
        <v>228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2">
        <f t="shared" si="2"/>
        <v>6.5607</v>
      </c>
      <c r="L67" s="82">
        <f t="shared" si="3"/>
        <v>3.627</v>
      </c>
    </row>
    <row r="68">
      <c r="A68" s="83">
        <v>44628.0</v>
      </c>
      <c r="B68" s="83">
        <v>44628.0</v>
      </c>
      <c r="C68" s="66">
        <v>2331.0</v>
      </c>
      <c r="D68" s="66" t="s">
        <v>226</v>
      </c>
      <c r="E68" s="66">
        <v>0.0</v>
      </c>
      <c r="F68" s="66" t="s">
        <v>227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2">
        <f t="shared" si="2"/>
        <v>0.0536</v>
      </c>
      <c r="L68" s="82">
        <f t="shared" si="3"/>
        <v>0.1772</v>
      </c>
    </row>
    <row r="69">
      <c r="A69" s="83">
        <v>44628.0</v>
      </c>
      <c r="B69" s="83">
        <v>44628.0</v>
      </c>
      <c r="C69" s="66">
        <v>2331.0</v>
      </c>
      <c r="D69" s="66" t="s">
        <v>221</v>
      </c>
      <c r="E69" s="66">
        <v>0.0</v>
      </c>
      <c r="F69" s="66" t="s">
        <v>228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2">
        <f t="shared" si="2"/>
        <v>2.8601</v>
      </c>
      <c r="L69" s="82">
        <f t="shared" si="3"/>
        <v>0.8447</v>
      </c>
    </row>
    <row r="70">
      <c r="A70" s="83">
        <v>44631.0</v>
      </c>
      <c r="B70" s="83">
        <v>44628.0</v>
      </c>
      <c r="C70" s="66">
        <v>2383.0</v>
      </c>
      <c r="D70" s="66" t="s">
        <v>226</v>
      </c>
      <c r="E70" s="66">
        <v>1.0</v>
      </c>
      <c r="F70" s="66" t="s">
        <v>227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2">
        <f t="shared" si="2"/>
        <v>1.5249</v>
      </c>
      <c r="L70" s="82">
        <f t="shared" si="3"/>
        <v>0.5745</v>
      </c>
    </row>
    <row r="71">
      <c r="A71" s="83">
        <v>44631.0</v>
      </c>
      <c r="B71" s="83">
        <v>44628.0</v>
      </c>
      <c r="C71" s="66">
        <v>2093.0</v>
      </c>
      <c r="D71" s="66" t="s">
        <v>221</v>
      </c>
      <c r="E71" s="66">
        <v>1.0</v>
      </c>
      <c r="F71" s="66" t="s">
        <v>227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2">
        <f t="shared" si="2"/>
        <v>1.8691</v>
      </c>
      <c r="L71" s="82">
        <f t="shared" si="3"/>
        <v>0.4365</v>
      </c>
    </row>
    <row r="72">
      <c r="A72" s="83">
        <v>44631.0</v>
      </c>
      <c r="B72" s="83">
        <v>44628.0</v>
      </c>
      <c r="C72" s="66">
        <v>2007.0</v>
      </c>
      <c r="D72" s="66" t="s">
        <v>221</v>
      </c>
      <c r="E72" s="66">
        <v>1.0</v>
      </c>
      <c r="F72" s="66" t="s">
        <v>227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2">
        <f t="shared" si="2"/>
        <v>1.9994</v>
      </c>
      <c r="L72" s="82">
        <f t="shared" si="3"/>
        <v>0.9463</v>
      </c>
    </row>
    <row r="73">
      <c r="A73" s="83">
        <v>44631.0</v>
      </c>
      <c r="B73" s="83">
        <v>44628.0</v>
      </c>
      <c r="C73" s="66">
        <v>2389.0</v>
      </c>
      <c r="D73" s="66" t="s">
        <v>221</v>
      </c>
      <c r="E73" s="66">
        <v>0.0</v>
      </c>
      <c r="F73" s="66" t="s">
        <v>228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2">
        <f t="shared" si="2"/>
        <v>4.0189</v>
      </c>
      <c r="L73" s="82">
        <f t="shared" si="3"/>
        <v>2.2396</v>
      </c>
    </row>
    <row r="74">
      <c r="A74" s="83">
        <v>44631.0</v>
      </c>
      <c r="B74" s="83">
        <v>44628.0</v>
      </c>
      <c r="C74" s="66">
        <v>2004.0</v>
      </c>
      <c r="D74" s="66" t="s">
        <v>226</v>
      </c>
      <c r="E74" s="66">
        <v>1.0</v>
      </c>
      <c r="F74" s="66" t="s">
        <v>227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2">
        <f t="shared" si="2"/>
        <v>2.0621</v>
      </c>
      <c r="L74" s="82">
        <f t="shared" si="3"/>
        <v>1.0345</v>
      </c>
    </row>
    <row r="75">
      <c r="A75" s="83">
        <v>44631.0</v>
      </c>
      <c r="B75" s="83">
        <v>44628.0</v>
      </c>
      <c r="C75" s="66">
        <v>2027.0</v>
      </c>
      <c r="D75" s="66" t="s">
        <v>221</v>
      </c>
      <c r="E75" s="66">
        <v>1.0</v>
      </c>
      <c r="F75" s="66" t="s">
        <v>227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2">
        <f t="shared" si="2"/>
        <v>1.6164</v>
      </c>
      <c r="L75" s="82">
        <f t="shared" si="3"/>
        <v>0.7763</v>
      </c>
    </row>
    <row r="76">
      <c r="A76" s="83">
        <v>44631.0</v>
      </c>
      <c r="B76" s="83">
        <v>44628.0</v>
      </c>
      <c r="C76" s="66">
        <v>2004.0</v>
      </c>
      <c r="D76" s="66" t="s">
        <v>226</v>
      </c>
      <c r="E76" s="66">
        <v>0.0</v>
      </c>
      <c r="F76" s="66" t="s">
        <v>227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2">
        <f t="shared" si="2"/>
        <v>0.7389</v>
      </c>
      <c r="L76" s="82">
        <f t="shared" si="3"/>
        <v>0.2068</v>
      </c>
    </row>
    <row r="77">
      <c r="A77" s="83">
        <v>44631.0</v>
      </c>
      <c r="B77" s="83">
        <v>44628.0</v>
      </c>
      <c r="C77" s="66">
        <v>2354.0</v>
      </c>
      <c r="D77" s="66" t="s">
        <v>226</v>
      </c>
      <c r="E77" s="66">
        <v>0.0</v>
      </c>
      <c r="F77" s="66" t="s">
        <v>228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2">
        <f t="shared" si="2"/>
        <v>1.5054</v>
      </c>
      <c r="L77" s="82">
        <f t="shared" si="3"/>
        <v>0.4352</v>
      </c>
    </row>
    <row r="78">
      <c r="A78" s="83">
        <v>44631.0</v>
      </c>
      <c r="B78" s="83">
        <v>44628.0</v>
      </c>
      <c r="C78" s="66">
        <v>2020.0</v>
      </c>
      <c r="D78" s="66" t="s">
        <v>221</v>
      </c>
      <c r="E78" s="66">
        <v>1.0</v>
      </c>
      <c r="F78" s="66" t="s">
        <v>227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2">
        <f t="shared" si="2"/>
        <v>1.636</v>
      </c>
      <c r="L78" s="82">
        <f t="shared" si="3"/>
        <v>0.7765</v>
      </c>
    </row>
    <row r="79">
      <c r="A79" s="83">
        <v>44631.0</v>
      </c>
      <c r="B79" s="83">
        <v>44628.0</v>
      </c>
      <c r="C79" s="66">
        <v>2004.0</v>
      </c>
      <c r="D79" s="66" t="s">
        <v>226</v>
      </c>
      <c r="E79" s="66">
        <v>0.0</v>
      </c>
      <c r="F79" s="66" t="s">
        <v>228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2">
        <f t="shared" si="2"/>
        <v>4.3365</v>
      </c>
      <c r="L79" s="82">
        <f t="shared" si="3"/>
        <v>1.3168</v>
      </c>
    </row>
    <row r="80">
      <c r="A80" s="83">
        <v>44631.0</v>
      </c>
      <c r="B80" s="83">
        <v>44628.0</v>
      </c>
      <c r="C80" s="66">
        <v>2383.0</v>
      </c>
      <c r="D80" s="66" t="s">
        <v>226</v>
      </c>
      <c r="E80" s="66">
        <v>0.0</v>
      </c>
      <c r="F80" s="66" t="s">
        <v>228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2">
        <f t="shared" si="2"/>
        <v>6.2835</v>
      </c>
      <c r="L80" s="82">
        <f t="shared" si="3"/>
        <v>2.2505</v>
      </c>
    </row>
    <row r="81">
      <c r="A81" s="83">
        <v>44631.0</v>
      </c>
      <c r="B81" s="83">
        <v>44628.0</v>
      </c>
      <c r="C81" s="66">
        <v>2379.0</v>
      </c>
      <c r="D81" s="66" t="s">
        <v>226</v>
      </c>
      <c r="E81" s="66">
        <v>0.0</v>
      </c>
      <c r="F81" s="66" t="s">
        <v>227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2">
        <f t="shared" si="2"/>
        <v>0.7498</v>
      </c>
      <c r="L81" s="82">
        <f t="shared" si="3"/>
        <v>0.2625</v>
      </c>
    </row>
    <row r="82">
      <c r="A82" s="83">
        <v>44631.0</v>
      </c>
      <c r="B82" s="83">
        <v>44628.0</v>
      </c>
      <c r="C82" s="66">
        <v>2004.0</v>
      </c>
      <c r="D82" s="66" t="s">
        <v>221</v>
      </c>
      <c r="E82" s="66">
        <v>0.0</v>
      </c>
      <c r="F82" s="66" t="s">
        <v>228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2">
        <f t="shared" si="2"/>
        <v>13.011</v>
      </c>
      <c r="L82" s="82">
        <f t="shared" si="3"/>
        <v>4.8284</v>
      </c>
    </row>
    <row r="83">
      <c r="A83" s="83">
        <v>44631.0</v>
      </c>
      <c r="B83" s="83">
        <v>44628.0</v>
      </c>
      <c r="C83" s="66">
        <v>2006.0</v>
      </c>
      <c r="D83" s="66" t="s">
        <v>221</v>
      </c>
      <c r="E83" s="66">
        <v>0.0</v>
      </c>
      <c r="F83" s="66" t="s">
        <v>227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2">
        <f t="shared" si="2"/>
        <v>1.4331</v>
      </c>
      <c r="L83" s="82">
        <f t="shared" si="3"/>
        <v>0.3606</v>
      </c>
    </row>
    <row r="84">
      <c r="A84" s="83">
        <v>44631.0</v>
      </c>
      <c r="B84" s="83">
        <v>44628.0</v>
      </c>
      <c r="C84" s="66">
        <v>2025.0</v>
      </c>
      <c r="D84" s="66" t="s">
        <v>221</v>
      </c>
      <c r="E84" s="66">
        <v>0.0</v>
      </c>
      <c r="F84" s="66" t="s">
        <v>228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2">
        <f t="shared" si="2"/>
        <v>11.3582</v>
      </c>
      <c r="L84" s="82">
        <f t="shared" si="3"/>
        <v>5.0917</v>
      </c>
    </row>
    <row r="85">
      <c r="A85" s="83">
        <v>44631.0</v>
      </c>
      <c r="B85" s="83">
        <v>44628.0</v>
      </c>
      <c r="C85" s="66">
        <v>2023.0</v>
      </c>
      <c r="D85" s="66" t="s">
        <v>221</v>
      </c>
      <c r="E85" s="66">
        <v>1.0</v>
      </c>
      <c r="F85" s="66" t="s">
        <v>228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2">
        <f t="shared" si="2"/>
        <v>8.8933</v>
      </c>
      <c r="L85" s="82">
        <f t="shared" si="3"/>
        <v>5.1842</v>
      </c>
    </row>
    <row r="86">
      <c r="A86" s="83">
        <v>44631.0</v>
      </c>
      <c r="B86" s="83">
        <v>44628.0</v>
      </c>
      <c r="C86" s="66">
        <v>2379.0</v>
      </c>
      <c r="D86" s="66" t="s">
        <v>226</v>
      </c>
      <c r="E86" s="66">
        <v>1.0</v>
      </c>
      <c r="F86" s="66" t="s">
        <v>227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2">
        <f t="shared" si="2"/>
        <v>3.3336</v>
      </c>
      <c r="L86" s="82">
        <f t="shared" si="3"/>
        <v>1.7229</v>
      </c>
    </row>
    <row r="87">
      <c r="A87" s="83">
        <v>44631.0</v>
      </c>
      <c r="B87" s="101">
        <v>44628.0</v>
      </c>
      <c r="C87" s="66">
        <v>2005.0</v>
      </c>
      <c r="D87" s="66" t="s">
        <v>226</v>
      </c>
      <c r="E87" s="66">
        <v>1.0</v>
      </c>
      <c r="F87" s="66" t="s">
        <v>227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2">
        <f t="shared" si="2"/>
        <v>2.0459</v>
      </c>
      <c r="L87" s="82">
        <f t="shared" si="3"/>
        <v>1.2069</v>
      </c>
    </row>
    <row r="88">
      <c r="A88" s="83">
        <v>44631.0</v>
      </c>
      <c r="B88" s="101">
        <v>44628.0</v>
      </c>
      <c r="C88" s="66">
        <v>2354.0</v>
      </c>
      <c r="D88" s="66" t="s">
        <v>226</v>
      </c>
      <c r="E88" s="66">
        <v>1.0</v>
      </c>
      <c r="F88" s="66" t="s">
        <v>227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2">
        <f t="shared" si="2"/>
        <v>0.3956</v>
      </c>
      <c r="L88" s="82">
        <f t="shared" si="3"/>
        <v>0.3594</v>
      </c>
    </row>
    <row r="89">
      <c r="A89" s="83">
        <v>44631.0</v>
      </c>
      <c r="B89" s="101">
        <v>44628.0</v>
      </c>
      <c r="C89" s="66">
        <v>2027.0</v>
      </c>
      <c r="D89" s="66" t="s">
        <v>221</v>
      </c>
      <c r="E89" s="66" t="s">
        <v>70</v>
      </c>
      <c r="F89" s="66" t="s">
        <v>227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2">
        <f t="shared" si="2"/>
        <v>0.3341</v>
      </c>
      <c r="L89" s="82">
        <f t="shared" si="3"/>
        <v>0.2847</v>
      </c>
    </row>
    <row r="90">
      <c r="A90" s="83">
        <v>44631.0</v>
      </c>
      <c r="B90" s="101">
        <v>44628.0</v>
      </c>
      <c r="C90" s="66">
        <v>2093.0</v>
      </c>
      <c r="D90" s="66" t="s">
        <v>221</v>
      </c>
      <c r="E90" s="66">
        <v>0.0</v>
      </c>
      <c r="F90" s="66" t="s">
        <v>227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2">
        <f t="shared" si="2"/>
        <v>0.5176</v>
      </c>
      <c r="L90" s="82">
        <f t="shared" si="3"/>
        <v>0.4909</v>
      </c>
    </row>
    <row r="91">
      <c r="A91" s="83">
        <v>44631.0</v>
      </c>
      <c r="B91" s="101">
        <v>44628.0</v>
      </c>
      <c r="C91" s="66">
        <v>2331.0</v>
      </c>
      <c r="D91" s="66" t="s">
        <v>226</v>
      </c>
      <c r="E91" s="66">
        <v>0.0</v>
      </c>
      <c r="F91" s="66" t="s">
        <v>228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2">
        <f t="shared" si="2"/>
        <v>0.357</v>
      </c>
      <c r="L91" s="82">
        <f t="shared" si="3"/>
        <v>0.2431</v>
      </c>
    </row>
    <row r="92">
      <c r="A92" s="83">
        <v>44631.0</v>
      </c>
      <c r="B92" s="101">
        <v>44628.0</v>
      </c>
      <c r="C92" s="66">
        <v>2331.0</v>
      </c>
      <c r="D92" s="66" t="s">
        <v>226</v>
      </c>
      <c r="E92" s="66">
        <v>1.0</v>
      </c>
      <c r="F92" s="66" t="s">
        <v>228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2">
        <f t="shared" si="2"/>
        <v>5.1027</v>
      </c>
      <c r="L92" s="82">
        <f t="shared" si="3"/>
        <v>3.1758</v>
      </c>
    </row>
    <row r="93">
      <c r="A93" s="83">
        <v>44631.0</v>
      </c>
      <c r="B93" s="101">
        <v>44628.0</v>
      </c>
      <c r="C93" s="66">
        <v>2024.0</v>
      </c>
      <c r="D93" s="66" t="s">
        <v>221</v>
      </c>
      <c r="E93" s="66">
        <v>0.0</v>
      </c>
      <c r="F93" s="66" t="s">
        <v>228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2">
        <f t="shared" si="2"/>
        <v>9.6967</v>
      </c>
      <c r="L93" s="82">
        <f t="shared" si="3"/>
        <v>3.5767</v>
      </c>
    </row>
    <row r="94">
      <c r="A94" s="83">
        <v>44631.0</v>
      </c>
      <c r="B94" s="101">
        <v>44628.0</v>
      </c>
      <c r="C94" s="66">
        <v>2007.0</v>
      </c>
      <c r="D94" s="66" t="s">
        <v>221</v>
      </c>
      <c r="E94" s="66">
        <v>0.0</v>
      </c>
      <c r="F94" s="66" t="s">
        <v>228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2">
        <f t="shared" si="2"/>
        <v>9.8548</v>
      </c>
      <c r="L94" s="82">
        <f t="shared" si="3"/>
        <v>4.4034</v>
      </c>
    </row>
    <row r="95">
      <c r="A95" s="83">
        <v>44631.0</v>
      </c>
      <c r="B95" s="101">
        <v>44628.0</v>
      </c>
      <c r="C95" s="66">
        <v>2007.0</v>
      </c>
      <c r="D95" s="66" t="s">
        <v>226</v>
      </c>
      <c r="E95" s="66">
        <v>0.0</v>
      </c>
      <c r="F95" s="66" t="s">
        <v>227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2">
        <f t="shared" si="2"/>
        <v>1.1286</v>
      </c>
      <c r="L95" s="82">
        <f t="shared" si="3"/>
        <v>0.2446</v>
      </c>
    </row>
    <row r="96">
      <c r="A96" s="83">
        <v>44631.0</v>
      </c>
      <c r="B96" s="101">
        <v>44628.0</v>
      </c>
      <c r="C96" s="66">
        <v>2331.0</v>
      </c>
      <c r="D96" s="66" t="s">
        <v>226</v>
      </c>
      <c r="E96" s="66">
        <v>1.0</v>
      </c>
      <c r="F96" s="66" t="s">
        <v>227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2">
        <f t="shared" si="2"/>
        <v>1.3867</v>
      </c>
      <c r="L96" s="82">
        <f t="shared" si="3"/>
        <v>0.58</v>
      </c>
    </row>
    <row r="97">
      <c r="A97" s="83">
        <v>44631.0</v>
      </c>
      <c r="B97" s="101">
        <v>44628.0</v>
      </c>
      <c r="C97" s="66">
        <v>2093.0</v>
      </c>
      <c r="D97" s="66" t="s">
        <v>221</v>
      </c>
      <c r="E97" s="66">
        <v>0.0</v>
      </c>
      <c r="F97" s="66" t="s">
        <v>228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2">
        <f t="shared" si="2"/>
        <v>5.739</v>
      </c>
      <c r="L97" s="82">
        <f t="shared" si="3"/>
        <v>3.3033</v>
      </c>
    </row>
    <row r="98">
      <c r="A98" s="83">
        <v>44631.0</v>
      </c>
      <c r="B98" s="101">
        <v>44628.0</v>
      </c>
      <c r="C98" s="66">
        <v>2005.0</v>
      </c>
      <c r="D98" s="66" t="s">
        <v>226</v>
      </c>
      <c r="E98" s="66">
        <v>0.0</v>
      </c>
      <c r="F98" s="66" t="s">
        <v>227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2">
        <f t="shared" si="2"/>
        <v>1.0061</v>
      </c>
      <c r="L98" s="82">
        <f t="shared" si="3"/>
        <v>0.2925</v>
      </c>
    </row>
    <row r="99">
      <c r="A99" s="83">
        <v>44631.0</v>
      </c>
      <c r="B99" s="101">
        <v>44628.0</v>
      </c>
      <c r="C99" s="66">
        <v>2006.0</v>
      </c>
      <c r="D99" s="66" t="s">
        <v>221</v>
      </c>
      <c r="E99" s="66">
        <v>1.0</v>
      </c>
      <c r="F99" s="66" t="s">
        <v>227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2">
        <f t="shared" si="2"/>
        <v>1.2418</v>
      </c>
      <c r="L99" s="82">
        <f t="shared" si="3"/>
        <v>0.655</v>
      </c>
    </row>
    <row r="100">
      <c r="A100" s="83">
        <v>44631.0</v>
      </c>
      <c r="B100" s="101">
        <v>44628.0</v>
      </c>
      <c r="C100" s="66">
        <v>2007.0</v>
      </c>
      <c r="D100" s="66" t="s">
        <v>226</v>
      </c>
      <c r="E100" s="66">
        <v>0.0</v>
      </c>
      <c r="F100" s="66" t="s">
        <v>228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2">
        <f t="shared" si="2"/>
        <v>6.8348</v>
      </c>
      <c r="L100" s="82">
        <f t="shared" si="3"/>
        <v>2.4293</v>
      </c>
    </row>
    <row r="101">
      <c r="A101" s="83">
        <v>44631.0</v>
      </c>
      <c r="B101" s="101">
        <v>44628.0</v>
      </c>
      <c r="C101" s="66">
        <v>2006.0</v>
      </c>
      <c r="D101" s="66" t="s">
        <v>226</v>
      </c>
      <c r="E101" s="66">
        <v>0.0</v>
      </c>
      <c r="F101" s="66" t="s">
        <v>227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2">
        <f t="shared" si="2"/>
        <v>0.5034</v>
      </c>
      <c r="L101" s="82">
        <f t="shared" si="3"/>
        <v>0.1675</v>
      </c>
    </row>
    <row r="102">
      <c r="A102" s="83">
        <v>44631.0</v>
      </c>
      <c r="B102" s="101">
        <v>44628.0</v>
      </c>
      <c r="C102" s="66">
        <v>2005.0</v>
      </c>
      <c r="D102" s="66" t="s">
        <v>226</v>
      </c>
      <c r="E102" s="66">
        <v>0.0</v>
      </c>
      <c r="F102" s="66" t="s">
        <v>228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2">
        <f t="shared" si="2"/>
        <v>8.8478</v>
      </c>
      <c r="L102" s="82">
        <f t="shared" si="3"/>
        <v>2.7959</v>
      </c>
    </row>
    <row r="103">
      <c r="A103" s="83">
        <v>44631.0</v>
      </c>
      <c r="B103" s="101">
        <v>44628.0</v>
      </c>
      <c r="C103" s="66">
        <v>2331.0</v>
      </c>
      <c r="D103" s="66" t="s">
        <v>226</v>
      </c>
      <c r="E103" s="66">
        <v>0.0</v>
      </c>
      <c r="F103" s="66" t="s">
        <v>227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2">
        <f t="shared" si="2"/>
        <v>0.4175</v>
      </c>
      <c r="L103" s="82">
        <f t="shared" si="3"/>
        <v>0.0192</v>
      </c>
    </row>
    <row r="104">
      <c r="A104" s="83">
        <v>44631.0</v>
      </c>
      <c r="B104" s="101">
        <v>44628.0</v>
      </c>
      <c r="C104" s="66">
        <v>2004.0</v>
      </c>
      <c r="D104" s="66" t="s">
        <v>221</v>
      </c>
      <c r="E104" s="66">
        <v>1.0</v>
      </c>
      <c r="F104" s="66" t="s">
        <v>227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2">
        <f t="shared" si="2"/>
        <v>2.0173</v>
      </c>
      <c r="L104" s="82">
        <f t="shared" si="3"/>
        <v>0.8307</v>
      </c>
    </row>
    <row r="105">
      <c r="A105" s="83">
        <v>44631.0</v>
      </c>
      <c r="B105" s="101">
        <v>44628.0</v>
      </c>
      <c r="C105" s="66">
        <v>2023.0</v>
      </c>
      <c r="D105" s="66" t="s">
        <v>221</v>
      </c>
      <c r="E105" s="66">
        <v>1.0</v>
      </c>
      <c r="F105" s="66" t="s">
        <v>227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2">
        <f t="shared" si="2"/>
        <v>2.3096</v>
      </c>
      <c r="L105" s="82">
        <f t="shared" si="3"/>
        <v>1.0003</v>
      </c>
      <c r="N105" s="66" t="s">
        <v>229</v>
      </c>
    </row>
    <row r="106">
      <c r="A106" s="83">
        <v>44631.0</v>
      </c>
      <c r="B106" s="101">
        <v>44628.0</v>
      </c>
      <c r="C106" s="66">
        <v>2023.0</v>
      </c>
      <c r="D106" s="66" t="s">
        <v>221</v>
      </c>
      <c r="E106" s="66">
        <v>0.0</v>
      </c>
      <c r="F106" s="66" t="s">
        <v>227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2">
        <f t="shared" si="2"/>
        <v>0.8598</v>
      </c>
      <c r="L106" s="82">
        <f t="shared" si="3"/>
        <v>0.3331</v>
      </c>
    </row>
    <row r="107">
      <c r="A107" s="83">
        <v>44631.0</v>
      </c>
      <c r="B107" s="101">
        <v>44628.0</v>
      </c>
      <c r="C107" s="66">
        <v>2024.0</v>
      </c>
      <c r="D107" s="66" t="s">
        <v>221</v>
      </c>
      <c r="E107" s="66">
        <v>1.0</v>
      </c>
      <c r="F107" s="66" t="s">
        <v>227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2">
        <f t="shared" si="2"/>
        <v>0.7655</v>
      </c>
      <c r="L107" s="82">
        <f t="shared" si="3"/>
        <v>0.5667</v>
      </c>
    </row>
    <row r="108">
      <c r="A108" s="83">
        <v>44631.0</v>
      </c>
      <c r="B108" s="101">
        <v>44628.0</v>
      </c>
      <c r="C108" s="66">
        <v>2389.0</v>
      </c>
      <c r="D108" s="66" t="s">
        <v>221</v>
      </c>
      <c r="E108" s="66">
        <v>1.0</v>
      </c>
      <c r="F108" s="66" t="s">
        <v>227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2">
        <f t="shared" si="2"/>
        <v>0.9434</v>
      </c>
      <c r="L108" s="82">
        <f t="shared" si="3"/>
        <v>0.6197</v>
      </c>
    </row>
    <row r="109">
      <c r="A109" s="83">
        <v>44631.0</v>
      </c>
      <c r="B109" s="101">
        <v>44628.0</v>
      </c>
      <c r="C109" s="66">
        <v>2379.0</v>
      </c>
      <c r="D109" s="66" t="s">
        <v>226</v>
      </c>
      <c r="E109" s="66">
        <v>0.0</v>
      </c>
      <c r="F109" s="66" t="s">
        <v>228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2">
        <f t="shared" si="2"/>
        <v>7.6822</v>
      </c>
      <c r="L109" s="82">
        <f t="shared" si="3"/>
        <v>3.3179</v>
      </c>
    </row>
    <row r="110">
      <c r="A110" s="83">
        <v>44631.0</v>
      </c>
      <c r="B110" s="101">
        <v>44628.0</v>
      </c>
      <c r="C110" s="66">
        <v>2020.0</v>
      </c>
      <c r="D110" s="66" t="s">
        <v>221</v>
      </c>
      <c r="E110" s="66">
        <v>0.0</v>
      </c>
      <c r="F110" s="66" t="s">
        <v>228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2">
        <f t="shared" si="2"/>
        <v>13.1966</v>
      </c>
      <c r="L110" s="82">
        <f t="shared" si="3"/>
        <v>5.7214</v>
      </c>
    </row>
    <row r="111">
      <c r="A111" s="83">
        <v>44631.0</v>
      </c>
      <c r="B111" s="101">
        <v>44628.0</v>
      </c>
      <c r="C111" s="66">
        <v>2378.0</v>
      </c>
      <c r="D111" s="66" t="s">
        <v>226</v>
      </c>
      <c r="E111" s="66">
        <v>0.0</v>
      </c>
      <c r="F111" s="66" t="s">
        <v>227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2">
        <f t="shared" si="2"/>
        <v>1.2112</v>
      </c>
      <c r="L111" s="82">
        <f t="shared" si="3"/>
        <v>0.274</v>
      </c>
    </row>
    <row r="112">
      <c r="A112" s="83">
        <v>44631.0</v>
      </c>
      <c r="B112" s="101">
        <v>44628.0</v>
      </c>
      <c r="C112" s="66">
        <v>2025.0</v>
      </c>
      <c r="D112" s="66" t="s">
        <v>221</v>
      </c>
      <c r="E112" s="66">
        <v>1.0</v>
      </c>
      <c r="F112" s="66" t="s">
        <v>227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2">
        <f t="shared" si="2"/>
        <v>0.9534</v>
      </c>
      <c r="L112" s="82">
        <f t="shared" si="3"/>
        <v>0.5082</v>
      </c>
    </row>
    <row r="113">
      <c r="A113" s="83">
        <v>44631.0</v>
      </c>
      <c r="B113" s="101">
        <v>44628.0</v>
      </c>
      <c r="C113" s="66">
        <v>2383.0</v>
      </c>
      <c r="D113" s="66" t="s">
        <v>226</v>
      </c>
      <c r="E113" s="66">
        <v>0.0</v>
      </c>
      <c r="F113" s="66" t="s">
        <v>227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2">
        <f t="shared" si="2"/>
        <v>0.1685</v>
      </c>
      <c r="L113" s="82">
        <f t="shared" si="3"/>
        <v>0.1565</v>
      </c>
    </row>
    <row r="114">
      <c r="A114" s="83">
        <v>44631.0</v>
      </c>
      <c r="B114" s="101">
        <v>44628.0</v>
      </c>
      <c r="C114" s="66">
        <v>2354.0</v>
      </c>
      <c r="D114" s="66" t="s">
        <v>226</v>
      </c>
      <c r="E114" s="66">
        <v>0.0</v>
      </c>
      <c r="F114" s="66" t="s">
        <v>227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2">
        <f t="shared" si="2"/>
        <v>0.5496</v>
      </c>
      <c r="L114" s="82">
        <f t="shared" si="3"/>
        <v>0.0487</v>
      </c>
    </row>
    <row r="115">
      <c r="A115" s="83">
        <v>44631.0</v>
      </c>
      <c r="B115" s="101">
        <v>44628.0</v>
      </c>
      <c r="C115" s="66">
        <v>2089.0</v>
      </c>
      <c r="D115" s="66" t="s">
        <v>221</v>
      </c>
      <c r="E115" s="66">
        <v>0.0</v>
      </c>
      <c r="F115" s="66" t="s">
        <v>227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2">
        <f t="shared" si="2"/>
        <v>0.6006</v>
      </c>
      <c r="L115" s="82">
        <f t="shared" si="3"/>
        <v>0.3633</v>
      </c>
    </row>
    <row r="116">
      <c r="A116" s="83">
        <v>44631.0</v>
      </c>
      <c r="B116" s="101">
        <v>44628.0</v>
      </c>
      <c r="C116" s="66">
        <v>2020.0</v>
      </c>
      <c r="D116" s="66" t="s">
        <v>221</v>
      </c>
      <c r="E116" s="66">
        <v>0.0</v>
      </c>
      <c r="F116" s="66" t="s">
        <v>227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2">
        <f t="shared" si="2"/>
        <v>1.258</v>
      </c>
      <c r="L116" s="82">
        <f t="shared" si="3"/>
        <v>0.3228</v>
      </c>
    </row>
    <row r="117">
      <c r="A117" s="83">
        <v>44631.0</v>
      </c>
      <c r="B117" s="101">
        <v>44628.0</v>
      </c>
      <c r="C117" s="66">
        <v>2004.0</v>
      </c>
      <c r="D117" s="66" t="s">
        <v>221</v>
      </c>
      <c r="E117" s="66">
        <v>0.0</v>
      </c>
      <c r="F117" s="66" t="s">
        <v>228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2">
        <f t="shared" si="2"/>
        <v>8.5289</v>
      </c>
      <c r="L117" s="82">
        <f t="shared" si="3"/>
        <v>3.0315</v>
      </c>
    </row>
    <row r="118">
      <c r="A118" s="83">
        <v>44631.0</v>
      </c>
      <c r="B118" s="101">
        <v>44628.0</v>
      </c>
      <c r="C118" s="66">
        <v>2023.0</v>
      </c>
      <c r="D118" s="66" t="s">
        <v>221</v>
      </c>
      <c r="E118" s="66">
        <v>0.0</v>
      </c>
      <c r="F118" s="66" t="s">
        <v>228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2">
        <f t="shared" si="2"/>
        <v>6.0285</v>
      </c>
      <c r="L118" s="82">
        <f t="shared" si="3"/>
        <v>2.8339</v>
      </c>
    </row>
    <row r="119">
      <c r="A119" s="83">
        <v>44631.0</v>
      </c>
      <c r="B119" s="101">
        <v>44628.0</v>
      </c>
      <c r="C119" s="66">
        <v>2021.0</v>
      </c>
      <c r="D119" s="66" t="s">
        <v>221</v>
      </c>
      <c r="E119" s="66">
        <v>1.0</v>
      </c>
      <c r="F119" s="66" t="s">
        <v>227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2">
        <f t="shared" si="2"/>
        <v>3.6029</v>
      </c>
      <c r="L119" s="82">
        <f t="shared" si="3"/>
        <v>2.0061</v>
      </c>
      <c r="N119" s="66" t="s">
        <v>230</v>
      </c>
    </row>
    <row r="120">
      <c r="A120" s="83">
        <v>44631.0</v>
      </c>
      <c r="B120" s="101">
        <v>44628.0</v>
      </c>
      <c r="C120" s="66">
        <v>2006.0</v>
      </c>
      <c r="D120" s="66" t="s">
        <v>221</v>
      </c>
      <c r="E120" s="66">
        <v>0.0</v>
      </c>
      <c r="F120" s="66" t="s">
        <v>228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2">
        <f t="shared" si="2"/>
        <v>8.4658</v>
      </c>
      <c r="L120" s="82">
        <f t="shared" si="3"/>
        <v>3.2547</v>
      </c>
    </row>
    <row r="121">
      <c r="A121" s="83">
        <v>44631.0</v>
      </c>
      <c r="B121" s="101">
        <v>44628.0</v>
      </c>
      <c r="C121" s="66">
        <v>2021.0</v>
      </c>
      <c r="D121" s="66" t="s">
        <v>221</v>
      </c>
      <c r="E121" s="66">
        <v>0.0</v>
      </c>
      <c r="F121" s="66" t="s">
        <v>227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2">
        <f t="shared" si="2"/>
        <v>1.0834</v>
      </c>
      <c r="L121" s="82">
        <f t="shared" si="3"/>
        <v>0.2808</v>
      </c>
    </row>
    <row r="122">
      <c r="A122" s="83">
        <v>44631.0</v>
      </c>
      <c r="B122" s="101">
        <v>44628.0</v>
      </c>
      <c r="C122" s="66">
        <v>2025.0</v>
      </c>
      <c r="D122" s="66" t="s">
        <v>221</v>
      </c>
      <c r="E122" s="66">
        <v>0.0</v>
      </c>
      <c r="F122" s="66" t="s">
        <v>227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2">
        <f t="shared" si="2"/>
        <v>1.3601</v>
      </c>
      <c r="L122" s="82">
        <f t="shared" si="3"/>
        <v>0.48</v>
      </c>
    </row>
    <row r="123">
      <c r="A123" s="83">
        <v>44631.0</v>
      </c>
      <c r="B123" s="101">
        <v>44628.0</v>
      </c>
      <c r="C123" s="66">
        <v>2389.0</v>
      </c>
      <c r="D123" s="66" t="s">
        <v>221</v>
      </c>
      <c r="E123" s="66">
        <v>1.0</v>
      </c>
      <c r="F123" s="66" t="s">
        <v>228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2">
        <f t="shared" si="2"/>
        <v>4.9672</v>
      </c>
      <c r="L123" s="82">
        <f t="shared" si="3"/>
        <v>2.5997</v>
      </c>
    </row>
    <row r="124">
      <c r="A124" s="83">
        <v>44631.0</v>
      </c>
      <c r="B124" s="101">
        <v>44628.0</v>
      </c>
      <c r="C124" s="66">
        <v>2004.0</v>
      </c>
      <c r="D124" s="66" t="s">
        <v>221</v>
      </c>
      <c r="E124" s="66">
        <v>1.0</v>
      </c>
      <c r="F124" s="66" t="s">
        <v>227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2">
        <f t="shared" si="2"/>
        <v>0.5883</v>
      </c>
      <c r="L124" s="82">
        <f t="shared" si="3"/>
        <v>0.0824</v>
      </c>
    </row>
    <row r="125">
      <c r="A125" s="83">
        <v>44631.0</v>
      </c>
      <c r="B125" s="101">
        <v>44628.0</v>
      </c>
      <c r="C125" s="66">
        <v>2004.0</v>
      </c>
      <c r="D125" s="66" t="s">
        <v>221</v>
      </c>
      <c r="E125" s="66">
        <v>0.0</v>
      </c>
      <c r="F125" s="66" t="s">
        <v>227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2">
        <f t="shared" si="2"/>
        <v>1.1783</v>
      </c>
      <c r="L125" s="82">
        <f t="shared" si="3"/>
        <v>0.5254</v>
      </c>
    </row>
    <row r="126">
      <c r="A126" s="83">
        <v>44631.0</v>
      </c>
      <c r="B126" s="101">
        <v>44628.0</v>
      </c>
      <c r="C126" s="66">
        <v>2021.0</v>
      </c>
      <c r="D126" s="66" t="s">
        <v>221</v>
      </c>
      <c r="E126" s="66">
        <v>0.0</v>
      </c>
      <c r="F126" s="66" t="s">
        <v>228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2">
        <f t="shared" si="2"/>
        <v>11.8104</v>
      </c>
      <c r="L126" s="82">
        <f t="shared" si="3"/>
        <v>5.316</v>
      </c>
    </row>
    <row r="127">
      <c r="A127" s="83">
        <v>44631.0</v>
      </c>
      <c r="B127" s="101">
        <v>44628.0</v>
      </c>
      <c r="C127" s="66">
        <v>2004.0</v>
      </c>
      <c r="D127" s="66" t="s">
        <v>221</v>
      </c>
      <c r="E127" s="66">
        <v>0.0</v>
      </c>
      <c r="F127" s="66" t="s">
        <v>227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2">
        <f t="shared" si="2"/>
        <v>1.2885</v>
      </c>
      <c r="L127" s="82">
        <f t="shared" si="3"/>
        <v>0.3983</v>
      </c>
    </row>
    <row r="128">
      <c r="A128" s="83">
        <v>44631.0</v>
      </c>
      <c r="B128" s="101">
        <v>44628.0</v>
      </c>
      <c r="C128" s="66">
        <v>2354.0</v>
      </c>
      <c r="D128" s="66" t="s">
        <v>226</v>
      </c>
      <c r="E128" s="66">
        <v>1.0</v>
      </c>
      <c r="F128" s="66" t="s">
        <v>228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2">
        <f t="shared" si="2"/>
        <v>5.7641</v>
      </c>
      <c r="L128" s="82">
        <f t="shared" si="3"/>
        <v>3.1468</v>
      </c>
    </row>
    <row r="129">
      <c r="A129" s="83">
        <v>44631.0</v>
      </c>
      <c r="B129" s="101">
        <v>44628.0</v>
      </c>
      <c r="C129" s="66">
        <v>2027.0</v>
      </c>
      <c r="D129" s="66" t="s">
        <v>221</v>
      </c>
      <c r="E129" s="66">
        <v>0.0</v>
      </c>
      <c r="F129" s="66" t="s">
        <v>228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2">
        <f t="shared" si="2"/>
        <v>11.0343</v>
      </c>
      <c r="L129" s="82">
        <f t="shared" si="3"/>
        <v>5.7067</v>
      </c>
    </row>
    <row r="130">
      <c r="A130" s="83">
        <v>44631.0</v>
      </c>
      <c r="B130" s="101">
        <v>44628.0</v>
      </c>
      <c r="C130" s="66">
        <v>2378.0</v>
      </c>
      <c r="D130" s="66" t="s">
        <v>226</v>
      </c>
      <c r="E130" s="66">
        <v>0.0</v>
      </c>
      <c r="F130" s="66" t="s">
        <v>228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2">
        <f t="shared" si="2"/>
        <v>5.5972</v>
      </c>
      <c r="L130" s="82">
        <f t="shared" si="3"/>
        <v>2.248</v>
      </c>
    </row>
    <row r="131">
      <c r="A131" s="83">
        <v>44631.0</v>
      </c>
      <c r="B131" s="101">
        <v>44628.0</v>
      </c>
      <c r="C131" s="66">
        <v>2007.0</v>
      </c>
      <c r="D131" s="66" t="s">
        <v>221</v>
      </c>
      <c r="E131" s="66">
        <v>0.0</v>
      </c>
      <c r="F131" s="66" t="s">
        <v>227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2">
        <f t="shared" si="2"/>
        <v>1.0106</v>
      </c>
      <c r="L131" s="82">
        <f t="shared" si="3"/>
        <v>0.3454</v>
      </c>
    </row>
    <row r="132">
      <c r="A132" s="83">
        <v>44631.0</v>
      </c>
      <c r="B132" s="101">
        <v>44628.0</v>
      </c>
      <c r="C132" s="66">
        <v>2006.0</v>
      </c>
      <c r="D132" s="66" t="s">
        <v>226</v>
      </c>
      <c r="E132" s="66">
        <v>0.0</v>
      </c>
      <c r="F132" s="66" t="s">
        <v>227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2">
        <f t="shared" si="2"/>
        <v>6.4543</v>
      </c>
      <c r="L132" s="82">
        <f t="shared" si="3"/>
        <v>2.0054</v>
      </c>
    </row>
    <row r="133">
      <c r="A133" s="83">
        <v>44631.0</v>
      </c>
      <c r="B133" s="101">
        <v>44628.0</v>
      </c>
      <c r="C133" s="66">
        <v>2024.0</v>
      </c>
      <c r="D133" s="66" t="s">
        <v>221</v>
      </c>
      <c r="E133" s="66">
        <v>0.0</v>
      </c>
      <c r="F133" s="66" t="s">
        <v>227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2">
        <f t="shared" si="2"/>
        <v>0.9337</v>
      </c>
      <c r="L133" s="82">
        <f t="shared" si="3"/>
        <v>0.3048</v>
      </c>
    </row>
    <row r="134">
      <c r="A134" s="83">
        <v>44631.0</v>
      </c>
      <c r="B134" s="101">
        <v>44628.0</v>
      </c>
      <c r="C134" s="66">
        <v>2093.0</v>
      </c>
      <c r="D134" s="66" t="s">
        <v>221</v>
      </c>
      <c r="E134" s="66">
        <v>1.0</v>
      </c>
      <c r="F134" s="66" t="s">
        <v>228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2">
        <f t="shared" si="2"/>
        <v>6.4301</v>
      </c>
      <c r="L134" s="82">
        <f t="shared" si="3"/>
        <v>4.0404</v>
      </c>
    </row>
    <row r="135">
      <c r="A135" s="83">
        <v>44635.0</v>
      </c>
      <c r="B135" s="83">
        <v>44635.0</v>
      </c>
      <c r="C135" s="66">
        <v>2384.0</v>
      </c>
      <c r="D135" s="66" t="s">
        <v>226</v>
      </c>
      <c r="E135" s="66">
        <v>1.0</v>
      </c>
      <c r="F135" s="66" t="s">
        <v>227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2">
        <f t="shared" si="2"/>
        <v>0.746</v>
      </c>
      <c r="L135" s="82">
        <f t="shared" si="3"/>
        <v>0.3751</v>
      </c>
    </row>
    <row r="136">
      <c r="A136" s="83">
        <v>44635.0</v>
      </c>
      <c r="B136" s="83">
        <v>44635.0</v>
      </c>
      <c r="C136" s="66">
        <v>2352.0</v>
      </c>
      <c r="D136" s="66" t="s">
        <v>226</v>
      </c>
      <c r="E136" s="66">
        <v>0.0</v>
      </c>
      <c r="F136" s="66" t="s">
        <v>227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2">
        <f t="shared" si="2"/>
        <v>1.2349</v>
      </c>
      <c r="L136" s="82">
        <f t="shared" si="3"/>
        <v>0.5023</v>
      </c>
    </row>
    <row r="137">
      <c r="A137" s="83">
        <v>44635.0</v>
      </c>
      <c r="B137" s="83">
        <v>44635.0</v>
      </c>
      <c r="C137" s="66">
        <v>2092.0</v>
      </c>
      <c r="D137" s="66" t="s">
        <v>226</v>
      </c>
      <c r="E137" s="66">
        <v>1.0</v>
      </c>
      <c r="F137" s="66" t="s">
        <v>227</v>
      </c>
      <c r="G137" s="66">
        <v>2.0</v>
      </c>
      <c r="H137" s="66">
        <v>26.1535</v>
      </c>
      <c r="I137" s="66">
        <v>27.6492</v>
      </c>
      <c r="J137" s="66">
        <v>26.9958</v>
      </c>
      <c r="K137" s="82">
        <f t="shared" si="2"/>
        <v>1.4957</v>
      </c>
      <c r="L137" s="82">
        <f t="shared" si="3"/>
        <v>0.8423</v>
      </c>
    </row>
    <row r="138">
      <c r="A138" s="83">
        <v>44635.0</v>
      </c>
      <c r="B138" s="83">
        <v>44635.0</v>
      </c>
      <c r="C138" s="66">
        <v>2023.0</v>
      </c>
      <c r="D138" s="66" t="s">
        <v>226</v>
      </c>
      <c r="E138" s="66">
        <v>0.0</v>
      </c>
      <c r="F138" s="66" t="s">
        <v>227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2">
        <f t="shared" si="2"/>
        <v>0.9482</v>
      </c>
      <c r="L138" s="82">
        <f t="shared" si="3"/>
        <v>0.2229</v>
      </c>
    </row>
    <row r="139">
      <c r="A139" s="83">
        <v>44635.0</v>
      </c>
      <c r="B139" s="83">
        <v>44635.0</v>
      </c>
      <c r="C139" s="66">
        <v>2022.0</v>
      </c>
      <c r="D139" s="66" t="s">
        <v>226</v>
      </c>
      <c r="E139" s="66">
        <v>1.0</v>
      </c>
      <c r="F139" s="66" t="s">
        <v>227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2">
        <f t="shared" si="2"/>
        <v>1.5489</v>
      </c>
      <c r="L139" s="82">
        <f t="shared" si="3"/>
        <v>0.5878</v>
      </c>
    </row>
    <row r="140">
      <c r="A140" s="83">
        <v>44635.0</v>
      </c>
      <c r="B140" s="83">
        <v>44635.0</v>
      </c>
      <c r="C140" s="66">
        <v>2024.0</v>
      </c>
      <c r="D140" s="66" t="s">
        <v>226</v>
      </c>
      <c r="E140" s="66">
        <v>0.0</v>
      </c>
      <c r="F140" s="66" t="s">
        <v>227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2">
        <f t="shared" si="2"/>
        <v>1.2729</v>
      </c>
      <c r="L140" s="82">
        <f t="shared" si="3"/>
        <v>0.4978</v>
      </c>
    </row>
    <row r="141">
      <c r="A141" s="83">
        <v>44635.0</v>
      </c>
      <c r="B141" s="83">
        <v>44635.0</v>
      </c>
      <c r="C141" s="66">
        <v>2091.0</v>
      </c>
      <c r="D141" s="66" t="s">
        <v>226</v>
      </c>
      <c r="E141" s="66">
        <v>1.0</v>
      </c>
      <c r="F141" s="66" t="s">
        <v>227</v>
      </c>
      <c r="G141" s="66">
        <v>2.0</v>
      </c>
      <c r="H141" s="66">
        <v>26.5938</v>
      </c>
      <c r="I141" s="66">
        <v>27.2196</v>
      </c>
      <c r="J141" s="66">
        <v>27.2061</v>
      </c>
      <c r="K141" s="82">
        <f t="shared" si="2"/>
        <v>0.6258</v>
      </c>
      <c r="L141" s="82">
        <f t="shared" si="3"/>
        <v>0.6123</v>
      </c>
    </row>
    <row r="142">
      <c r="A142" s="83">
        <v>44635.0</v>
      </c>
      <c r="B142" s="83">
        <v>44635.0</v>
      </c>
      <c r="C142" s="66">
        <v>2383.0</v>
      </c>
      <c r="D142" s="66" t="s">
        <v>226</v>
      </c>
      <c r="E142" s="66">
        <v>1.0</v>
      </c>
      <c r="F142" s="66" t="s">
        <v>227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2">
        <f t="shared" si="2"/>
        <v>0.464</v>
      </c>
      <c r="L142" s="82">
        <f t="shared" si="3"/>
        <v>0.4926</v>
      </c>
    </row>
    <row r="143">
      <c r="A143" s="83">
        <v>44635.0</v>
      </c>
      <c r="B143" s="83">
        <v>44635.0</v>
      </c>
      <c r="C143" s="66">
        <v>2025.0</v>
      </c>
      <c r="D143" s="66" t="s">
        <v>226</v>
      </c>
      <c r="E143" s="66">
        <v>1.0</v>
      </c>
      <c r="F143" s="66" t="s">
        <v>227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2">
        <f t="shared" si="2"/>
        <v>1.6278</v>
      </c>
      <c r="L143" s="82">
        <f t="shared" si="3"/>
        <v>0.8027</v>
      </c>
    </row>
    <row r="144">
      <c r="A144" s="83">
        <v>44635.0</v>
      </c>
      <c r="B144" s="83">
        <v>44635.0</v>
      </c>
      <c r="C144" s="66">
        <v>2020.0</v>
      </c>
      <c r="D144" s="66" t="s">
        <v>226</v>
      </c>
      <c r="E144" s="66">
        <v>1.0</v>
      </c>
      <c r="F144" s="66" t="s">
        <v>227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2">
        <f t="shared" si="2"/>
        <v>2.001</v>
      </c>
      <c r="L144" s="82">
        <f t="shared" si="3"/>
        <v>0.7071</v>
      </c>
    </row>
    <row r="145">
      <c r="A145" s="83">
        <v>44635.0</v>
      </c>
      <c r="B145" s="83">
        <v>44635.0</v>
      </c>
      <c r="C145" s="66">
        <v>2092.0</v>
      </c>
      <c r="D145" s="66" t="s">
        <v>226</v>
      </c>
      <c r="E145" s="66">
        <v>0.0</v>
      </c>
      <c r="F145" s="66" t="s">
        <v>228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2">
        <f t="shared" si="2"/>
        <v>13.2959</v>
      </c>
      <c r="L145" s="82">
        <f t="shared" si="3"/>
        <v>3.0204</v>
      </c>
    </row>
    <row r="146">
      <c r="A146" s="83">
        <v>44635.0</v>
      </c>
      <c r="B146" s="83">
        <v>44635.0</v>
      </c>
      <c r="C146" s="66">
        <v>2382.0</v>
      </c>
      <c r="D146" s="66" t="s">
        <v>226</v>
      </c>
      <c r="E146" s="66">
        <v>0.0</v>
      </c>
      <c r="F146" s="66" t="s">
        <v>227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2">
        <f t="shared" si="2"/>
        <v>0.4682</v>
      </c>
      <c r="L146" s="82">
        <f t="shared" si="3"/>
        <v>0.1942</v>
      </c>
    </row>
    <row r="147">
      <c r="A147" s="83">
        <v>44635.0</v>
      </c>
      <c r="B147" s="83">
        <v>44635.0</v>
      </c>
      <c r="C147" s="66">
        <v>2021.0</v>
      </c>
      <c r="D147" s="66" t="s">
        <v>226</v>
      </c>
      <c r="E147" s="66">
        <v>0.0</v>
      </c>
      <c r="F147" s="66" t="s">
        <v>227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2">
        <f t="shared" si="2"/>
        <v>0.481</v>
      </c>
      <c r="L147" s="82">
        <f t="shared" si="3"/>
        <v>0.1875</v>
      </c>
    </row>
    <row r="148">
      <c r="A148" s="83">
        <v>44635.0</v>
      </c>
      <c r="B148" s="83">
        <v>44635.0</v>
      </c>
      <c r="C148" s="66">
        <v>2021.0</v>
      </c>
      <c r="D148" s="66" t="s">
        <v>226</v>
      </c>
      <c r="E148" s="66">
        <v>0.0</v>
      </c>
      <c r="F148" s="66" t="s">
        <v>228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2">
        <f t="shared" si="2"/>
        <v>6.1524</v>
      </c>
      <c r="L148" s="82">
        <f t="shared" si="3"/>
        <v>2.4062</v>
      </c>
    </row>
    <row r="149">
      <c r="A149" s="83">
        <v>44635.0</v>
      </c>
      <c r="B149" s="83">
        <v>44635.0</v>
      </c>
      <c r="C149" s="66">
        <v>2027.0</v>
      </c>
      <c r="D149" s="66" t="s">
        <v>226</v>
      </c>
      <c r="E149" s="66">
        <v>1.0</v>
      </c>
      <c r="F149" s="66" t="s">
        <v>227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2">
        <f t="shared" si="2"/>
        <v>0.6285</v>
      </c>
      <c r="L149" s="82">
        <f t="shared" si="3"/>
        <v>0.4794</v>
      </c>
    </row>
    <row r="150">
      <c r="A150" s="83">
        <v>44635.0</v>
      </c>
      <c r="B150" s="83">
        <v>44635.0</v>
      </c>
      <c r="C150" s="66">
        <v>2020.0</v>
      </c>
      <c r="D150" s="66" t="s">
        <v>226</v>
      </c>
      <c r="E150" s="66">
        <v>0.0</v>
      </c>
      <c r="F150" s="66" t="s">
        <v>227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2">
        <f t="shared" si="2"/>
        <v>0.4125</v>
      </c>
      <c r="L150" s="82">
        <f t="shared" si="3"/>
        <v>0.165</v>
      </c>
    </row>
    <row r="151">
      <c r="A151" s="83">
        <v>44635.0</v>
      </c>
      <c r="B151" s="83">
        <v>44635.0</v>
      </c>
      <c r="C151" s="66">
        <v>2383.0</v>
      </c>
      <c r="D151" s="66" t="s">
        <v>226</v>
      </c>
      <c r="E151" s="66">
        <v>0.0</v>
      </c>
      <c r="F151" s="66" t="s">
        <v>228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2">
        <f t="shared" si="2"/>
        <v>5.791</v>
      </c>
      <c r="L151" s="82">
        <f t="shared" si="3"/>
        <v>2.3353</v>
      </c>
    </row>
    <row r="152">
      <c r="A152" s="83">
        <v>44635.0</v>
      </c>
      <c r="B152" s="83">
        <v>44635.0</v>
      </c>
      <c r="C152" s="66">
        <v>2024.0</v>
      </c>
      <c r="D152" s="66" t="s">
        <v>226</v>
      </c>
      <c r="E152" s="66">
        <v>1.0</v>
      </c>
      <c r="F152" s="66" t="s">
        <v>227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2">
        <f t="shared" si="2"/>
        <v>0.5989</v>
      </c>
      <c r="L152" s="82">
        <f t="shared" si="3"/>
        <v>0.3055</v>
      </c>
    </row>
    <row r="153">
      <c r="A153" s="83">
        <v>44635.0</v>
      </c>
      <c r="B153" s="83">
        <v>44635.0</v>
      </c>
      <c r="C153" s="66">
        <v>2089.0</v>
      </c>
      <c r="D153" s="66" t="s">
        <v>226</v>
      </c>
      <c r="E153" s="66">
        <v>1.0</v>
      </c>
      <c r="F153" s="66" t="s">
        <v>227</v>
      </c>
      <c r="G153" s="66">
        <v>2.0</v>
      </c>
      <c r="H153" s="66">
        <v>25.9319</v>
      </c>
      <c r="I153" s="66">
        <v>26.9701</v>
      </c>
      <c r="J153" s="66">
        <v>26.5299</v>
      </c>
      <c r="K153" s="82">
        <f t="shared" si="2"/>
        <v>1.0382</v>
      </c>
      <c r="L153" s="82">
        <f t="shared" si="3"/>
        <v>0.598</v>
      </c>
    </row>
    <row r="154">
      <c r="A154" s="83">
        <v>44635.0</v>
      </c>
      <c r="B154" s="83">
        <v>44635.0</v>
      </c>
      <c r="C154" s="66">
        <v>2384.0</v>
      </c>
      <c r="D154" s="66" t="s">
        <v>226</v>
      </c>
      <c r="E154" s="66">
        <v>0.0</v>
      </c>
      <c r="F154" s="66" t="s">
        <v>227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2">
        <f t="shared" si="2"/>
        <v>0.6712</v>
      </c>
      <c r="L154" s="82">
        <f t="shared" si="3"/>
        <v>0.2551</v>
      </c>
    </row>
    <row r="155">
      <c r="A155" s="83">
        <v>44635.0</v>
      </c>
      <c r="B155" s="83">
        <v>44635.0</v>
      </c>
      <c r="C155" s="66">
        <v>2022.0</v>
      </c>
      <c r="D155" s="66" t="s">
        <v>226</v>
      </c>
      <c r="E155" s="66">
        <v>1.0</v>
      </c>
      <c r="F155" s="66" t="s">
        <v>228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2">
        <f t="shared" si="2"/>
        <v>5.8326</v>
      </c>
      <c r="L155" s="82">
        <f t="shared" si="3"/>
        <v>3.1964</v>
      </c>
    </row>
    <row r="156">
      <c r="A156" s="83">
        <v>44635.0</v>
      </c>
      <c r="B156" s="83">
        <v>44635.0</v>
      </c>
      <c r="C156" s="66">
        <v>2093.0</v>
      </c>
      <c r="D156" s="66" t="s">
        <v>226</v>
      </c>
      <c r="E156" s="66">
        <v>1.0</v>
      </c>
      <c r="F156" s="66" t="s">
        <v>228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2">
        <f t="shared" si="2"/>
        <v>6.8573</v>
      </c>
      <c r="L156" s="82">
        <f t="shared" si="3"/>
        <v>3.8564</v>
      </c>
    </row>
    <row r="157">
      <c r="A157" s="83">
        <v>44635.0</v>
      </c>
      <c r="B157" s="83">
        <v>44635.0</v>
      </c>
      <c r="C157" s="66">
        <v>2092.0</v>
      </c>
      <c r="D157" s="66" t="s">
        <v>226</v>
      </c>
      <c r="E157" s="66">
        <v>0.0</v>
      </c>
      <c r="F157" s="66" t="s">
        <v>227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2">
        <f t="shared" si="2"/>
        <v>0.1616</v>
      </c>
      <c r="L157" s="82">
        <f t="shared" si="3"/>
        <v>0.3178</v>
      </c>
    </row>
    <row r="158">
      <c r="A158" s="83">
        <v>44635.0</v>
      </c>
      <c r="B158" s="83">
        <v>44635.0</v>
      </c>
      <c r="C158" s="66">
        <v>2091.0</v>
      </c>
      <c r="D158" s="66" t="s">
        <v>226</v>
      </c>
      <c r="E158" s="66">
        <v>0.0</v>
      </c>
      <c r="F158" s="66" t="s">
        <v>227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2">
        <f t="shared" si="2"/>
        <v>0.7414</v>
      </c>
      <c r="L158" s="82">
        <f t="shared" si="3"/>
        <v>0.459</v>
      </c>
    </row>
    <row r="159">
      <c r="A159" s="83">
        <v>44635.0</v>
      </c>
      <c r="B159" s="83">
        <v>44635.0</v>
      </c>
      <c r="C159" s="66">
        <v>2023.0</v>
      </c>
      <c r="D159" s="66" t="s">
        <v>226</v>
      </c>
      <c r="E159" s="66">
        <v>0.0</v>
      </c>
      <c r="F159" s="66" t="s">
        <v>228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2">
        <f t="shared" si="2"/>
        <v>7.6301</v>
      </c>
      <c r="L159" s="82">
        <f t="shared" si="3"/>
        <v>3.3668</v>
      </c>
    </row>
    <row r="160">
      <c r="A160" s="83">
        <v>44635.0</v>
      </c>
      <c r="B160" s="83">
        <v>44635.0</v>
      </c>
      <c r="C160" s="66">
        <v>2352.0</v>
      </c>
      <c r="D160" s="66" t="s">
        <v>226</v>
      </c>
      <c r="E160" s="66">
        <v>1.0</v>
      </c>
      <c r="F160" s="66" t="s">
        <v>227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2">
        <f t="shared" si="2"/>
        <v>1.0011</v>
      </c>
      <c r="L160" s="82">
        <f t="shared" si="3"/>
        <v>0.2283</v>
      </c>
    </row>
    <row r="161">
      <c r="A161" s="83">
        <v>44635.0</v>
      </c>
      <c r="B161" s="83">
        <v>44635.0</v>
      </c>
      <c r="C161" s="66">
        <v>2091.0</v>
      </c>
      <c r="D161" s="66" t="s">
        <v>226</v>
      </c>
      <c r="E161" s="66">
        <v>0.0</v>
      </c>
      <c r="F161" s="66" t="s">
        <v>228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2">
        <f t="shared" si="2"/>
        <v>5.7148</v>
      </c>
      <c r="L161" s="82">
        <f t="shared" si="3"/>
        <v>3.2051</v>
      </c>
    </row>
    <row r="162">
      <c r="A162" s="83">
        <v>44635.0</v>
      </c>
      <c r="B162" s="83">
        <v>44635.0</v>
      </c>
      <c r="C162" s="66">
        <v>2027.0</v>
      </c>
      <c r="D162" s="66" t="s">
        <v>226</v>
      </c>
      <c r="E162" s="66">
        <v>0.0</v>
      </c>
      <c r="F162" s="66" t="s">
        <v>227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2">
        <f t="shared" si="2"/>
        <v>0.5815</v>
      </c>
      <c r="L162" s="82">
        <f t="shared" si="3"/>
        <v>0.1672</v>
      </c>
    </row>
    <row r="163">
      <c r="A163" s="83">
        <v>44635.0</v>
      </c>
      <c r="B163" s="83">
        <v>44635.0</v>
      </c>
      <c r="C163" s="66">
        <v>2091.0</v>
      </c>
      <c r="D163" s="66" t="s">
        <v>226</v>
      </c>
      <c r="E163" s="66">
        <v>1.0</v>
      </c>
      <c r="F163" s="66" t="s">
        <v>228</v>
      </c>
      <c r="G163" s="66">
        <v>2.0</v>
      </c>
      <c r="H163" s="66">
        <v>25.7902</v>
      </c>
      <c r="I163" s="66">
        <v>29.6036</v>
      </c>
      <c r="J163" s="66">
        <v>27.7467</v>
      </c>
      <c r="K163" s="82">
        <f t="shared" si="2"/>
        <v>3.8134</v>
      </c>
      <c r="L163" s="82">
        <f t="shared" si="3"/>
        <v>1.9565</v>
      </c>
    </row>
    <row r="164">
      <c r="A164" s="83">
        <v>44635.0</v>
      </c>
      <c r="B164" s="83">
        <v>44635.0</v>
      </c>
      <c r="C164" s="66">
        <v>2352.0</v>
      </c>
      <c r="D164" s="66" t="s">
        <v>226</v>
      </c>
      <c r="E164" s="66">
        <v>0.0</v>
      </c>
      <c r="F164" s="66" t="s">
        <v>228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2">
        <f t="shared" si="2"/>
        <v>9.5583</v>
      </c>
      <c r="L164" s="82">
        <f t="shared" si="3"/>
        <v>3.739</v>
      </c>
    </row>
    <row r="165">
      <c r="A165" s="83">
        <v>44635.0</v>
      </c>
      <c r="B165" s="83">
        <v>44635.0</v>
      </c>
      <c r="C165" s="66">
        <v>2383.0</v>
      </c>
      <c r="D165" s="66" t="s">
        <v>226</v>
      </c>
      <c r="E165" s="66">
        <v>0.0</v>
      </c>
      <c r="F165" s="66" t="s">
        <v>227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2">
        <f t="shared" si="2"/>
        <v>0.712</v>
      </c>
      <c r="L165" s="82">
        <f t="shared" si="3"/>
        <v>0.1378</v>
      </c>
    </row>
    <row r="166">
      <c r="A166" s="83">
        <v>44635.0</v>
      </c>
      <c r="B166" s="83">
        <v>44635.0</v>
      </c>
      <c r="C166" s="66">
        <v>2089.0</v>
      </c>
      <c r="D166" s="66" t="s">
        <v>226</v>
      </c>
      <c r="E166" s="66">
        <v>0.0</v>
      </c>
      <c r="F166" s="66" t="s">
        <v>228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2">
        <f t="shared" si="2"/>
        <v>6.7853</v>
      </c>
      <c r="L166" s="82">
        <f t="shared" si="3"/>
        <v>3.7474</v>
      </c>
    </row>
    <row r="167">
      <c r="A167" s="83">
        <v>44635.0</v>
      </c>
      <c r="B167" s="83">
        <v>44635.0</v>
      </c>
      <c r="C167" s="66">
        <v>2025.0</v>
      </c>
      <c r="D167" s="66" t="s">
        <v>226</v>
      </c>
      <c r="E167" s="66">
        <v>0.0</v>
      </c>
      <c r="F167" s="66" t="s">
        <v>228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2">
        <f t="shared" si="2"/>
        <v>10.1352</v>
      </c>
      <c r="L167" s="82">
        <f t="shared" si="3"/>
        <v>4.2192</v>
      </c>
    </row>
    <row r="168">
      <c r="A168" s="83">
        <v>44635.0</v>
      </c>
      <c r="B168" s="83">
        <v>44635.0</v>
      </c>
      <c r="C168" s="66">
        <v>2384.0</v>
      </c>
      <c r="D168" s="66" t="s">
        <v>226</v>
      </c>
      <c r="E168" s="66">
        <v>0.0</v>
      </c>
      <c r="F168" s="66" t="s">
        <v>228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2">
        <f t="shared" si="2"/>
        <v>8.2187</v>
      </c>
      <c r="L168" s="82">
        <f t="shared" si="3"/>
        <v>3.0508</v>
      </c>
    </row>
    <row r="169">
      <c r="A169" s="83">
        <v>44635.0</v>
      </c>
      <c r="B169" s="83">
        <v>44635.0</v>
      </c>
      <c r="C169" s="66">
        <v>2020.0</v>
      </c>
      <c r="D169" s="66" t="s">
        <v>226</v>
      </c>
      <c r="E169" s="66">
        <v>0.0</v>
      </c>
      <c r="F169" s="66" t="s">
        <v>228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2">
        <f t="shared" si="2"/>
        <v>7.4446</v>
      </c>
      <c r="L169" s="82">
        <f t="shared" si="3"/>
        <v>3.137</v>
      </c>
    </row>
    <row r="170">
      <c r="A170" s="83">
        <v>44635.0</v>
      </c>
      <c r="B170" s="83">
        <v>44635.0</v>
      </c>
      <c r="C170" s="66">
        <v>2089.0</v>
      </c>
      <c r="D170" s="66" t="s">
        <v>226</v>
      </c>
      <c r="E170" s="66">
        <v>1.0</v>
      </c>
      <c r="F170" s="66" t="s">
        <v>228</v>
      </c>
      <c r="G170" s="66">
        <v>2.0</v>
      </c>
      <c r="H170" s="66">
        <v>26.6758</v>
      </c>
      <c r="I170" s="66">
        <v>28.5837</v>
      </c>
      <c r="J170" s="66">
        <v>28.0109</v>
      </c>
      <c r="K170" s="82">
        <f t="shared" si="2"/>
        <v>1.9079</v>
      </c>
      <c r="L170" s="82">
        <f t="shared" si="3"/>
        <v>1.3351</v>
      </c>
    </row>
    <row r="171">
      <c r="A171" s="83">
        <v>44635.0</v>
      </c>
      <c r="B171" s="83">
        <v>44635.0</v>
      </c>
      <c r="C171" s="66">
        <v>2382.0</v>
      </c>
      <c r="D171" s="66" t="s">
        <v>226</v>
      </c>
      <c r="E171" s="66">
        <v>0.0</v>
      </c>
      <c r="F171" s="66" t="s">
        <v>228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2">
        <f t="shared" si="2"/>
        <v>6.1552</v>
      </c>
      <c r="L171" s="82">
        <f t="shared" si="3"/>
        <v>2.4563</v>
      </c>
    </row>
    <row r="172">
      <c r="A172" s="83">
        <v>44635.0</v>
      </c>
      <c r="B172" s="83">
        <v>44635.0</v>
      </c>
      <c r="C172" s="66">
        <v>2024.0</v>
      </c>
      <c r="D172" s="66" t="s">
        <v>226</v>
      </c>
      <c r="E172" s="66">
        <v>0.0</v>
      </c>
      <c r="F172" s="66" t="s">
        <v>228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2">
        <f t="shared" si="2"/>
        <v>5.1357</v>
      </c>
      <c r="L172" s="82">
        <f t="shared" si="3"/>
        <v>2.0553</v>
      </c>
    </row>
    <row r="173">
      <c r="A173" s="83">
        <v>44635.0</v>
      </c>
      <c r="B173" s="83">
        <v>44635.0</v>
      </c>
      <c r="C173" s="66">
        <v>2025.0</v>
      </c>
      <c r="D173" s="66" t="s">
        <v>226</v>
      </c>
      <c r="E173" s="66">
        <v>0.0</v>
      </c>
      <c r="F173" s="66" t="s">
        <v>227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2">
        <f t="shared" si="2"/>
        <v>0.8312</v>
      </c>
      <c r="L173" s="82">
        <f t="shared" si="3"/>
        <v>0.3181</v>
      </c>
    </row>
    <row r="174">
      <c r="A174" s="83">
        <v>44635.0</v>
      </c>
      <c r="B174" s="83">
        <v>44635.0</v>
      </c>
      <c r="C174" s="66">
        <v>2027.0</v>
      </c>
      <c r="D174" s="66" t="s">
        <v>226</v>
      </c>
      <c r="E174" s="66">
        <v>0.0</v>
      </c>
      <c r="F174" s="66" t="s">
        <v>228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2">
        <f t="shared" si="2"/>
        <v>7.6383</v>
      </c>
      <c r="L174" s="82">
        <f t="shared" si="3"/>
        <v>3.3793</v>
      </c>
    </row>
    <row r="175">
      <c r="A175" s="83">
        <v>44635.0</v>
      </c>
      <c r="B175" s="83">
        <v>44635.0</v>
      </c>
      <c r="C175" s="66">
        <v>2382.0</v>
      </c>
      <c r="D175" s="66" t="s">
        <v>226</v>
      </c>
      <c r="E175" s="66">
        <v>1.0</v>
      </c>
      <c r="F175" s="66" t="s">
        <v>227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2">
        <f t="shared" si="2"/>
        <v>0.8746</v>
      </c>
      <c r="L175" s="82">
        <f t="shared" si="3"/>
        <v>0.5666</v>
      </c>
    </row>
    <row r="176">
      <c r="A176" s="83">
        <v>44635.0</v>
      </c>
      <c r="B176" s="83">
        <v>44635.0</v>
      </c>
      <c r="C176" s="66">
        <v>2093.0</v>
      </c>
      <c r="D176" s="66" t="s">
        <v>226</v>
      </c>
      <c r="E176" s="66">
        <v>1.0</v>
      </c>
      <c r="F176" s="66" t="s">
        <v>227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2">
        <f t="shared" si="2"/>
        <v>1.2063</v>
      </c>
      <c r="L176" s="82">
        <f t="shared" si="3"/>
        <v>0.7114</v>
      </c>
    </row>
    <row r="177">
      <c r="A177" s="83">
        <v>44635.0</v>
      </c>
      <c r="B177" s="83">
        <v>44635.0</v>
      </c>
      <c r="C177" s="66">
        <v>2089.0</v>
      </c>
      <c r="E177" s="66">
        <v>0.0</v>
      </c>
      <c r="F177" s="66" t="s">
        <v>227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2">
        <f t="shared" si="2"/>
        <v>1.3525</v>
      </c>
      <c r="L177" s="82">
        <f t="shared" si="3"/>
        <v>0.7862</v>
      </c>
    </row>
    <row r="178">
      <c r="A178" s="83">
        <v>44635.0</v>
      </c>
      <c r="B178" s="83">
        <v>44635.0</v>
      </c>
      <c r="C178" s="66">
        <v>2021.0</v>
      </c>
      <c r="D178" s="66" t="s">
        <v>226</v>
      </c>
      <c r="E178" s="66">
        <v>1.0</v>
      </c>
      <c r="F178" s="66" t="s">
        <v>227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2">
        <f t="shared" si="2"/>
        <v>2.0058</v>
      </c>
      <c r="L178" s="82">
        <f t="shared" si="3"/>
        <v>0.7897</v>
      </c>
    </row>
    <row r="179">
      <c r="A179" s="83">
        <v>44635.0</v>
      </c>
      <c r="B179" s="83">
        <v>44635.0</v>
      </c>
      <c r="C179" s="66">
        <v>2093.0</v>
      </c>
      <c r="D179" s="66" t="s">
        <v>226</v>
      </c>
      <c r="E179" s="66">
        <v>0.0</v>
      </c>
      <c r="F179" s="66" t="s">
        <v>228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2">
        <f t="shared" si="2"/>
        <v>0.1701</v>
      </c>
      <c r="L179" s="82">
        <f t="shared" si="3"/>
        <v>0.1154</v>
      </c>
    </row>
    <row r="180">
      <c r="A180" s="83">
        <v>44635.0</v>
      </c>
      <c r="B180" s="83">
        <v>44635.0</v>
      </c>
      <c r="C180" s="66">
        <v>2093.0</v>
      </c>
      <c r="D180" s="66" t="s">
        <v>226</v>
      </c>
      <c r="E180" s="66">
        <v>0.0</v>
      </c>
      <c r="F180" s="66" t="s">
        <v>227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2">
        <f t="shared" si="2"/>
        <v>0.0122</v>
      </c>
      <c r="L180" s="82">
        <f t="shared" si="3"/>
        <v>0.0237</v>
      </c>
    </row>
    <row r="181">
      <c r="A181" s="83">
        <v>44635.0</v>
      </c>
      <c r="B181" s="83">
        <v>44635.0</v>
      </c>
      <c r="C181" s="66">
        <v>2022.0</v>
      </c>
      <c r="D181" s="66" t="s">
        <v>226</v>
      </c>
      <c r="E181" s="66">
        <v>0.0</v>
      </c>
      <c r="F181" s="66" t="s">
        <v>228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2">
        <f t="shared" si="2"/>
        <v>7.1243</v>
      </c>
      <c r="L181" s="82">
        <f t="shared" si="3"/>
        <v>3.2551</v>
      </c>
    </row>
    <row r="182">
      <c r="A182" s="83">
        <v>44635.0</v>
      </c>
      <c r="B182" s="83">
        <v>44635.0</v>
      </c>
      <c r="C182" s="66">
        <v>2092.0</v>
      </c>
      <c r="D182" s="66" t="s">
        <v>226</v>
      </c>
      <c r="E182" s="66">
        <v>1.0</v>
      </c>
      <c r="F182" s="66" t="s">
        <v>228</v>
      </c>
      <c r="G182" s="66">
        <v>2.0</v>
      </c>
      <c r="H182" s="66">
        <v>26.3995</v>
      </c>
      <c r="I182" s="66">
        <v>28.7797</v>
      </c>
      <c r="J182" s="66">
        <v>27.7431</v>
      </c>
      <c r="K182" s="82">
        <f t="shared" si="2"/>
        <v>2.3802</v>
      </c>
      <c r="L182" s="82">
        <f t="shared" si="3"/>
        <v>1.3436</v>
      </c>
    </row>
    <row r="183">
      <c r="A183" s="83">
        <v>44635.0</v>
      </c>
      <c r="B183" s="83">
        <v>44635.0</v>
      </c>
      <c r="C183" s="66">
        <v>2022.0</v>
      </c>
      <c r="D183" s="66" t="s">
        <v>226</v>
      </c>
      <c r="E183" s="66">
        <v>0.0</v>
      </c>
      <c r="F183" s="66" t="s">
        <v>227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2">
        <f t="shared" si="2"/>
        <v>1.037</v>
      </c>
      <c r="L183" s="82">
        <f t="shared" si="3"/>
        <v>0.1945</v>
      </c>
    </row>
    <row r="184">
      <c r="A184" s="83">
        <v>44635.0</v>
      </c>
      <c r="B184" s="83">
        <v>44635.0</v>
      </c>
      <c r="C184" s="66">
        <v>2023.0</v>
      </c>
      <c r="D184" s="66" t="s">
        <v>226</v>
      </c>
      <c r="E184" s="66">
        <v>1.0</v>
      </c>
      <c r="F184" s="66" t="s">
        <v>227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2">
        <f t="shared" si="2"/>
        <v>0.9059</v>
      </c>
      <c r="L184" s="82">
        <f t="shared" si="3"/>
        <v>0.422</v>
      </c>
    </row>
    <row r="185">
      <c r="A185" s="83">
        <v>44635.0</v>
      </c>
      <c r="B185" s="83">
        <v>44635.0</v>
      </c>
      <c r="C185" s="66">
        <v>2323.0</v>
      </c>
      <c r="D185" s="66" t="s">
        <v>226</v>
      </c>
      <c r="E185" s="66">
        <v>1.0</v>
      </c>
      <c r="F185" s="66" t="s">
        <v>228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2">
        <f t="shared" si="2"/>
        <v>4.3589</v>
      </c>
      <c r="L185" s="82">
        <f t="shared" si="3"/>
        <v>2.4433</v>
      </c>
    </row>
    <row r="186">
      <c r="A186" s="83">
        <v>44650.0</v>
      </c>
      <c r="B186" s="83">
        <v>44650.0</v>
      </c>
      <c r="C186" s="66">
        <v>2301.0</v>
      </c>
      <c r="D186" s="66" t="s">
        <v>226</v>
      </c>
      <c r="E186" s="66">
        <v>1.0</v>
      </c>
      <c r="F186" s="66" t="s">
        <v>228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2">
        <f t="shared" si="2"/>
        <v>6.202</v>
      </c>
      <c r="L186" s="82">
        <f t="shared" si="3"/>
        <v>3.4851</v>
      </c>
    </row>
    <row r="187">
      <c r="A187" s="83">
        <v>44650.0</v>
      </c>
      <c r="B187" s="83">
        <v>44650.0</v>
      </c>
      <c r="C187" s="66">
        <v>2372.0</v>
      </c>
      <c r="D187" s="66" t="s">
        <v>226</v>
      </c>
      <c r="E187" s="66">
        <v>0.0</v>
      </c>
      <c r="F187" s="66" t="s">
        <v>228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2">
        <f t="shared" si="2"/>
        <v>8.1929</v>
      </c>
      <c r="L187" s="82">
        <f t="shared" si="3"/>
        <v>3.0651</v>
      </c>
    </row>
    <row r="188">
      <c r="A188" s="83">
        <v>44650.0</v>
      </c>
      <c r="B188" s="83">
        <v>44650.0</v>
      </c>
      <c r="C188" s="66">
        <v>2370.0</v>
      </c>
      <c r="D188" s="66" t="s">
        <v>226</v>
      </c>
      <c r="E188" s="66">
        <v>0.0</v>
      </c>
      <c r="F188" s="66" t="s">
        <v>227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2">
        <f t="shared" si="2"/>
        <v>1.2361</v>
      </c>
      <c r="L188" s="82">
        <f t="shared" si="3"/>
        <v>1.0924</v>
      </c>
    </row>
    <row r="189">
      <c r="A189" s="83">
        <v>44650.0</v>
      </c>
      <c r="B189" s="83">
        <v>44650.0</v>
      </c>
      <c r="C189" s="66">
        <v>2382.0</v>
      </c>
      <c r="D189" s="66" t="s">
        <v>226</v>
      </c>
      <c r="E189" s="66">
        <v>0.0</v>
      </c>
      <c r="F189" s="66" t="s">
        <v>227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2">
        <f t="shared" si="2"/>
        <v>0.6048</v>
      </c>
      <c r="L189" s="82">
        <f t="shared" si="3"/>
        <v>0.3867</v>
      </c>
    </row>
    <row r="190">
      <c r="A190" s="83">
        <v>44650.0</v>
      </c>
      <c r="B190" s="83">
        <v>44650.0</v>
      </c>
      <c r="C190" s="66">
        <v>2352.0</v>
      </c>
      <c r="D190" s="66" t="s">
        <v>226</v>
      </c>
      <c r="E190" s="66">
        <v>1.0</v>
      </c>
      <c r="F190" s="66" t="s">
        <v>227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2">
        <f t="shared" si="2"/>
        <v>0.2163</v>
      </c>
      <c r="L190" s="82">
        <f t="shared" si="3"/>
        <v>0.3373</v>
      </c>
    </row>
    <row r="191">
      <c r="A191" s="83">
        <v>44650.0</v>
      </c>
      <c r="B191" s="83">
        <v>44650.0</v>
      </c>
      <c r="C191" s="66">
        <v>2009.0</v>
      </c>
      <c r="D191" s="66" t="s">
        <v>226</v>
      </c>
      <c r="E191" s="66">
        <v>1.0</v>
      </c>
      <c r="F191" s="66" t="s">
        <v>227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2">
        <f t="shared" si="2"/>
        <v>0.6565</v>
      </c>
      <c r="L191" s="82">
        <f t="shared" si="3"/>
        <v>0.3204</v>
      </c>
    </row>
    <row r="192">
      <c r="A192" s="83">
        <v>44650.0</v>
      </c>
      <c r="B192" s="83">
        <v>44650.0</v>
      </c>
      <c r="C192" s="66">
        <v>2009.0</v>
      </c>
      <c r="D192" s="66" t="s">
        <v>226</v>
      </c>
      <c r="E192" s="66">
        <v>0.0</v>
      </c>
      <c r="F192" s="66" t="s">
        <v>227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2">
        <f t="shared" si="2"/>
        <v>0.8688</v>
      </c>
      <c r="L192" s="82">
        <f t="shared" si="3"/>
        <v>0.1677</v>
      </c>
    </row>
    <row r="193">
      <c r="A193" s="83">
        <v>44650.0</v>
      </c>
      <c r="B193" s="83">
        <v>44650.0</v>
      </c>
      <c r="C193" s="66">
        <v>2371.0</v>
      </c>
      <c r="D193" s="66" t="s">
        <v>226</v>
      </c>
      <c r="E193" s="66">
        <v>0.0</v>
      </c>
      <c r="F193" s="66" t="s">
        <v>227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2">
        <f t="shared" si="2"/>
        <v>0.4547</v>
      </c>
      <c r="L193" s="82">
        <f t="shared" si="3"/>
        <v>0.1348</v>
      </c>
    </row>
    <row r="194">
      <c r="A194" s="83">
        <v>44650.0</v>
      </c>
      <c r="B194" s="83">
        <v>44650.0</v>
      </c>
      <c r="C194" s="66">
        <v>2354.0</v>
      </c>
      <c r="D194" s="66" t="s">
        <v>226</v>
      </c>
      <c r="E194" s="66">
        <v>0.0</v>
      </c>
      <c r="F194" s="66" t="s">
        <v>228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2">
        <f t="shared" si="2"/>
        <v>2.162</v>
      </c>
      <c r="L194" s="82">
        <f t="shared" si="3"/>
        <v>0.8479</v>
      </c>
    </row>
    <row r="195">
      <c r="A195" s="83">
        <v>44650.0</v>
      </c>
      <c r="B195" s="83">
        <v>44650.0</v>
      </c>
      <c r="C195" s="66">
        <v>2369.0</v>
      </c>
      <c r="D195" s="66" t="s">
        <v>226</v>
      </c>
      <c r="E195" s="66">
        <v>1.0</v>
      </c>
      <c r="F195" s="66" t="s">
        <v>227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2">
        <f t="shared" si="2"/>
        <v>0.1993</v>
      </c>
      <c r="L195" s="82">
        <f t="shared" si="3"/>
        <v>0.5936</v>
      </c>
    </row>
    <row r="196">
      <c r="A196" s="83">
        <v>44650.0</v>
      </c>
      <c r="B196" s="83">
        <v>44650.0</v>
      </c>
      <c r="C196" s="66">
        <v>2360.0</v>
      </c>
      <c r="D196" s="66" t="s">
        <v>226</v>
      </c>
      <c r="E196" s="66">
        <v>1.0</v>
      </c>
      <c r="F196" s="66" t="s">
        <v>227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2">
        <f t="shared" si="2"/>
        <v>0.5729</v>
      </c>
      <c r="L196" s="82">
        <f t="shared" si="3"/>
        <v>0.4613</v>
      </c>
    </row>
    <row r="197">
      <c r="A197" s="83">
        <v>44650.0</v>
      </c>
      <c r="B197" s="83">
        <v>44650.0</v>
      </c>
      <c r="C197" s="66">
        <v>2378.0</v>
      </c>
      <c r="D197" s="66" t="s">
        <v>226</v>
      </c>
      <c r="E197" s="66">
        <v>1.0</v>
      </c>
      <c r="F197" s="66" t="s">
        <v>227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2">
        <f t="shared" si="2"/>
        <v>0.9301</v>
      </c>
      <c r="L197" s="82">
        <f t="shared" si="3"/>
        <v>0.4285</v>
      </c>
    </row>
    <row r="198">
      <c r="A198" s="83">
        <v>44650.0</v>
      </c>
      <c r="B198" s="83">
        <v>44650.0</v>
      </c>
      <c r="C198" s="66">
        <v>2343.0</v>
      </c>
      <c r="D198" s="66" t="s">
        <v>226</v>
      </c>
      <c r="E198" s="66">
        <v>0.0</v>
      </c>
      <c r="F198" s="66" t="s">
        <v>227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2">
        <f t="shared" si="2"/>
        <v>1.2408</v>
      </c>
      <c r="L198" s="82">
        <f t="shared" si="3"/>
        <v>0.2968</v>
      </c>
    </row>
    <row r="199">
      <c r="A199" s="83">
        <v>44650.0</v>
      </c>
      <c r="B199" s="83">
        <v>44650.0</v>
      </c>
      <c r="C199" s="66">
        <v>2380.0</v>
      </c>
      <c r="D199" s="66" t="s">
        <v>226</v>
      </c>
      <c r="E199" s="66">
        <v>0.0</v>
      </c>
      <c r="F199" s="66" t="s">
        <v>228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2">
        <f t="shared" si="2"/>
        <v>0.556</v>
      </c>
      <c r="L199" s="82">
        <f t="shared" si="3"/>
        <v>0.1747</v>
      </c>
    </row>
    <row r="200">
      <c r="A200" s="83">
        <v>44650.0</v>
      </c>
      <c r="B200" s="83">
        <v>44650.0</v>
      </c>
      <c r="C200" s="66">
        <v>2009.0</v>
      </c>
      <c r="D200" s="66" t="s">
        <v>226</v>
      </c>
      <c r="E200" s="66">
        <v>0.0</v>
      </c>
      <c r="F200" s="66" t="s">
        <v>228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2">
        <f t="shared" si="2"/>
        <v>3.9193</v>
      </c>
      <c r="L200" s="82">
        <f t="shared" si="3"/>
        <v>1.5495</v>
      </c>
    </row>
    <row r="201">
      <c r="A201" s="83">
        <v>44650.0</v>
      </c>
      <c r="B201" s="83">
        <v>44650.0</v>
      </c>
      <c r="C201" s="66">
        <v>2352.0</v>
      </c>
      <c r="D201" s="66" t="s">
        <v>226</v>
      </c>
      <c r="E201" s="66">
        <v>1.0</v>
      </c>
      <c r="F201" s="66" t="s">
        <v>228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2">
        <f t="shared" si="2"/>
        <v>3.1947</v>
      </c>
      <c r="L201" s="82">
        <f t="shared" si="3"/>
        <v>1.9227</v>
      </c>
    </row>
    <row r="202">
      <c r="A202" s="83">
        <v>44650.0</v>
      </c>
      <c r="B202" s="83">
        <v>44650.0</v>
      </c>
      <c r="C202" s="66">
        <v>2352.0</v>
      </c>
      <c r="D202" s="66" t="s">
        <v>226</v>
      </c>
      <c r="E202" s="66">
        <v>0.0</v>
      </c>
      <c r="F202" s="66" t="s">
        <v>227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2">
        <f t="shared" si="2"/>
        <v>0.5346</v>
      </c>
      <c r="L202" s="82">
        <f t="shared" si="3"/>
        <v>0.1731</v>
      </c>
    </row>
    <row r="203">
      <c r="A203" s="83">
        <v>44650.0</v>
      </c>
      <c r="B203" s="83">
        <v>44650.0</v>
      </c>
      <c r="C203" s="66">
        <v>2367.0</v>
      </c>
      <c r="D203" s="66" t="s">
        <v>226</v>
      </c>
      <c r="E203" s="66">
        <v>1.0</v>
      </c>
      <c r="F203" s="66" t="s">
        <v>227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2">
        <f t="shared" si="2"/>
        <v>1.132</v>
      </c>
      <c r="L203" s="82">
        <f t="shared" si="3"/>
        <v>0.8441</v>
      </c>
    </row>
    <row r="204">
      <c r="A204" s="83">
        <v>44650.0</v>
      </c>
      <c r="B204" s="83">
        <v>44650.0</v>
      </c>
      <c r="C204" s="66">
        <v>2354.0</v>
      </c>
      <c r="D204" s="66" t="s">
        <v>226</v>
      </c>
      <c r="E204" s="66">
        <v>0.0</v>
      </c>
      <c r="F204" s="66" t="s">
        <v>227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2">
        <f t="shared" si="2"/>
        <v>0.1757</v>
      </c>
      <c r="L204" s="82">
        <f t="shared" si="3"/>
        <v>0.0434</v>
      </c>
    </row>
    <row r="205">
      <c r="A205" s="83">
        <v>44650.0</v>
      </c>
      <c r="B205" s="83">
        <v>44650.0</v>
      </c>
      <c r="C205" s="66">
        <v>2377.0</v>
      </c>
      <c r="D205" s="66" t="s">
        <v>226</v>
      </c>
      <c r="E205" s="66">
        <v>1.0</v>
      </c>
      <c r="F205" s="66" t="s">
        <v>227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2">
        <f t="shared" si="2"/>
        <v>0.4115</v>
      </c>
      <c r="L205" s="82">
        <f t="shared" si="3"/>
        <v>0.463</v>
      </c>
    </row>
    <row r="206">
      <c r="A206" s="83">
        <v>44650.0</v>
      </c>
      <c r="B206" s="83">
        <v>44650.0</v>
      </c>
      <c r="C206" s="66">
        <v>2367.0</v>
      </c>
      <c r="D206" s="66" t="s">
        <v>226</v>
      </c>
      <c r="E206" s="66">
        <v>0.0</v>
      </c>
      <c r="F206" s="66" t="s">
        <v>227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2">
        <f t="shared" si="2"/>
        <v>0.1439</v>
      </c>
      <c r="L206" s="82">
        <f t="shared" si="3"/>
        <v>0.0969</v>
      </c>
    </row>
    <row r="207">
      <c r="A207" s="83">
        <v>44650.0</v>
      </c>
      <c r="B207" s="83">
        <v>44650.0</v>
      </c>
      <c r="C207" s="66">
        <v>2360.0</v>
      </c>
      <c r="D207" s="66" t="s">
        <v>226</v>
      </c>
      <c r="E207" s="66">
        <v>0.0</v>
      </c>
      <c r="F207" s="66" t="s">
        <v>227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2">
        <f t="shared" si="2"/>
        <v>1.0928</v>
      </c>
      <c r="L207" s="82">
        <f t="shared" si="3"/>
        <v>0.2892</v>
      </c>
    </row>
    <row r="208">
      <c r="A208" s="83">
        <v>44650.0</v>
      </c>
      <c r="B208" s="83">
        <v>44650.0</v>
      </c>
      <c r="C208" s="66">
        <v>2379.0</v>
      </c>
      <c r="D208" s="66" t="s">
        <v>226</v>
      </c>
      <c r="E208" s="66">
        <v>0.0</v>
      </c>
      <c r="F208" s="66" t="s">
        <v>227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2">
        <f t="shared" si="2"/>
        <v>0.876</v>
      </c>
      <c r="L208" s="82">
        <f t="shared" si="3"/>
        <v>0.3665</v>
      </c>
    </row>
    <row r="209">
      <c r="A209" s="83">
        <v>44650.0</v>
      </c>
      <c r="B209" s="83">
        <v>44650.0</v>
      </c>
      <c r="C209" s="66">
        <v>2382.0</v>
      </c>
      <c r="D209" s="66" t="s">
        <v>226</v>
      </c>
      <c r="E209" s="66">
        <v>0.0</v>
      </c>
      <c r="F209" s="66" t="s">
        <v>228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2">
        <f t="shared" si="2"/>
        <v>9.1983</v>
      </c>
      <c r="L209" s="82">
        <f t="shared" si="3"/>
        <v>4.3284</v>
      </c>
    </row>
    <row r="210">
      <c r="A210" s="83">
        <v>44650.0</v>
      </c>
      <c r="B210" s="83">
        <v>44650.0</v>
      </c>
      <c r="C210" s="66">
        <v>2380.0</v>
      </c>
      <c r="D210" s="66" t="s">
        <v>226</v>
      </c>
      <c r="E210" s="66">
        <v>1.0</v>
      </c>
      <c r="F210" s="66" t="s">
        <v>227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2">
        <f t="shared" si="2"/>
        <v>1.7517</v>
      </c>
      <c r="L210" s="82">
        <f t="shared" si="3"/>
        <v>0.9601</v>
      </c>
    </row>
    <row r="211">
      <c r="A211" s="83">
        <v>44650.0</v>
      </c>
      <c r="B211" s="83">
        <v>44650.0</v>
      </c>
      <c r="C211" s="66">
        <v>2301.0</v>
      </c>
      <c r="D211" s="66" t="s">
        <v>226</v>
      </c>
      <c r="E211" s="66">
        <v>1.0</v>
      </c>
      <c r="F211" s="66" t="s">
        <v>227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2">
        <f t="shared" si="2"/>
        <v>3.3216</v>
      </c>
      <c r="L211" s="82">
        <f t="shared" si="3"/>
        <v>1.9887</v>
      </c>
    </row>
    <row r="212">
      <c r="A212" s="83">
        <v>44650.0</v>
      </c>
      <c r="B212" s="83">
        <v>44650.0</v>
      </c>
      <c r="C212" s="66">
        <v>2381.0</v>
      </c>
      <c r="D212" s="66" t="s">
        <v>226</v>
      </c>
      <c r="E212" s="66">
        <v>0.0</v>
      </c>
      <c r="F212" s="66" t="s">
        <v>228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2">
        <f t="shared" si="2"/>
        <v>5.0291</v>
      </c>
      <c r="L212" s="82">
        <f t="shared" si="3"/>
        <v>2.1987</v>
      </c>
    </row>
    <row r="213">
      <c r="A213" s="83">
        <v>44650.0</v>
      </c>
      <c r="B213" s="83">
        <v>44650.0</v>
      </c>
      <c r="C213" s="66">
        <v>2331.0</v>
      </c>
      <c r="D213" s="66" t="s">
        <v>226</v>
      </c>
      <c r="E213" s="66">
        <v>1.0</v>
      </c>
      <c r="F213" s="66" t="s">
        <v>227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2">
        <f t="shared" si="2"/>
        <v>1.4674</v>
      </c>
      <c r="L213" s="82">
        <f t="shared" si="3"/>
        <v>0.8241</v>
      </c>
    </row>
    <row r="214">
      <c r="A214" s="83">
        <v>44650.0</v>
      </c>
      <c r="B214" s="83">
        <v>44650.0</v>
      </c>
      <c r="C214" s="66">
        <v>2377.0</v>
      </c>
      <c r="D214" s="66" t="s">
        <v>226</v>
      </c>
      <c r="E214" s="66">
        <v>1.0</v>
      </c>
      <c r="F214" s="66" t="s">
        <v>228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2">
        <f t="shared" si="2"/>
        <v>3.869</v>
      </c>
      <c r="L214" s="82">
        <f t="shared" si="3"/>
        <v>2.5146</v>
      </c>
    </row>
    <row r="215">
      <c r="A215" s="83">
        <v>44650.0</v>
      </c>
      <c r="B215" s="83">
        <v>44650.0</v>
      </c>
      <c r="C215" s="66">
        <v>2347.0</v>
      </c>
      <c r="D215" s="66" t="s">
        <v>226</v>
      </c>
      <c r="E215" s="66">
        <v>1.0</v>
      </c>
      <c r="F215" s="66" t="s">
        <v>227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2">
        <f t="shared" si="2"/>
        <v>0.7859</v>
      </c>
      <c r="L215" s="82">
        <f t="shared" si="3"/>
        <v>0.4413</v>
      </c>
    </row>
    <row r="216">
      <c r="A216" s="83">
        <v>44650.0</v>
      </c>
      <c r="B216" s="83">
        <v>44650.0</v>
      </c>
      <c r="C216" s="66">
        <v>2378.0</v>
      </c>
      <c r="D216" s="66" t="s">
        <v>226</v>
      </c>
      <c r="E216" s="66">
        <v>0.0</v>
      </c>
      <c r="F216" s="66" t="s">
        <v>227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2">
        <f t="shared" si="2"/>
        <v>0.6254</v>
      </c>
      <c r="L216" s="82">
        <f t="shared" si="3"/>
        <v>0.2315</v>
      </c>
    </row>
    <row r="217">
      <c r="A217" s="83">
        <v>44650.0</v>
      </c>
      <c r="B217" s="83">
        <v>44650.0</v>
      </c>
      <c r="C217" s="66">
        <v>2010.0</v>
      </c>
      <c r="D217" s="66" t="s">
        <v>226</v>
      </c>
      <c r="E217" s="66">
        <v>0.0</v>
      </c>
      <c r="F217" s="66" t="s">
        <v>228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2">
        <f t="shared" si="2"/>
        <v>5.9183</v>
      </c>
      <c r="L217" s="82">
        <f t="shared" si="3"/>
        <v>2.4372</v>
      </c>
    </row>
    <row r="218">
      <c r="A218" s="83">
        <v>44650.0</v>
      </c>
      <c r="B218" s="83">
        <v>44650.0</v>
      </c>
      <c r="C218" s="66">
        <v>2378.0</v>
      </c>
      <c r="D218" s="66" t="s">
        <v>226</v>
      </c>
      <c r="E218" s="66">
        <v>0.0</v>
      </c>
      <c r="F218" s="66" t="s">
        <v>228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2">
        <f t="shared" si="2"/>
        <v>6.0166</v>
      </c>
      <c r="L218" s="82">
        <f t="shared" si="3"/>
        <v>2.8952</v>
      </c>
    </row>
    <row r="219">
      <c r="A219" s="83">
        <v>44650.0</v>
      </c>
      <c r="B219" s="83">
        <v>44650.0</v>
      </c>
      <c r="C219" s="66">
        <v>2383.0</v>
      </c>
      <c r="D219" s="66" t="s">
        <v>226</v>
      </c>
      <c r="E219" s="66">
        <v>0.0</v>
      </c>
      <c r="F219" s="66" t="s">
        <v>227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2">
        <f t="shared" si="2"/>
        <v>0.7593</v>
      </c>
      <c r="L219" s="82">
        <f t="shared" si="3"/>
        <v>0.2925</v>
      </c>
    </row>
    <row r="220">
      <c r="A220" s="83">
        <v>44650.0</v>
      </c>
      <c r="B220" s="83">
        <v>44650.0</v>
      </c>
      <c r="C220" s="66">
        <v>2380.0</v>
      </c>
      <c r="D220" s="66" t="s">
        <v>226</v>
      </c>
      <c r="E220" s="66">
        <v>0.0</v>
      </c>
      <c r="F220" s="66" t="s">
        <v>227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2">
        <f t="shared" si="2"/>
        <v>0.4298</v>
      </c>
      <c r="L220" s="82">
        <f t="shared" si="3"/>
        <v>0.0042</v>
      </c>
    </row>
    <row r="221">
      <c r="A221" s="83">
        <v>44650.0</v>
      </c>
      <c r="B221" s="83">
        <v>44650.0</v>
      </c>
      <c r="C221" s="66">
        <v>2384.0</v>
      </c>
      <c r="D221" s="66" t="s">
        <v>226</v>
      </c>
      <c r="E221" s="66">
        <v>1.0</v>
      </c>
      <c r="F221" s="66" t="s">
        <v>227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2">
        <f t="shared" si="2"/>
        <v>0.6382</v>
      </c>
      <c r="L221" s="82">
        <f t="shared" si="3"/>
        <v>0.5186</v>
      </c>
    </row>
    <row r="222">
      <c r="A222" s="83">
        <v>44650.0</v>
      </c>
      <c r="B222" s="83">
        <v>44650.0</v>
      </c>
      <c r="C222" s="66">
        <v>2345.0</v>
      </c>
      <c r="D222" s="66" t="s">
        <v>226</v>
      </c>
      <c r="E222" s="66">
        <v>0.0</v>
      </c>
      <c r="F222" s="66" t="s">
        <v>228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2">
        <f t="shared" si="2"/>
        <v>0.0366</v>
      </c>
      <c r="L222" s="82">
        <f t="shared" si="3"/>
        <v>0.0155</v>
      </c>
      <c r="N222" s="66" t="s">
        <v>231</v>
      </c>
    </row>
    <row r="223">
      <c r="A223" s="83">
        <v>44650.0</v>
      </c>
      <c r="B223" s="83">
        <v>44650.0</v>
      </c>
      <c r="C223" s="66">
        <v>2369.0</v>
      </c>
      <c r="D223" s="66" t="s">
        <v>226</v>
      </c>
      <c r="E223" s="66">
        <v>0.0</v>
      </c>
      <c r="F223" s="66" t="s">
        <v>227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2">
        <f t="shared" si="2"/>
        <v>0.492</v>
      </c>
      <c r="L223" s="82">
        <f t="shared" si="3"/>
        <v>0.1773</v>
      </c>
    </row>
    <row r="224">
      <c r="A224" s="83">
        <v>44650.0</v>
      </c>
      <c r="B224" s="83">
        <v>44650.0</v>
      </c>
      <c r="C224" s="66">
        <v>2331.0</v>
      </c>
      <c r="D224" s="66" t="s">
        <v>226</v>
      </c>
      <c r="E224" s="66">
        <v>1.0</v>
      </c>
      <c r="F224" s="66" t="s">
        <v>228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2">
        <f t="shared" si="2"/>
        <v>7.3587</v>
      </c>
      <c r="L224" s="82">
        <f t="shared" si="3"/>
        <v>3.9622</v>
      </c>
    </row>
    <row r="225">
      <c r="A225" s="83">
        <v>44650.0</v>
      </c>
      <c r="B225" s="83">
        <v>44650.0</v>
      </c>
      <c r="C225" s="66">
        <v>2010.0</v>
      </c>
      <c r="D225" s="66" t="s">
        <v>226</v>
      </c>
      <c r="E225" s="66">
        <v>0.0</v>
      </c>
      <c r="F225" s="66" t="s">
        <v>227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2">
        <f t="shared" si="2"/>
        <v>0.7461</v>
      </c>
      <c r="L225" s="82">
        <f t="shared" si="3"/>
        <v>0.2436</v>
      </c>
    </row>
    <row r="226">
      <c r="A226" s="83">
        <v>44650.0</v>
      </c>
      <c r="B226" s="83">
        <v>44650.0</v>
      </c>
      <c r="C226" s="66">
        <v>2383.0</v>
      </c>
      <c r="D226" s="66" t="s">
        <v>226</v>
      </c>
      <c r="E226" s="66">
        <v>1.0</v>
      </c>
      <c r="F226" s="66" t="s">
        <v>227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2">
        <f t="shared" si="2"/>
        <v>1.6665</v>
      </c>
      <c r="L226" s="82">
        <f t="shared" si="3"/>
        <v>0.6144</v>
      </c>
    </row>
    <row r="227">
      <c r="A227" s="83">
        <v>44650.0</v>
      </c>
      <c r="B227" s="83">
        <v>44650.0</v>
      </c>
      <c r="C227" s="66">
        <v>2360.0</v>
      </c>
      <c r="D227" s="66" t="s">
        <v>226</v>
      </c>
      <c r="E227" s="66">
        <v>0.0</v>
      </c>
      <c r="F227" s="66" t="s">
        <v>228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2">
        <f t="shared" si="2"/>
        <v>5.7272</v>
      </c>
      <c r="L227" s="82">
        <f t="shared" si="3"/>
        <v>2.657</v>
      </c>
    </row>
    <row r="228">
      <c r="A228" s="83">
        <v>44650.0</v>
      </c>
      <c r="B228" s="83">
        <v>44650.0</v>
      </c>
      <c r="C228" s="66">
        <v>2376.0</v>
      </c>
      <c r="D228" s="66" t="s">
        <v>226</v>
      </c>
      <c r="E228" s="66">
        <v>1.0</v>
      </c>
      <c r="F228" s="66" t="s">
        <v>227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2">
        <f t="shared" si="2"/>
        <v>1.3536</v>
      </c>
      <c r="L228" s="82">
        <f t="shared" si="3"/>
        <v>0.5353</v>
      </c>
      <c r="N228" s="66" t="s">
        <v>232</v>
      </c>
    </row>
    <row r="229">
      <c r="A229" s="83">
        <v>44650.0</v>
      </c>
      <c r="B229" s="83">
        <v>44650.0</v>
      </c>
      <c r="C229" s="66">
        <v>2346.0</v>
      </c>
      <c r="D229" s="66" t="s">
        <v>226</v>
      </c>
      <c r="E229" s="66">
        <v>0.0</v>
      </c>
      <c r="F229" s="66" t="s">
        <v>227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2">
        <f t="shared" si="2"/>
        <v>-0.2933</v>
      </c>
      <c r="L229" s="82">
        <f t="shared" si="3"/>
        <v>0.0577</v>
      </c>
    </row>
    <row r="230">
      <c r="A230" s="83">
        <v>44650.0</v>
      </c>
      <c r="B230" s="83">
        <v>44650.0</v>
      </c>
      <c r="C230" s="66">
        <v>2346.0</v>
      </c>
      <c r="D230" s="66" t="s">
        <v>226</v>
      </c>
      <c r="E230" s="66">
        <v>1.0</v>
      </c>
      <c r="F230" s="66" t="s">
        <v>228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2">
        <f t="shared" si="2"/>
        <v>0.4493</v>
      </c>
      <c r="L230" s="82">
        <f t="shared" si="3"/>
        <v>0.2232</v>
      </c>
    </row>
    <row r="231">
      <c r="A231" s="83">
        <v>44650.0</v>
      </c>
      <c r="B231" s="83">
        <v>44650.0</v>
      </c>
      <c r="C231" s="66">
        <v>2346.0</v>
      </c>
      <c r="D231" s="66" t="s">
        <v>226</v>
      </c>
      <c r="E231" s="66">
        <v>1.0</v>
      </c>
      <c r="F231" s="66" t="s">
        <v>227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2">
        <f t="shared" si="2"/>
        <v>0.8816</v>
      </c>
      <c r="L231" s="82">
        <f t="shared" si="3"/>
        <v>0.6667</v>
      </c>
    </row>
    <row r="232">
      <c r="A232" s="83">
        <v>44650.0</v>
      </c>
      <c r="B232" s="83">
        <v>44650.0</v>
      </c>
      <c r="C232" s="66">
        <v>2010.0</v>
      </c>
      <c r="D232" s="66" t="s">
        <v>226</v>
      </c>
      <c r="E232" s="66">
        <v>1.0</v>
      </c>
      <c r="F232" s="66" t="s">
        <v>227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2">
        <f t="shared" si="2"/>
        <v>0.4704</v>
      </c>
      <c r="L232" s="82">
        <f t="shared" si="3"/>
        <v>0.1864</v>
      </c>
    </row>
    <row r="233">
      <c r="A233" s="83">
        <v>44650.0</v>
      </c>
      <c r="B233" s="83">
        <v>44650.0</v>
      </c>
      <c r="C233" s="66">
        <v>2384.0</v>
      </c>
      <c r="D233" s="66" t="s">
        <v>226</v>
      </c>
      <c r="E233" s="66">
        <v>0.0</v>
      </c>
      <c r="F233" s="66" t="s">
        <v>227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2">
        <f t="shared" si="2"/>
        <v>0.1168</v>
      </c>
      <c r="L233" s="82">
        <f t="shared" si="3"/>
        <v>0.0816</v>
      </c>
    </row>
    <row r="234">
      <c r="A234" s="83">
        <v>44650.0</v>
      </c>
      <c r="B234" s="83">
        <v>44650.0</v>
      </c>
      <c r="C234" s="66">
        <v>2384.0</v>
      </c>
      <c r="D234" s="66" t="s">
        <v>226</v>
      </c>
      <c r="E234" s="66">
        <v>0.0</v>
      </c>
      <c r="F234" s="66" t="s">
        <v>228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2">
        <f t="shared" si="2"/>
        <v>3.5529</v>
      </c>
      <c r="L234" s="82">
        <f t="shared" si="3"/>
        <v>1.5587</v>
      </c>
    </row>
    <row r="235">
      <c r="A235" s="83">
        <v>44650.0</v>
      </c>
      <c r="B235" s="83">
        <v>44650.0</v>
      </c>
      <c r="C235" s="66">
        <v>2347.0</v>
      </c>
      <c r="D235" s="66" t="s">
        <v>226</v>
      </c>
      <c r="E235" s="66">
        <v>0.0</v>
      </c>
      <c r="F235" s="66" t="s">
        <v>227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2">
        <f t="shared" si="2"/>
        <v>0.8285</v>
      </c>
      <c r="L235" s="82">
        <f t="shared" si="3"/>
        <v>0.2604</v>
      </c>
    </row>
    <row r="236">
      <c r="A236" s="83">
        <v>44650.0</v>
      </c>
      <c r="B236" s="83">
        <v>44650.0</v>
      </c>
      <c r="C236" s="66">
        <v>2381.0</v>
      </c>
      <c r="D236" s="66" t="s">
        <v>226</v>
      </c>
      <c r="E236" s="66">
        <v>1.0</v>
      </c>
      <c r="F236" s="66" t="s">
        <v>227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2">
        <f t="shared" si="2"/>
        <v>-0.0746</v>
      </c>
      <c r="L236" s="82">
        <f t="shared" si="3"/>
        <v>0.1587</v>
      </c>
    </row>
    <row r="237">
      <c r="A237" s="83">
        <v>44650.0</v>
      </c>
      <c r="B237" s="83">
        <v>44650.0</v>
      </c>
      <c r="C237" s="66">
        <v>2345.0</v>
      </c>
      <c r="D237" s="66" t="s">
        <v>226</v>
      </c>
      <c r="E237" s="66">
        <v>1.0</v>
      </c>
      <c r="F237" s="66" t="s">
        <v>227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2">
        <f t="shared" si="2"/>
        <v>1.2795</v>
      </c>
      <c r="L237" s="82">
        <f t="shared" si="3"/>
        <v>0.7081</v>
      </c>
    </row>
    <row r="238">
      <c r="A238" s="83">
        <v>44650.0</v>
      </c>
      <c r="B238" s="83">
        <v>44650.0</v>
      </c>
      <c r="C238" s="66">
        <v>2382.0</v>
      </c>
      <c r="D238" s="66" t="s">
        <v>226</v>
      </c>
      <c r="E238" s="66">
        <v>1.0</v>
      </c>
      <c r="F238" s="66" t="s">
        <v>227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2">
        <f t="shared" si="2"/>
        <v>0.9501</v>
      </c>
      <c r="L238" s="82">
        <f t="shared" si="3"/>
        <v>0.4277</v>
      </c>
    </row>
    <row r="239">
      <c r="A239" s="83">
        <v>44650.0</v>
      </c>
      <c r="B239" s="83">
        <v>44650.0</v>
      </c>
      <c r="C239" s="66">
        <v>2369.0</v>
      </c>
      <c r="D239" s="66" t="s">
        <v>226</v>
      </c>
      <c r="E239" s="66">
        <v>0.0</v>
      </c>
      <c r="F239" s="66" t="s">
        <v>228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2">
        <f t="shared" si="2"/>
        <v>7.489</v>
      </c>
      <c r="L239" s="82">
        <f t="shared" si="3"/>
        <v>3.1964</v>
      </c>
    </row>
    <row r="240">
      <c r="A240" s="83">
        <v>44650.0</v>
      </c>
      <c r="B240" s="83">
        <v>44650.0</v>
      </c>
      <c r="C240" s="66">
        <v>2354.0</v>
      </c>
      <c r="D240" s="66" t="s">
        <v>226</v>
      </c>
      <c r="E240" s="66">
        <v>1.0</v>
      </c>
      <c r="F240" s="66" t="s">
        <v>228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2">
        <f t="shared" si="2"/>
        <v>0.9535</v>
      </c>
      <c r="L240" s="82">
        <f t="shared" si="3"/>
        <v>0.7821</v>
      </c>
    </row>
    <row r="241">
      <c r="A241" s="83">
        <v>44650.0</v>
      </c>
      <c r="B241" s="83">
        <v>44650.0</v>
      </c>
      <c r="C241" s="66">
        <v>2371.0</v>
      </c>
      <c r="D241" s="66" t="s">
        <v>226</v>
      </c>
      <c r="E241" s="66">
        <v>0.0</v>
      </c>
      <c r="F241" s="66" t="s">
        <v>228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2">
        <f t="shared" si="2"/>
        <v>4.1964</v>
      </c>
      <c r="L241" s="82">
        <f t="shared" si="3"/>
        <v>1.2667</v>
      </c>
    </row>
    <row r="242">
      <c r="A242" s="83">
        <v>44650.0</v>
      </c>
      <c r="B242" s="83">
        <v>44650.0</v>
      </c>
      <c r="C242" s="66">
        <v>2375.0</v>
      </c>
      <c r="D242" s="66" t="s">
        <v>226</v>
      </c>
      <c r="E242" s="66">
        <v>0.0</v>
      </c>
      <c r="F242" s="66" t="s">
        <v>227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2">
        <f t="shared" si="2"/>
        <v>0.6745</v>
      </c>
      <c r="L242" s="82">
        <f t="shared" si="3"/>
        <v>0.3493</v>
      </c>
    </row>
    <row r="243">
      <c r="A243" s="83">
        <v>44650.0</v>
      </c>
      <c r="B243" s="83">
        <v>44650.0</v>
      </c>
      <c r="C243" s="66">
        <v>2371.0</v>
      </c>
      <c r="D243" s="66" t="s">
        <v>226</v>
      </c>
      <c r="E243" s="66">
        <v>1.0</v>
      </c>
      <c r="F243" s="66" t="s">
        <v>227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2">
        <f t="shared" si="2"/>
        <v>0.9491</v>
      </c>
      <c r="L243" s="82">
        <f t="shared" si="3"/>
        <v>0.3017</v>
      </c>
    </row>
    <row r="244">
      <c r="A244" s="83">
        <v>44650.0</v>
      </c>
      <c r="B244" s="83">
        <v>44650.0</v>
      </c>
      <c r="C244" s="66">
        <v>2347.0</v>
      </c>
      <c r="D244" s="66" t="s">
        <v>226</v>
      </c>
      <c r="E244" s="66">
        <v>0.0</v>
      </c>
      <c r="F244" s="66" t="s">
        <v>228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2">
        <f t="shared" si="2"/>
        <v>7.538</v>
      </c>
      <c r="L244" s="82">
        <f t="shared" si="3"/>
        <v>2.914</v>
      </c>
    </row>
    <row r="245">
      <c r="A245" s="83">
        <v>44650.0</v>
      </c>
      <c r="B245" s="83">
        <v>44650.0</v>
      </c>
      <c r="C245" s="66">
        <v>2376.0</v>
      </c>
      <c r="D245" s="66" t="s">
        <v>226</v>
      </c>
      <c r="E245" s="66">
        <v>1.0</v>
      </c>
      <c r="F245" s="66" t="s">
        <v>228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2">
        <f t="shared" si="2"/>
        <v>6.8421</v>
      </c>
      <c r="L245" s="82">
        <f t="shared" si="3"/>
        <v>3.6723</v>
      </c>
    </row>
    <row r="246">
      <c r="A246" s="83">
        <v>44650.0</v>
      </c>
      <c r="B246" s="83">
        <v>44650.0</v>
      </c>
      <c r="C246" s="66">
        <v>2383.0</v>
      </c>
      <c r="D246" s="66" t="s">
        <v>226</v>
      </c>
      <c r="E246" s="66">
        <v>0.0</v>
      </c>
      <c r="F246" s="66" t="s">
        <v>228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2">
        <f t="shared" si="2"/>
        <v>7.0772</v>
      </c>
      <c r="L246" s="82">
        <f t="shared" si="3"/>
        <v>3.3337</v>
      </c>
    </row>
    <row r="247">
      <c r="A247" s="83">
        <v>44650.0</v>
      </c>
      <c r="B247" s="83">
        <v>44650.0</v>
      </c>
      <c r="C247" s="66">
        <v>2346.0</v>
      </c>
      <c r="D247" s="66" t="s">
        <v>226</v>
      </c>
      <c r="E247" s="66">
        <v>0.0</v>
      </c>
      <c r="F247" s="66" t="s">
        <v>228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2">
        <f t="shared" si="2"/>
        <v>3.1991</v>
      </c>
      <c r="L247" s="82">
        <f t="shared" si="3"/>
        <v>1.0378</v>
      </c>
    </row>
    <row r="248">
      <c r="A248" s="83">
        <v>44650.0</v>
      </c>
      <c r="B248" s="83">
        <v>44650.0</v>
      </c>
      <c r="C248" s="66">
        <v>2331.0</v>
      </c>
      <c r="D248" s="66" t="s">
        <v>226</v>
      </c>
      <c r="E248" s="66">
        <v>0.0</v>
      </c>
      <c r="F248" s="66" t="s">
        <v>228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2">
        <f t="shared" si="2"/>
        <v>0.5738</v>
      </c>
      <c r="L248" s="82">
        <f t="shared" si="3"/>
        <v>0.2889</v>
      </c>
    </row>
    <row r="249">
      <c r="A249" s="83">
        <v>44650.0</v>
      </c>
      <c r="B249" s="83">
        <v>44650.0</v>
      </c>
      <c r="C249" s="66">
        <v>2381.0</v>
      </c>
      <c r="D249" s="66" t="s">
        <v>226</v>
      </c>
      <c r="E249" s="66">
        <v>0.0</v>
      </c>
      <c r="F249" s="66" t="s">
        <v>227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2">
        <f t="shared" si="2"/>
        <v>0.7391</v>
      </c>
      <c r="L249" s="82">
        <f t="shared" si="3"/>
        <v>0.3394</v>
      </c>
    </row>
    <row r="250">
      <c r="A250" s="83">
        <v>44650.0</v>
      </c>
      <c r="B250" s="83">
        <v>44650.0</v>
      </c>
      <c r="C250" s="66">
        <v>2343.0</v>
      </c>
      <c r="D250" s="66" t="s">
        <v>226</v>
      </c>
      <c r="E250" s="66">
        <v>0.0</v>
      </c>
      <c r="F250" s="66" t="s">
        <v>228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2">
        <f t="shared" si="2"/>
        <v>7.3292</v>
      </c>
      <c r="L250" s="82">
        <f t="shared" si="3"/>
        <v>2.8497</v>
      </c>
    </row>
    <row r="251">
      <c r="A251" s="83">
        <v>44650.0</v>
      </c>
      <c r="B251" s="83">
        <v>44650.0</v>
      </c>
      <c r="C251" s="66">
        <v>2375.0</v>
      </c>
      <c r="D251" s="66" t="s">
        <v>226</v>
      </c>
      <c r="E251" s="66">
        <v>0.0</v>
      </c>
      <c r="F251" s="66" t="s">
        <v>228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2">
        <f t="shared" si="2"/>
        <v>4.6913</v>
      </c>
      <c r="L251" s="82">
        <f t="shared" si="3"/>
        <v>1.764</v>
      </c>
    </row>
    <row r="252">
      <c r="A252" s="83">
        <v>44650.0</v>
      </c>
      <c r="B252" s="83">
        <v>44650.0</v>
      </c>
      <c r="C252" s="66">
        <v>2367.0</v>
      </c>
      <c r="D252" s="66" t="s">
        <v>226</v>
      </c>
      <c r="E252" s="66">
        <v>0.0</v>
      </c>
      <c r="F252" s="66" t="s">
        <v>228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2">
        <f t="shared" si="2"/>
        <v>3.0673</v>
      </c>
      <c r="L252" s="82">
        <f t="shared" si="3"/>
        <v>1.2921</v>
      </c>
    </row>
    <row r="253">
      <c r="A253" s="83">
        <v>44650.0</v>
      </c>
      <c r="B253" s="83">
        <v>44650.0</v>
      </c>
      <c r="C253" s="66">
        <v>2354.0</v>
      </c>
      <c r="D253" s="66" t="s">
        <v>226</v>
      </c>
      <c r="E253" s="66">
        <v>1.0</v>
      </c>
      <c r="F253" s="66" t="s">
        <v>227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2">
        <f t="shared" si="2"/>
        <v>0.2222</v>
      </c>
      <c r="L253" s="82">
        <f t="shared" si="3"/>
        <v>0.1179</v>
      </c>
    </row>
    <row r="254">
      <c r="A254" s="83">
        <v>44650.0</v>
      </c>
      <c r="B254" s="83">
        <v>44650.0</v>
      </c>
      <c r="C254" s="66">
        <v>2331.0</v>
      </c>
      <c r="D254" s="66" t="s">
        <v>226</v>
      </c>
      <c r="E254" s="66">
        <v>0.0</v>
      </c>
      <c r="F254" s="66" t="s">
        <v>227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2">
        <f t="shared" si="2"/>
        <v>0.1209</v>
      </c>
      <c r="L254" s="82">
        <f t="shared" si="3"/>
        <v>0.0732</v>
      </c>
    </row>
    <row r="255">
      <c r="A255" s="83">
        <v>44650.0</v>
      </c>
      <c r="B255" s="83">
        <v>44650.0</v>
      </c>
      <c r="C255" s="66">
        <v>2352.0</v>
      </c>
      <c r="D255" s="66" t="s">
        <v>226</v>
      </c>
      <c r="E255" s="66">
        <v>0.0</v>
      </c>
      <c r="F255" s="66" t="s">
        <v>228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2">
        <f t="shared" si="2"/>
        <v>0.8404</v>
      </c>
      <c r="L255" s="82">
        <f t="shared" si="3"/>
        <v>0.128</v>
      </c>
    </row>
    <row r="256">
      <c r="A256" s="83">
        <v>44650.0</v>
      </c>
      <c r="B256" s="83">
        <v>44650.0</v>
      </c>
      <c r="C256" s="66">
        <v>2379.0</v>
      </c>
      <c r="D256" s="66" t="s">
        <v>226</v>
      </c>
      <c r="E256" s="66">
        <v>1.0</v>
      </c>
      <c r="F256" s="66" t="s">
        <v>227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2">
        <f t="shared" si="2"/>
        <v>-0.3558</v>
      </c>
      <c r="L256" s="82">
        <f t="shared" si="3"/>
        <v>0.2656</v>
      </c>
    </row>
    <row r="257">
      <c r="A257" s="83">
        <v>44650.0</v>
      </c>
      <c r="B257" s="83">
        <v>44650.0</v>
      </c>
      <c r="C257" s="66">
        <v>2365.0</v>
      </c>
      <c r="D257" s="66" t="s">
        <v>226</v>
      </c>
      <c r="E257" s="66">
        <v>0.0</v>
      </c>
      <c r="F257" s="66" t="s">
        <v>227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2">
        <f t="shared" si="2"/>
        <v>0.6201</v>
      </c>
      <c r="L257" s="82">
        <f t="shared" si="3"/>
        <v>0.1153</v>
      </c>
    </row>
    <row r="258">
      <c r="A258" s="83">
        <v>44650.0</v>
      </c>
      <c r="B258" s="83">
        <v>44650.0</v>
      </c>
      <c r="C258" s="66">
        <v>2375.0</v>
      </c>
      <c r="D258" s="66" t="s">
        <v>226</v>
      </c>
      <c r="E258" s="66">
        <v>1.0</v>
      </c>
      <c r="F258" s="66" t="s">
        <v>227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2">
        <f t="shared" si="2"/>
        <v>0.9966</v>
      </c>
      <c r="L258" s="82">
        <f t="shared" si="3"/>
        <v>0.1847</v>
      </c>
    </row>
    <row r="259">
      <c r="A259" s="83">
        <v>44650.0</v>
      </c>
      <c r="B259" s="83">
        <v>44650.0</v>
      </c>
      <c r="C259" s="66">
        <v>2380.0</v>
      </c>
      <c r="D259" s="66" t="s">
        <v>226</v>
      </c>
      <c r="E259" s="66">
        <v>1.0</v>
      </c>
      <c r="F259" s="66" t="s">
        <v>228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2">
        <f t="shared" si="2"/>
        <v>8.4043</v>
      </c>
      <c r="L259" s="82">
        <f t="shared" si="3"/>
        <v>4.7589</v>
      </c>
    </row>
    <row r="260">
      <c r="A260" s="83">
        <v>44650.0</v>
      </c>
      <c r="B260" s="83">
        <v>44650.0</v>
      </c>
      <c r="C260" s="66">
        <v>2370.0</v>
      </c>
      <c r="D260" s="66" t="s">
        <v>226</v>
      </c>
      <c r="E260" s="66">
        <v>0.0</v>
      </c>
      <c r="F260" s="66" t="s">
        <v>228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2">
        <f t="shared" si="2"/>
        <v>1.9214</v>
      </c>
      <c r="L260" s="82">
        <f t="shared" si="3"/>
        <v>0.8227</v>
      </c>
    </row>
    <row r="261">
      <c r="A261" s="83">
        <v>44650.0</v>
      </c>
      <c r="B261" s="83">
        <v>44650.0</v>
      </c>
      <c r="C261" s="66">
        <v>2365.0</v>
      </c>
      <c r="D261" s="66" t="s">
        <v>226</v>
      </c>
      <c r="E261" s="66">
        <v>1.0</v>
      </c>
      <c r="F261" s="66" t="s">
        <v>227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2">
        <f t="shared" si="2"/>
        <v>1.1465</v>
      </c>
      <c r="L261" s="82">
        <f t="shared" si="3"/>
        <v>0.5904</v>
      </c>
    </row>
    <row r="262">
      <c r="A262" s="83">
        <v>44650.0</v>
      </c>
      <c r="B262" s="83">
        <v>44650.0</v>
      </c>
      <c r="C262" s="66">
        <v>2370.0</v>
      </c>
      <c r="D262" s="66" t="s">
        <v>226</v>
      </c>
      <c r="E262" s="66">
        <v>1.0</v>
      </c>
      <c r="F262" s="66" t="s">
        <v>227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2">
        <f t="shared" si="2"/>
        <v>1.866</v>
      </c>
      <c r="L262" s="82">
        <f t="shared" si="3"/>
        <v>0.7094</v>
      </c>
    </row>
    <row r="263">
      <c r="A263" s="83">
        <v>44650.0</v>
      </c>
      <c r="B263" s="83">
        <v>44650.0</v>
      </c>
      <c r="C263" s="66">
        <v>2372.0</v>
      </c>
      <c r="D263" s="66" t="s">
        <v>226</v>
      </c>
      <c r="E263" s="66">
        <v>0.0</v>
      </c>
      <c r="F263" s="66" t="s">
        <v>227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2">
        <f t="shared" si="2"/>
        <v>1.0213</v>
      </c>
      <c r="L263" s="82">
        <f t="shared" si="3"/>
        <v>0.2249</v>
      </c>
    </row>
    <row r="264">
      <c r="A264" s="83">
        <v>44650.0</v>
      </c>
      <c r="B264" s="83">
        <v>44650.0</v>
      </c>
      <c r="C264" s="66">
        <v>2345.0</v>
      </c>
      <c r="D264" s="66" t="s">
        <v>226</v>
      </c>
      <c r="E264" s="66">
        <v>1.0</v>
      </c>
      <c r="F264" s="66" t="s">
        <v>228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2">
        <f t="shared" si="2"/>
        <v>8.1503</v>
      </c>
      <c r="L264" s="82">
        <f t="shared" si="3"/>
        <v>4.5634</v>
      </c>
    </row>
    <row r="265">
      <c r="A265" s="83">
        <v>44650.0</v>
      </c>
      <c r="B265" s="83">
        <v>44650.0</v>
      </c>
      <c r="C265" s="66">
        <v>2365.0</v>
      </c>
      <c r="D265" s="66" t="s">
        <v>226</v>
      </c>
      <c r="E265" s="66">
        <v>0.0</v>
      </c>
      <c r="F265" s="66" t="s">
        <v>228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2">
        <f t="shared" si="2"/>
        <v>4.4374</v>
      </c>
      <c r="L265" s="82">
        <f t="shared" si="3"/>
        <v>1.9311</v>
      </c>
    </row>
    <row r="266">
      <c r="A266" s="83">
        <v>44650.0</v>
      </c>
      <c r="B266" s="83">
        <v>44650.0</v>
      </c>
      <c r="C266" s="66">
        <v>2372.0</v>
      </c>
      <c r="D266" s="66" t="s">
        <v>226</v>
      </c>
      <c r="E266" s="66">
        <v>1.0</v>
      </c>
      <c r="F266" s="66" t="s">
        <v>227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2">
        <f t="shared" si="2"/>
        <v>0.8611</v>
      </c>
      <c r="L266" s="82">
        <f t="shared" si="3"/>
        <v>0.3969</v>
      </c>
    </row>
    <row r="267">
      <c r="A267" s="83">
        <v>44650.0</v>
      </c>
      <c r="B267" s="83">
        <v>44650.0</v>
      </c>
      <c r="C267" s="66">
        <v>2379.0</v>
      </c>
      <c r="D267" s="66" t="s">
        <v>226</v>
      </c>
      <c r="E267" s="66">
        <v>0.0</v>
      </c>
      <c r="F267" s="66" t="s">
        <v>228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2">
        <f t="shared" si="2"/>
        <v>4.2283</v>
      </c>
      <c r="L267" s="82">
        <f t="shared" si="3"/>
        <v>1.8972</v>
      </c>
    </row>
    <row r="268">
      <c r="A268" s="83">
        <v>44650.0</v>
      </c>
      <c r="B268" s="83">
        <v>44650.0</v>
      </c>
      <c r="C268" s="66">
        <v>2343.0</v>
      </c>
      <c r="D268" s="66" t="s">
        <v>226</v>
      </c>
      <c r="E268" s="66">
        <v>1.0</v>
      </c>
      <c r="F268" s="66" t="s">
        <v>227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2">
        <f t="shared" si="2"/>
        <v>0.4511</v>
      </c>
      <c r="L268" s="82">
        <f t="shared" si="3"/>
        <v>0.2001</v>
      </c>
    </row>
    <row r="269">
      <c r="A269" s="83">
        <v>44655.0</v>
      </c>
      <c r="B269" s="83">
        <v>44655.0</v>
      </c>
      <c r="C269" s="66">
        <v>2006.0</v>
      </c>
      <c r="D269" s="66" t="s">
        <v>226</v>
      </c>
      <c r="E269" s="66">
        <v>0.0</v>
      </c>
      <c r="F269" s="66" t="s">
        <v>228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2">
        <f t="shared" si="2"/>
        <v>9.2222</v>
      </c>
      <c r="L269" s="82">
        <f t="shared" si="3"/>
        <v>4.4706</v>
      </c>
    </row>
    <row r="270">
      <c r="A270" s="83">
        <v>44655.0</v>
      </c>
      <c r="B270" s="83">
        <v>44655.0</v>
      </c>
      <c r="C270" s="66">
        <v>2022.0</v>
      </c>
      <c r="D270" s="66" t="s">
        <v>226</v>
      </c>
      <c r="E270" s="66">
        <v>0.0</v>
      </c>
      <c r="F270" s="66" t="s">
        <v>227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2">
        <f t="shared" si="2"/>
        <v>0.7428</v>
      </c>
      <c r="L270" s="82">
        <f t="shared" si="3"/>
        <v>0.137</v>
      </c>
    </row>
    <row r="271">
      <c r="A271" s="83">
        <v>44655.0</v>
      </c>
      <c r="B271" s="83">
        <v>44655.0</v>
      </c>
      <c r="C271" s="66">
        <v>2023.0</v>
      </c>
      <c r="D271" s="66" t="s">
        <v>226</v>
      </c>
      <c r="E271" s="66">
        <v>1.0</v>
      </c>
      <c r="F271" s="66" t="s">
        <v>228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2">
        <f t="shared" si="2"/>
        <v>10.79</v>
      </c>
      <c r="L271" s="82">
        <f t="shared" si="3"/>
        <v>5.8199</v>
      </c>
    </row>
    <row r="272">
      <c r="A272" s="83">
        <v>44655.0</v>
      </c>
      <c r="B272" s="83">
        <v>44655.0</v>
      </c>
      <c r="C272" s="66">
        <v>2025.0</v>
      </c>
      <c r="D272" s="66" t="s">
        <v>226</v>
      </c>
      <c r="E272" s="66">
        <v>0.0</v>
      </c>
      <c r="F272" s="66" t="s">
        <v>227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2">
        <f t="shared" si="2"/>
        <v>0.6218</v>
      </c>
      <c r="L272" s="82">
        <f t="shared" si="3"/>
        <v>0.2499</v>
      </c>
    </row>
    <row r="273">
      <c r="A273" s="83">
        <v>44655.0</v>
      </c>
      <c r="B273" s="83">
        <v>44655.0</v>
      </c>
      <c r="C273" s="66">
        <v>2030.0</v>
      </c>
      <c r="D273" s="66" t="s">
        <v>226</v>
      </c>
      <c r="E273" s="66">
        <v>1.0</v>
      </c>
      <c r="F273" s="66" t="s">
        <v>228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2">
        <f t="shared" si="2"/>
        <v>2.2851</v>
      </c>
      <c r="L273" s="82">
        <f t="shared" si="3"/>
        <v>1.0618</v>
      </c>
    </row>
    <row r="274">
      <c r="A274" s="83">
        <v>44655.0</v>
      </c>
      <c r="B274" s="83">
        <v>44655.0</v>
      </c>
      <c r="C274" s="66">
        <v>1478.0</v>
      </c>
      <c r="D274" s="66" t="s">
        <v>221</v>
      </c>
      <c r="E274" s="66">
        <v>1.0</v>
      </c>
      <c r="F274" s="66" t="s">
        <v>227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2">
        <f t="shared" si="2"/>
        <v>1.6305</v>
      </c>
      <c r="L274" s="82">
        <f t="shared" si="3"/>
        <v>0.559</v>
      </c>
    </row>
    <row r="275">
      <c r="A275" s="83">
        <v>44655.0</v>
      </c>
      <c r="B275" s="83">
        <v>44655.0</v>
      </c>
      <c r="C275" s="66">
        <v>2086.0</v>
      </c>
      <c r="D275" s="66" t="s">
        <v>226</v>
      </c>
      <c r="E275" s="66">
        <v>1.0</v>
      </c>
      <c r="F275" s="66" t="s">
        <v>227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2">
        <f t="shared" si="2"/>
        <v>1.2513</v>
      </c>
      <c r="L275" s="82">
        <f t="shared" si="3"/>
        <v>0.3534</v>
      </c>
    </row>
    <row r="276">
      <c r="A276" s="83">
        <v>44655.0</v>
      </c>
      <c r="B276" s="83">
        <v>44655.0</v>
      </c>
      <c r="C276" s="66">
        <v>2026.0</v>
      </c>
      <c r="D276" s="66" t="s">
        <v>226</v>
      </c>
      <c r="E276" s="66">
        <v>0.0</v>
      </c>
      <c r="F276" s="66" t="s">
        <v>228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2">
        <f t="shared" si="2"/>
        <v>6.5692</v>
      </c>
      <c r="L276" s="82">
        <f t="shared" si="3"/>
        <v>3.0269</v>
      </c>
    </row>
    <row r="277">
      <c r="A277" s="83">
        <v>44655.0</v>
      </c>
      <c r="B277" s="83">
        <v>44655.0</v>
      </c>
      <c r="C277" s="66">
        <v>2024.0</v>
      </c>
      <c r="D277" s="66" t="s">
        <v>226</v>
      </c>
      <c r="E277" s="66">
        <v>0.0</v>
      </c>
      <c r="F277" s="66" t="s">
        <v>228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2">
        <f t="shared" si="2"/>
        <v>6.6355</v>
      </c>
      <c r="L277" s="82">
        <f t="shared" si="3"/>
        <v>2.8159</v>
      </c>
    </row>
    <row r="278">
      <c r="A278" s="83">
        <v>44655.0</v>
      </c>
      <c r="B278" s="83">
        <v>44655.0</v>
      </c>
      <c r="C278" s="66">
        <v>2015.0</v>
      </c>
      <c r="D278" s="66" t="s">
        <v>221</v>
      </c>
      <c r="E278" s="66">
        <v>0.0</v>
      </c>
      <c r="F278" s="66" t="s">
        <v>227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2">
        <f t="shared" si="2"/>
        <v>1.7886</v>
      </c>
      <c r="L278" s="82">
        <f t="shared" si="3"/>
        <v>0.7167</v>
      </c>
    </row>
    <row r="279">
      <c r="A279" s="83">
        <v>44655.0</v>
      </c>
      <c r="B279" s="83">
        <v>44655.0</v>
      </c>
      <c r="C279" s="66">
        <v>2012.0</v>
      </c>
      <c r="D279" s="66" t="s">
        <v>226</v>
      </c>
      <c r="E279" s="66">
        <v>0.0</v>
      </c>
      <c r="F279" s="66" t="s">
        <v>228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2">
        <f t="shared" si="2"/>
        <v>6.223</v>
      </c>
      <c r="L279" s="82">
        <f t="shared" si="3"/>
        <v>2.1805</v>
      </c>
      <c r="N279" s="66" t="s">
        <v>233</v>
      </c>
    </row>
    <row r="280">
      <c r="A280" s="83">
        <v>44655.0</v>
      </c>
      <c r="B280" s="83">
        <v>44655.0</v>
      </c>
      <c r="C280" s="66">
        <v>2027.0</v>
      </c>
      <c r="D280" s="66" t="s">
        <v>226</v>
      </c>
      <c r="E280" s="66">
        <v>1.0</v>
      </c>
      <c r="F280" s="66" t="s">
        <v>227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2">
        <f t="shared" si="2"/>
        <v>0.2304</v>
      </c>
      <c r="L280" s="82">
        <f t="shared" si="3"/>
        <v>0.314</v>
      </c>
    </row>
    <row r="281">
      <c r="A281" s="83">
        <v>44655.0</v>
      </c>
      <c r="B281" s="83">
        <v>44655.0</v>
      </c>
      <c r="C281" s="66">
        <v>2008.0</v>
      </c>
      <c r="D281" s="66" t="s">
        <v>226</v>
      </c>
      <c r="E281" s="66">
        <v>0.0</v>
      </c>
      <c r="F281" s="66" t="s">
        <v>227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2">
        <f t="shared" si="2"/>
        <v>0.8386</v>
      </c>
      <c r="L281" s="82">
        <f t="shared" si="3"/>
        <v>0.1851</v>
      </c>
    </row>
    <row r="282">
      <c r="A282" s="83">
        <v>44655.0</v>
      </c>
      <c r="B282" s="83">
        <v>44655.0</v>
      </c>
      <c r="C282" s="66">
        <v>2031.0</v>
      </c>
      <c r="D282" s="66" t="s">
        <v>226</v>
      </c>
      <c r="E282" s="66">
        <v>0.0</v>
      </c>
      <c r="F282" s="66" t="s">
        <v>228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2">
        <f t="shared" si="2"/>
        <v>4.7324</v>
      </c>
      <c r="L282" s="82">
        <f t="shared" si="3"/>
        <v>2.0265</v>
      </c>
    </row>
    <row r="283">
      <c r="A283" s="83">
        <v>44655.0</v>
      </c>
      <c r="B283" s="83">
        <v>44655.0</v>
      </c>
      <c r="C283" s="66">
        <v>2011.0</v>
      </c>
      <c r="D283" s="66" t="s">
        <v>226</v>
      </c>
      <c r="E283" s="66">
        <v>0.0</v>
      </c>
      <c r="F283" s="66" t="s">
        <v>228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2">
        <f t="shared" si="2"/>
        <v>4.3148</v>
      </c>
      <c r="L283" s="82">
        <f t="shared" si="3"/>
        <v>1.7828</v>
      </c>
    </row>
    <row r="284">
      <c r="A284" s="83">
        <v>44655.0</v>
      </c>
      <c r="B284" s="83">
        <v>44655.0</v>
      </c>
      <c r="C284" s="66">
        <v>2090.0</v>
      </c>
      <c r="D284" s="66" t="s">
        <v>226</v>
      </c>
      <c r="E284" s="66">
        <v>1.0</v>
      </c>
      <c r="F284" s="66" t="s">
        <v>227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2">
        <f t="shared" si="2"/>
        <v>1.2514</v>
      </c>
      <c r="L284" s="82">
        <f t="shared" si="3"/>
        <v>0.7497</v>
      </c>
    </row>
    <row r="285">
      <c r="A285" s="83">
        <v>44655.0</v>
      </c>
      <c r="B285" s="83">
        <v>44655.0</v>
      </c>
      <c r="C285" s="66">
        <v>2092.0</v>
      </c>
      <c r="D285" s="66" t="s">
        <v>226</v>
      </c>
      <c r="E285" s="66">
        <v>1.0</v>
      </c>
      <c r="F285" s="66" t="s">
        <v>228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2">
        <f t="shared" si="2"/>
        <v>4.8592</v>
      </c>
      <c r="L285" s="82">
        <f t="shared" si="3"/>
        <v>2.7328</v>
      </c>
    </row>
    <row r="286">
      <c r="A286" s="83">
        <v>44655.0</v>
      </c>
      <c r="B286" s="83">
        <v>44655.0</v>
      </c>
      <c r="C286" s="66">
        <v>1478.0</v>
      </c>
      <c r="D286" s="66" t="s">
        <v>226</v>
      </c>
      <c r="E286" s="66">
        <v>1.0</v>
      </c>
      <c r="F286" s="66" t="s">
        <v>227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2">
        <f t="shared" si="2"/>
        <v>2.2768</v>
      </c>
      <c r="L286" s="82">
        <f t="shared" si="3"/>
        <v>0.8651</v>
      </c>
    </row>
    <row r="287">
      <c r="A287" s="83">
        <v>44655.0</v>
      </c>
      <c r="B287" s="83">
        <v>44655.0</v>
      </c>
      <c r="C287" s="66">
        <v>2012.0</v>
      </c>
      <c r="D287" s="66" t="s">
        <v>226</v>
      </c>
      <c r="E287" s="66">
        <v>1.0</v>
      </c>
      <c r="F287" s="66" t="s">
        <v>227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2">
        <f t="shared" si="2"/>
        <v>2.041</v>
      </c>
      <c r="L287" s="82">
        <f t="shared" si="3"/>
        <v>0.9639</v>
      </c>
    </row>
    <row r="288">
      <c r="A288" s="83">
        <v>44655.0</v>
      </c>
      <c r="B288" s="83">
        <v>44655.0</v>
      </c>
      <c r="C288" s="66">
        <v>2087.0</v>
      </c>
      <c r="D288" s="66" t="s">
        <v>221</v>
      </c>
      <c r="E288" s="66">
        <v>0.0</v>
      </c>
      <c r="F288" s="66" t="s">
        <v>227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2">
        <f t="shared" si="2"/>
        <v>1.6425</v>
      </c>
      <c r="L288" s="82">
        <f t="shared" si="3"/>
        <v>0.3802</v>
      </c>
    </row>
    <row r="289">
      <c r="A289" s="83">
        <v>44655.0</v>
      </c>
      <c r="B289" s="83">
        <v>44655.0</v>
      </c>
      <c r="C289" s="66">
        <v>2029.0</v>
      </c>
      <c r="D289" s="66" t="s">
        <v>226</v>
      </c>
      <c r="E289" s="66">
        <v>0.0</v>
      </c>
      <c r="F289" s="66" t="s">
        <v>227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2">
        <f t="shared" si="2"/>
        <v>0.0584</v>
      </c>
      <c r="L289" s="82">
        <f t="shared" si="3"/>
        <v>0.1953</v>
      </c>
    </row>
    <row r="290">
      <c r="A290" s="83">
        <v>44655.0</v>
      </c>
      <c r="B290" s="83">
        <v>44655.0</v>
      </c>
      <c r="C290" s="66">
        <v>2024.0</v>
      </c>
      <c r="D290" s="66" t="s">
        <v>226</v>
      </c>
      <c r="E290" s="66">
        <v>1.0</v>
      </c>
      <c r="F290" s="66" t="s">
        <v>227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2">
        <f t="shared" si="2"/>
        <v>1.3564</v>
      </c>
      <c r="L290" s="82">
        <f t="shared" si="3"/>
        <v>0.6298</v>
      </c>
    </row>
    <row r="291">
      <c r="A291" s="83">
        <v>44655.0</v>
      </c>
      <c r="B291" s="83">
        <v>44655.0</v>
      </c>
      <c r="C291" s="66">
        <v>2088.0</v>
      </c>
      <c r="D291" s="66" t="s">
        <v>221</v>
      </c>
      <c r="E291" s="66">
        <v>0.0</v>
      </c>
      <c r="F291" s="66" t="s">
        <v>227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2">
        <f t="shared" si="2"/>
        <v>1.5836</v>
      </c>
      <c r="L291" s="82">
        <f t="shared" si="3"/>
        <v>0.3961</v>
      </c>
    </row>
    <row r="292">
      <c r="A292" s="83">
        <v>44655.0</v>
      </c>
      <c r="B292" s="83">
        <v>44655.0</v>
      </c>
      <c r="C292" s="66">
        <v>2022.0</v>
      </c>
      <c r="D292" s="66" t="s">
        <v>226</v>
      </c>
      <c r="E292" s="66">
        <v>1.0</v>
      </c>
      <c r="F292" s="66" t="s">
        <v>227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2">
        <f t="shared" si="2"/>
        <v>1.824</v>
      </c>
      <c r="L292" s="82">
        <f t="shared" si="3"/>
        <v>0.8248</v>
      </c>
    </row>
    <row r="293">
      <c r="A293" s="83">
        <v>44655.0</v>
      </c>
      <c r="B293" s="83">
        <v>44655.0</v>
      </c>
      <c r="C293" s="66">
        <v>2093.0</v>
      </c>
      <c r="D293" s="66" t="s">
        <v>226</v>
      </c>
      <c r="E293" s="66">
        <v>0.0</v>
      </c>
      <c r="F293" s="66" t="s">
        <v>228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2">
        <f t="shared" si="2"/>
        <v>0.3675</v>
      </c>
      <c r="L293" s="82">
        <f t="shared" si="3"/>
        <v>0.0981</v>
      </c>
    </row>
    <row r="294">
      <c r="A294" s="83">
        <v>44655.0</v>
      </c>
      <c r="B294" s="83">
        <v>44655.0</v>
      </c>
      <c r="C294" s="66">
        <v>2008.0</v>
      </c>
      <c r="D294" s="66" t="s">
        <v>226</v>
      </c>
      <c r="E294" s="66">
        <v>0.0</v>
      </c>
      <c r="F294" s="66" t="s">
        <v>228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2">
        <f t="shared" si="2"/>
        <v>5.5536</v>
      </c>
      <c r="L294" s="82">
        <f t="shared" si="3"/>
        <v>2.1689</v>
      </c>
    </row>
    <row r="295">
      <c r="A295" s="83">
        <v>44655.0</v>
      </c>
      <c r="B295" s="83">
        <v>44655.0</v>
      </c>
      <c r="C295" s="66">
        <v>2021.0</v>
      </c>
      <c r="D295" s="66" t="s">
        <v>226</v>
      </c>
      <c r="E295" s="66">
        <v>0.0</v>
      </c>
      <c r="F295" s="66" t="s">
        <v>228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2">
        <f t="shared" si="2"/>
        <v>6.1631</v>
      </c>
      <c r="L295" s="82">
        <f t="shared" si="3"/>
        <v>2.9481</v>
      </c>
    </row>
    <row r="296">
      <c r="A296" s="83">
        <v>44655.0</v>
      </c>
      <c r="B296" s="83">
        <v>44655.0</v>
      </c>
      <c r="C296" s="66">
        <v>2027.0</v>
      </c>
      <c r="D296" s="66" t="s">
        <v>226</v>
      </c>
      <c r="E296" s="66">
        <v>0.0</v>
      </c>
      <c r="F296" s="66" t="s">
        <v>228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2">
        <f t="shared" si="2"/>
        <v>5.5381</v>
      </c>
      <c r="L296" s="82">
        <f t="shared" si="3"/>
        <v>2.6292</v>
      </c>
    </row>
    <row r="297">
      <c r="A297" s="83">
        <v>44655.0</v>
      </c>
      <c r="B297" s="83">
        <v>44655.0</v>
      </c>
      <c r="C297" s="66">
        <v>2085.0</v>
      </c>
      <c r="D297" s="66" t="s">
        <v>226</v>
      </c>
      <c r="E297" s="66">
        <v>0.0</v>
      </c>
      <c r="F297" s="66" t="s">
        <v>227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2">
        <f t="shared" si="2"/>
        <v>1.5905</v>
      </c>
      <c r="L297" s="82">
        <f t="shared" si="3"/>
        <v>0.5679</v>
      </c>
    </row>
    <row r="298">
      <c r="A298" s="83">
        <v>44655.0</v>
      </c>
      <c r="B298" s="83">
        <v>44655.0</v>
      </c>
      <c r="C298" s="66">
        <v>2031.0</v>
      </c>
      <c r="D298" s="66" t="s">
        <v>58</v>
      </c>
      <c r="E298" s="66">
        <v>0.0</v>
      </c>
      <c r="F298" s="66" t="s">
        <v>228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2">
        <f t="shared" si="2"/>
        <v>8.8538</v>
      </c>
      <c r="L298" s="82">
        <f t="shared" si="3"/>
        <v>4.3358</v>
      </c>
    </row>
    <row r="299">
      <c r="A299" s="83">
        <v>44655.0</v>
      </c>
      <c r="B299" s="83">
        <v>44655.0</v>
      </c>
      <c r="C299" s="66">
        <v>2026.0</v>
      </c>
      <c r="D299" s="66" t="s">
        <v>226</v>
      </c>
      <c r="E299" s="66">
        <v>0.0</v>
      </c>
      <c r="F299" s="66" t="s">
        <v>227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2">
        <f t="shared" si="2"/>
        <v>0.8934</v>
      </c>
      <c r="L299" s="82">
        <f t="shared" si="3"/>
        <v>0.5336</v>
      </c>
      <c r="N299" s="66" t="s">
        <v>233</v>
      </c>
    </row>
    <row r="300">
      <c r="A300" s="83">
        <v>44655.0</v>
      </c>
      <c r="B300" s="83">
        <v>44655.0</v>
      </c>
      <c r="C300" s="66">
        <v>2086.0</v>
      </c>
      <c r="D300" s="66" t="s">
        <v>221</v>
      </c>
      <c r="E300" s="66">
        <v>0.0</v>
      </c>
      <c r="F300" s="66" t="s">
        <v>228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2">
        <f t="shared" si="2"/>
        <v>4.3577</v>
      </c>
      <c r="L300" s="82">
        <f t="shared" si="3"/>
        <v>1.51</v>
      </c>
    </row>
    <row r="301">
      <c r="A301" s="83">
        <v>44655.0</v>
      </c>
      <c r="B301" s="83">
        <v>44655.0</v>
      </c>
      <c r="C301" s="66">
        <v>2029.0</v>
      </c>
      <c r="D301" s="66" t="s">
        <v>226</v>
      </c>
      <c r="E301" s="66">
        <v>1.0</v>
      </c>
      <c r="F301" s="66" t="s">
        <v>227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2">
        <f t="shared" si="2"/>
        <v>1.2511</v>
      </c>
      <c r="L301" s="82">
        <f t="shared" si="3"/>
        <v>0.3578</v>
      </c>
    </row>
    <row r="302">
      <c r="A302" s="83">
        <v>44655.0</v>
      </c>
      <c r="B302" s="83">
        <v>44655.0</v>
      </c>
      <c r="C302" s="66">
        <v>2085.0</v>
      </c>
      <c r="D302" s="66" t="s">
        <v>226</v>
      </c>
      <c r="E302" s="66">
        <v>1.0</v>
      </c>
      <c r="F302" s="66" t="s">
        <v>227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2">
        <f t="shared" si="2"/>
        <v>2.7166</v>
      </c>
      <c r="L302" s="82">
        <f t="shared" si="3"/>
        <v>1.0612</v>
      </c>
    </row>
    <row r="303">
      <c r="A303" s="83">
        <v>44655.0</v>
      </c>
      <c r="B303" s="83">
        <v>44655.0</v>
      </c>
      <c r="C303" s="66">
        <v>2023.0</v>
      </c>
      <c r="D303" s="66" t="s">
        <v>226</v>
      </c>
      <c r="E303" s="66">
        <v>0.0</v>
      </c>
      <c r="F303" s="66" t="s">
        <v>228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2">
        <f t="shared" si="2"/>
        <v>5.2421</v>
      </c>
      <c r="L303" s="82">
        <f t="shared" si="3"/>
        <v>2.4926</v>
      </c>
    </row>
    <row r="304">
      <c r="A304" s="83">
        <v>44655.0</v>
      </c>
      <c r="B304" s="83">
        <v>44655.0</v>
      </c>
      <c r="C304" s="66">
        <v>2015.0</v>
      </c>
      <c r="D304" s="66" t="s">
        <v>226</v>
      </c>
      <c r="E304" s="66">
        <v>0.0</v>
      </c>
      <c r="F304" s="66" t="s">
        <v>227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2">
        <f t="shared" si="2"/>
        <v>1.4021</v>
      </c>
      <c r="L304" s="82">
        <f t="shared" si="3"/>
        <v>0.4892</v>
      </c>
    </row>
    <row r="305">
      <c r="A305" s="83">
        <v>44655.0</v>
      </c>
      <c r="B305" s="83">
        <v>44655.0</v>
      </c>
      <c r="C305" s="66">
        <v>2086.0</v>
      </c>
      <c r="D305" s="66" t="s">
        <v>221</v>
      </c>
      <c r="E305" s="66">
        <v>1.0</v>
      </c>
      <c r="F305" s="66" t="s">
        <v>227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2">
        <f t="shared" si="2"/>
        <v>1.5121</v>
      </c>
      <c r="L305" s="82">
        <f t="shared" si="3"/>
        <v>0.4665</v>
      </c>
    </row>
    <row r="306">
      <c r="A306" s="83">
        <v>44655.0</v>
      </c>
      <c r="B306" s="83">
        <v>44655.0</v>
      </c>
      <c r="C306" s="66">
        <v>2005.0</v>
      </c>
      <c r="D306" s="66" t="s">
        <v>226</v>
      </c>
      <c r="E306" s="66">
        <v>0.0</v>
      </c>
      <c r="F306" s="66" t="s">
        <v>227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2">
        <f t="shared" si="2"/>
        <v>0.8136</v>
      </c>
      <c r="L306" s="82">
        <f t="shared" si="3"/>
        <v>0.4753</v>
      </c>
    </row>
    <row r="307">
      <c r="A307" s="83">
        <v>44655.0</v>
      </c>
      <c r="B307" s="83">
        <v>44655.0</v>
      </c>
      <c r="C307" s="66">
        <v>1478.0</v>
      </c>
      <c r="D307" s="66" t="s">
        <v>226</v>
      </c>
      <c r="E307" s="66">
        <v>0.0</v>
      </c>
      <c r="F307" s="66" t="s">
        <v>228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2">
        <f t="shared" si="2"/>
        <v>4.7483</v>
      </c>
      <c r="L307" s="82">
        <f t="shared" si="3"/>
        <v>1.7247</v>
      </c>
    </row>
    <row r="308">
      <c r="A308" s="83">
        <v>44655.0</v>
      </c>
      <c r="B308" s="83">
        <v>44655.0</v>
      </c>
      <c r="C308" s="66">
        <v>2090.0</v>
      </c>
      <c r="D308" s="66" t="s">
        <v>226</v>
      </c>
      <c r="E308" s="66">
        <v>0.0</v>
      </c>
      <c r="F308" s="66" t="s">
        <v>228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2">
        <f t="shared" si="2"/>
        <v>5.3647</v>
      </c>
      <c r="L308" s="82">
        <f t="shared" si="3"/>
        <v>2.1297</v>
      </c>
    </row>
    <row r="309">
      <c r="A309" s="83">
        <v>44655.0</v>
      </c>
      <c r="B309" s="83">
        <v>44655.0</v>
      </c>
      <c r="C309" s="66">
        <v>2091.0</v>
      </c>
      <c r="D309" s="66" t="s">
        <v>226</v>
      </c>
      <c r="E309" s="66">
        <v>1.0</v>
      </c>
      <c r="F309" s="66" t="s">
        <v>228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2">
        <f t="shared" si="2"/>
        <v>6.151</v>
      </c>
      <c r="L309" s="82">
        <f t="shared" si="3"/>
        <v>3.4337</v>
      </c>
    </row>
    <row r="310">
      <c r="A310" s="83">
        <v>44655.0</v>
      </c>
      <c r="B310" s="83">
        <v>44655.0</v>
      </c>
      <c r="C310" s="66">
        <v>2028.0</v>
      </c>
      <c r="D310" s="66" t="s">
        <v>226</v>
      </c>
      <c r="E310" s="66">
        <v>0.0</v>
      </c>
      <c r="F310" s="66" t="s">
        <v>228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2">
        <f t="shared" si="2"/>
        <v>7.8134</v>
      </c>
      <c r="L310" s="82">
        <f t="shared" si="3"/>
        <v>3.7876</v>
      </c>
    </row>
    <row r="311">
      <c r="A311" s="83">
        <v>44655.0</v>
      </c>
      <c r="B311" s="83">
        <v>44655.0</v>
      </c>
      <c r="C311" s="66">
        <v>2025.0</v>
      </c>
      <c r="D311" s="66" t="s">
        <v>226</v>
      </c>
      <c r="E311" s="66">
        <v>1.0</v>
      </c>
      <c r="F311" s="66" t="s">
        <v>227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2">
        <f t="shared" si="2"/>
        <v>0.7417</v>
      </c>
      <c r="L311" s="82">
        <f t="shared" si="3"/>
        <v>0.4291</v>
      </c>
    </row>
    <row r="312">
      <c r="A312" s="83">
        <v>44655.0</v>
      </c>
      <c r="B312" s="83">
        <v>44655.0</v>
      </c>
      <c r="C312" s="66">
        <v>2008.0</v>
      </c>
      <c r="D312" s="66" t="s">
        <v>226</v>
      </c>
      <c r="E312" s="66">
        <v>0.0</v>
      </c>
      <c r="F312" s="66" t="s">
        <v>227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2">
        <f t="shared" si="2"/>
        <v>0.7126</v>
      </c>
      <c r="L312" s="82">
        <f t="shared" si="3"/>
        <v>0.2125</v>
      </c>
    </row>
    <row r="313">
      <c r="A313" s="83">
        <v>44655.0</v>
      </c>
      <c r="B313" s="83">
        <v>44655.0</v>
      </c>
      <c r="C313" s="66">
        <v>2021.0</v>
      </c>
      <c r="D313" s="66" t="s">
        <v>226</v>
      </c>
      <c r="E313" s="66">
        <v>1.0</v>
      </c>
      <c r="F313" s="66" t="s">
        <v>227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2">
        <f t="shared" si="2"/>
        <v>1.5754</v>
      </c>
      <c r="L313" s="82">
        <f t="shared" si="3"/>
        <v>0.7013</v>
      </c>
    </row>
    <row r="314">
      <c r="A314" s="83">
        <v>44655.0</v>
      </c>
      <c r="B314" s="83">
        <v>44655.0</v>
      </c>
      <c r="C314" s="66">
        <v>2015.0</v>
      </c>
      <c r="D314" s="66" t="s">
        <v>221</v>
      </c>
      <c r="E314" s="66">
        <v>1.0</v>
      </c>
      <c r="F314" s="66" t="s">
        <v>227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2">
        <f t="shared" si="2"/>
        <v>0.6174</v>
      </c>
      <c r="L314" s="82">
        <f t="shared" si="3"/>
        <v>0.4698</v>
      </c>
    </row>
    <row r="315">
      <c r="A315" s="83">
        <v>44655.0</v>
      </c>
      <c r="B315" s="83">
        <v>44655.0</v>
      </c>
      <c r="C315" s="66">
        <v>2088.0</v>
      </c>
      <c r="D315" s="66" t="s">
        <v>221</v>
      </c>
      <c r="E315" s="66">
        <v>1.0</v>
      </c>
      <c r="F315" s="66" t="s">
        <v>227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2">
        <f t="shared" si="2"/>
        <v>1.9834</v>
      </c>
      <c r="L315" s="82">
        <f t="shared" si="3"/>
        <v>0.7991</v>
      </c>
    </row>
    <row r="316">
      <c r="A316" s="83">
        <v>44655.0</v>
      </c>
      <c r="B316" s="83">
        <v>44655.0</v>
      </c>
      <c r="C316" s="66">
        <v>2008.0</v>
      </c>
      <c r="D316" s="66" t="s">
        <v>226</v>
      </c>
      <c r="E316" s="66">
        <v>0.0</v>
      </c>
      <c r="F316" s="66" t="s">
        <v>228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2">
        <f t="shared" si="2"/>
        <v>7.8112</v>
      </c>
      <c r="L316" s="82">
        <f t="shared" si="3"/>
        <v>3.9124</v>
      </c>
    </row>
    <row r="317">
      <c r="A317" s="83">
        <v>44655.0</v>
      </c>
      <c r="B317" s="83">
        <v>44655.0</v>
      </c>
      <c r="C317" s="66">
        <v>2013.0</v>
      </c>
      <c r="D317" s="66" t="s">
        <v>226</v>
      </c>
      <c r="E317" s="66">
        <v>0.0</v>
      </c>
      <c r="F317" s="66" t="s">
        <v>227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2">
        <f t="shared" si="2"/>
        <v>0.6181</v>
      </c>
      <c r="L317" s="82">
        <f t="shared" si="3"/>
        <v>0.2069</v>
      </c>
    </row>
    <row r="318">
      <c r="A318" s="83">
        <v>44655.0</v>
      </c>
      <c r="B318" s="83">
        <v>44655.0</v>
      </c>
      <c r="C318" s="66">
        <v>2004.0</v>
      </c>
      <c r="D318" s="66" t="s">
        <v>226</v>
      </c>
      <c r="E318" s="66">
        <v>0.0</v>
      </c>
      <c r="F318" s="66" t="s">
        <v>228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2">
        <f t="shared" si="2"/>
        <v>7.4928</v>
      </c>
      <c r="L318" s="82">
        <f t="shared" si="3"/>
        <v>3.4351</v>
      </c>
    </row>
    <row r="319">
      <c r="A319" s="83">
        <v>44655.0</v>
      </c>
      <c r="B319" s="83">
        <v>44655.0</v>
      </c>
      <c r="C319" s="66">
        <v>2093.0</v>
      </c>
      <c r="D319" s="66" t="s">
        <v>226</v>
      </c>
      <c r="E319" s="66">
        <v>1.0</v>
      </c>
      <c r="F319" s="66" t="s">
        <v>228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2">
        <f t="shared" si="2"/>
        <v>4.7402</v>
      </c>
      <c r="L319" s="82">
        <f t="shared" si="3"/>
        <v>2.7555</v>
      </c>
    </row>
    <row r="320">
      <c r="A320" s="83">
        <v>44655.0</v>
      </c>
      <c r="B320" s="83">
        <v>44655.0</v>
      </c>
      <c r="C320" s="66">
        <v>2091.0</v>
      </c>
      <c r="D320" s="66" t="s">
        <v>226</v>
      </c>
      <c r="E320" s="66">
        <v>1.0</v>
      </c>
      <c r="F320" s="66" t="s">
        <v>227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2">
        <f t="shared" si="2"/>
        <v>1.6505</v>
      </c>
      <c r="L320" s="82">
        <f t="shared" si="3"/>
        <v>0.645</v>
      </c>
    </row>
    <row r="321">
      <c r="A321" s="83">
        <v>44655.0</v>
      </c>
      <c r="B321" s="83">
        <v>44655.0</v>
      </c>
      <c r="C321" s="66">
        <v>2031.0</v>
      </c>
      <c r="D321" s="66" t="s">
        <v>58</v>
      </c>
      <c r="E321" s="66">
        <v>0.0</v>
      </c>
      <c r="F321" s="66" t="s">
        <v>228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2">
        <f t="shared" si="2"/>
        <v>0.3579</v>
      </c>
      <c r="L321" s="82">
        <f t="shared" si="3"/>
        <v>0.3573</v>
      </c>
    </row>
    <row r="322">
      <c r="A322" s="83">
        <v>44655.0</v>
      </c>
      <c r="B322" s="83">
        <v>44655.0</v>
      </c>
      <c r="C322" s="66">
        <v>2013.0</v>
      </c>
      <c r="D322" s="66" t="s">
        <v>226</v>
      </c>
      <c r="E322" s="66">
        <v>0.0</v>
      </c>
      <c r="F322" s="66" t="s">
        <v>228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2">
        <f t="shared" si="2"/>
        <v>2.9897</v>
      </c>
      <c r="L322" s="82">
        <f t="shared" si="3"/>
        <v>1.0051</v>
      </c>
    </row>
    <row r="323">
      <c r="A323" s="83">
        <v>44655.0</v>
      </c>
      <c r="B323" s="83">
        <v>44655.0</v>
      </c>
      <c r="C323" s="66">
        <v>2092.0</v>
      </c>
      <c r="D323" s="66" t="s">
        <v>226</v>
      </c>
      <c r="E323" s="66">
        <v>0.0</v>
      </c>
      <c r="F323" s="66" t="s">
        <v>227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2">
        <f t="shared" si="2"/>
        <v>0.2389</v>
      </c>
      <c r="L323" s="82">
        <f t="shared" si="3"/>
        <v>0.0683</v>
      </c>
    </row>
    <row r="324">
      <c r="A324" s="83">
        <v>44655.0</v>
      </c>
      <c r="B324" s="83">
        <v>44655.0</v>
      </c>
      <c r="C324" s="66">
        <v>2026.0</v>
      </c>
      <c r="D324" s="66" t="s">
        <v>226</v>
      </c>
      <c r="E324" s="66">
        <v>0.0</v>
      </c>
      <c r="F324" s="66" t="s">
        <v>228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2">
        <f t="shared" si="2"/>
        <v>2.2519</v>
      </c>
      <c r="L324" s="82">
        <f t="shared" si="3"/>
        <v>1.0516</v>
      </c>
    </row>
    <row r="325">
      <c r="A325" s="83">
        <v>44655.0</v>
      </c>
      <c r="B325" s="83">
        <v>44655.0</v>
      </c>
      <c r="C325" s="66">
        <v>2013.0</v>
      </c>
      <c r="D325" s="66" t="s">
        <v>226</v>
      </c>
      <c r="E325" s="66">
        <v>1.0</v>
      </c>
      <c r="F325" s="66" t="s">
        <v>227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2">
        <f t="shared" si="2"/>
        <v>2.8643</v>
      </c>
      <c r="L325" s="82">
        <f t="shared" si="3"/>
        <v>1.2578</v>
      </c>
    </row>
    <row r="326">
      <c r="A326" s="83">
        <v>44655.0</v>
      </c>
      <c r="B326" s="83">
        <v>44655.0</v>
      </c>
      <c r="C326" s="66">
        <v>2022.0</v>
      </c>
      <c r="D326" s="66" t="s">
        <v>226</v>
      </c>
      <c r="E326" s="66">
        <v>0.0</v>
      </c>
      <c r="F326" s="66" t="s">
        <v>228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2">
        <f t="shared" si="2"/>
        <v>5.504</v>
      </c>
      <c r="L326" s="82">
        <f t="shared" si="3"/>
        <v>2.5385</v>
      </c>
    </row>
    <row r="327">
      <c r="A327" s="83">
        <v>44655.0</v>
      </c>
      <c r="B327" s="83">
        <v>44655.0</v>
      </c>
      <c r="C327" s="66">
        <v>2026.0</v>
      </c>
      <c r="D327" s="66" t="s">
        <v>226</v>
      </c>
      <c r="E327" s="66">
        <v>1.0</v>
      </c>
      <c r="F327" s="66" t="s">
        <v>227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2">
        <f t="shared" si="2"/>
        <v>0.9037</v>
      </c>
      <c r="L327" s="82">
        <f t="shared" si="3"/>
        <v>0.4265</v>
      </c>
    </row>
    <row r="328">
      <c r="A328" s="83">
        <v>44655.0</v>
      </c>
      <c r="B328" s="83">
        <v>44655.0</v>
      </c>
      <c r="C328" s="66">
        <v>1478.0</v>
      </c>
      <c r="D328" s="66" t="s">
        <v>221</v>
      </c>
      <c r="E328" s="66">
        <v>0.0</v>
      </c>
      <c r="F328" s="66" t="s">
        <v>227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2">
        <f t="shared" si="2"/>
        <v>0.8777</v>
      </c>
      <c r="L328" s="82">
        <f t="shared" si="3"/>
        <v>0.2424</v>
      </c>
    </row>
    <row r="329">
      <c r="A329" s="83">
        <v>44655.0</v>
      </c>
      <c r="B329" s="83">
        <v>44655.0</v>
      </c>
      <c r="C329" s="66">
        <v>2012.0</v>
      </c>
      <c r="D329" s="66" t="s">
        <v>221</v>
      </c>
      <c r="E329" s="66">
        <v>1.0</v>
      </c>
      <c r="F329" s="66" t="s">
        <v>227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2">
        <f t="shared" si="2"/>
        <v>1.7861</v>
      </c>
      <c r="L329" s="82">
        <f t="shared" si="3"/>
        <v>0.9241</v>
      </c>
    </row>
    <row r="330">
      <c r="A330" s="83">
        <v>44655.0</v>
      </c>
      <c r="B330" s="83">
        <v>44655.0</v>
      </c>
      <c r="C330" s="66">
        <v>2007.0</v>
      </c>
      <c r="D330" s="66" t="s">
        <v>226</v>
      </c>
      <c r="E330" s="66">
        <v>0.0</v>
      </c>
      <c r="F330" s="66" t="s">
        <v>227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2">
        <f t="shared" si="2"/>
        <v>0.6699</v>
      </c>
      <c r="L330" s="82">
        <f t="shared" si="3"/>
        <v>0.274</v>
      </c>
    </row>
    <row r="331">
      <c r="A331" s="83">
        <v>44655.0</v>
      </c>
      <c r="B331" s="83">
        <v>44655.0</v>
      </c>
      <c r="C331" s="66">
        <v>2086.0</v>
      </c>
      <c r="D331" s="66" t="s">
        <v>221</v>
      </c>
      <c r="E331" s="66">
        <v>0.0</v>
      </c>
      <c r="F331" s="66" t="s">
        <v>227</v>
      </c>
      <c r="G331" s="66">
        <v>0.0</v>
      </c>
      <c r="H331" s="66">
        <v>26.5799</v>
      </c>
      <c r="I331" s="66">
        <v>27.1242</v>
      </c>
      <c r="J331" s="66">
        <v>26.7953</v>
      </c>
      <c r="K331" s="82">
        <f t="shared" si="2"/>
        <v>0.5443</v>
      </c>
      <c r="L331" s="82">
        <f t="shared" si="3"/>
        <v>0.2154</v>
      </c>
    </row>
    <row r="332">
      <c r="A332" s="83">
        <v>44655.0</v>
      </c>
      <c r="B332" s="83">
        <v>44655.0</v>
      </c>
      <c r="C332" s="66">
        <v>2008.0</v>
      </c>
      <c r="D332" s="66" t="s">
        <v>226</v>
      </c>
      <c r="E332" s="66">
        <v>1.0</v>
      </c>
      <c r="F332" s="66" t="s">
        <v>227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2">
        <f t="shared" si="2"/>
        <v>1.4644</v>
      </c>
      <c r="L332" s="82">
        <f t="shared" si="3"/>
        <v>0.3434</v>
      </c>
    </row>
    <row r="333">
      <c r="A333" s="83">
        <v>44655.0</v>
      </c>
      <c r="B333" s="83">
        <v>44655.0</v>
      </c>
      <c r="C333" s="66">
        <v>2015.0</v>
      </c>
      <c r="D333" s="66" t="s">
        <v>221</v>
      </c>
      <c r="E333" s="66">
        <v>0.0</v>
      </c>
      <c r="F333" s="66" t="s">
        <v>228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2">
        <f t="shared" si="2"/>
        <v>6.5702</v>
      </c>
      <c r="L333" s="82">
        <f t="shared" si="3"/>
        <v>3.0309</v>
      </c>
    </row>
    <row r="334">
      <c r="A334" s="83">
        <v>44655.0</v>
      </c>
      <c r="B334" s="83">
        <v>44655.0</v>
      </c>
      <c r="C334" s="66">
        <v>2085.0</v>
      </c>
      <c r="D334" s="66" t="s">
        <v>226</v>
      </c>
      <c r="E334" s="66">
        <v>0.0</v>
      </c>
      <c r="F334" s="66" t="s">
        <v>228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2">
        <f t="shared" si="2"/>
        <v>7.6445</v>
      </c>
      <c r="L334" s="82">
        <f t="shared" si="3"/>
        <v>2.8634</v>
      </c>
    </row>
    <row r="335">
      <c r="A335" s="83">
        <v>44655.0</v>
      </c>
      <c r="B335" s="83">
        <v>44655.0</v>
      </c>
      <c r="C335" s="66" t="s">
        <v>234</v>
      </c>
      <c r="D335" s="66" t="s">
        <v>226</v>
      </c>
      <c r="E335" s="66">
        <v>0.0</v>
      </c>
      <c r="F335" s="66" t="s">
        <v>222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2">
        <f t="shared" si="2"/>
        <v>3.6556</v>
      </c>
      <c r="L335" s="82">
        <f t="shared" si="3"/>
        <v>1.1234</v>
      </c>
    </row>
    <row r="336">
      <c r="A336" s="83">
        <v>44655.0</v>
      </c>
      <c r="B336" s="83">
        <v>44655.0</v>
      </c>
      <c r="C336" s="66">
        <v>2007.0</v>
      </c>
      <c r="D336" s="66" t="s">
        <v>226</v>
      </c>
      <c r="E336" s="66">
        <v>0.0</v>
      </c>
      <c r="F336" s="66" t="s">
        <v>228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2">
        <f t="shared" si="2"/>
        <v>5.6478</v>
      </c>
      <c r="L336" s="82">
        <f t="shared" si="3"/>
        <v>2.9033</v>
      </c>
    </row>
    <row r="337">
      <c r="A337" s="83">
        <v>44655.0</v>
      </c>
      <c r="B337" s="83">
        <v>44655.0</v>
      </c>
      <c r="C337" s="66">
        <v>2012.0</v>
      </c>
      <c r="D337" s="66" t="s">
        <v>221</v>
      </c>
      <c r="E337" s="66">
        <v>0.0</v>
      </c>
      <c r="F337" s="66" t="s">
        <v>227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2">
        <f t="shared" si="2"/>
        <v>0.3645</v>
      </c>
      <c r="L337" s="82">
        <f t="shared" si="3"/>
        <v>0.1121</v>
      </c>
    </row>
    <row r="338">
      <c r="A338" s="83">
        <v>44655.0</v>
      </c>
      <c r="B338" s="83">
        <v>44655.0</v>
      </c>
      <c r="C338" s="66">
        <v>2004.0</v>
      </c>
      <c r="D338" s="66" t="s">
        <v>226</v>
      </c>
      <c r="E338" s="66">
        <v>1.0</v>
      </c>
      <c r="F338" s="66" t="s">
        <v>227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2">
        <f t="shared" si="2"/>
        <v>1.6366</v>
      </c>
      <c r="L338" s="82">
        <f t="shared" si="3"/>
        <v>0.7612</v>
      </c>
    </row>
    <row r="339">
      <c r="A339" s="83">
        <v>44655.0</v>
      </c>
      <c r="B339" s="83">
        <v>44655.0</v>
      </c>
      <c r="C339" s="66">
        <v>2030.0</v>
      </c>
      <c r="D339" s="66" t="s">
        <v>226</v>
      </c>
      <c r="E339" s="66">
        <v>0.0</v>
      </c>
      <c r="F339" s="66" t="s">
        <v>227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2">
        <f t="shared" si="2"/>
        <v>0.7107</v>
      </c>
      <c r="L339" s="82">
        <f t="shared" si="3"/>
        <v>0.2778</v>
      </c>
    </row>
    <row r="340">
      <c r="A340" s="83">
        <v>44655.0</v>
      </c>
      <c r="B340" s="83">
        <v>44655.0</v>
      </c>
      <c r="C340" s="66">
        <v>2087.0</v>
      </c>
      <c r="D340" s="66" t="s">
        <v>221</v>
      </c>
      <c r="E340" s="66">
        <v>0.0</v>
      </c>
      <c r="F340" s="66" t="s">
        <v>228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2">
        <f t="shared" si="2"/>
        <v>5.977</v>
      </c>
      <c r="L340" s="82">
        <f t="shared" si="3"/>
        <v>2.3339</v>
      </c>
    </row>
    <row r="341">
      <c r="A341" s="83">
        <v>44655.0</v>
      </c>
      <c r="B341" s="83">
        <v>44655.0</v>
      </c>
      <c r="C341" s="66">
        <v>2012.0</v>
      </c>
      <c r="D341" s="66" t="s">
        <v>221</v>
      </c>
      <c r="E341" s="66">
        <v>0.0</v>
      </c>
      <c r="F341" s="66" t="s">
        <v>228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2">
        <f t="shared" si="2"/>
        <v>4.4054</v>
      </c>
      <c r="L341" s="82">
        <f t="shared" si="3"/>
        <v>1.705</v>
      </c>
    </row>
    <row r="342">
      <c r="A342" s="83">
        <v>44655.0</v>
      </c>
      <c r="B342" s="83">
        <v>44655.0</v>
      </c>
      <c r="C342" s="66">
        <v>2023.0</v>
      </c>
      <c r="D342" s="66" t="s">
        <v>226</v>
      </c>
      <c r="E342" s="66">
        <v>0.0</v>
      </c>
      <c r="F342" s="66" t="s">
        <v>227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2">
        <f t="shared" si="2"/>
        <v>0.3659</v>
      </c>
      <c r="L342" s="82">
        <f t="shared" si="3"/>
        <v>0.2507</v>
      </c>
    </row>
    <row r="343">
      <c r="A343" s="83">
        <v>44655.0</v>
      </c>
      <c r="B343" s="83">
        <v>44655.0</v>
      </c>
      <c r="C343" s="66">
        <v>2021.0</v>
      </c>
      <c r="D343" s="66" t="s">
        <v>226</v>
      </c>
      <c r="E343" s="66">
        <v>0.0</v>
      </c>
      <c r="F343" s="66" t="s">
        <v>227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2">
        <f t="shared" si="2"/>
        <v>0.5032</v>
      </c>
      <c r="L343" s="82">
        <f t="shared" si="3"/>
        <v>0.1934</v>
      </c>
    </row>
    <row r="344">
      <c r="A344" s="83">
        <v>44655.0</v>
      </c>
      <c r="B344" s="83">
        <v>44655.0</v>
      </c>
      <c r="C344" s="66">
        <v>2006.0</v>
      </c>
      <c r="D344" s="66" t="s">
        <v>226</v>
      </c>
      <c r="E344" s="66">
        <v>1.0</v>
      </c>
      <c r="F344" s="66" t="s">
        <v>227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2">
        <f t="shared" si="2"/>
        <v>1.399</v>
      </c>
      <c r="L344" s="82">
        <f t="shared" si="3"/>
        <v>0.4543</v>
      </c>
    </row>
    <row r="345">
      <c r="A345" s="83">
        <v>44655.0</v>
      </c>
      <c r="B345" s="83">
        <v>44655.0</v>
      </c>
      <c r="C345" s="66">
        <v>2092.0</v>
      </c>
      <c r="D345" s="66" t="s">
        <v>226</v>
      </c>
      <c r="E345" s="66">
        <v>1.0</v>
      </c>
      <c r="F345" s="66" t="s">
        <v>227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2">
        <f t="shared" si="2"/>
        <v>0.5546</v>
      </c>
      <c r="L345" s="82">
        <f t="shared" si="3"/>
        <v>0.4623</v>
      </c>
    </row>
    <row r="346">
      <c r="A346" s="83">
        <v>44655.0</v>
      </c>
      <c r="B346" s="83">
        <v>44655.0</v>
      </c>
      <c r="C346" s="66">
        <v>2090.0</v>
      </c>
      <c r="D346" s="66" t="s">
        <v>226</v>
      </c>
      <c r="E346" s="66">
        <v>0.0</v>
      </c>
      <c r="F346" s="66" t="s">
        <v>227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2">
        <f t="shared" si="2"/>
        <v>0.7822</v>
      </c>
      <c r="L346" s="82">
        <f t="shared" si="3"/>
        <v>0.131</v>
      </c>
      <c r="N346" s="66" t="s">
        <v>233</v>
      </c>
    </row>
    <row r="347">
      <c r="A347" s="83">
        <v>44655.0</v>
      </c>
      <c r="B347" s="83">
        <v>44655.0</v>
      </c>
      <c r="C347" s="66">
        <v>2089.0</v>
      </c>
      <c r="D347" s="66" t="s">
        <v>226</v>
      </c>
      <c r="E347" s="66">
        <v>1.0</v>
      </c>
      <c r="F347" s="66" t="s">
        <v>227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2">
        <f t="shared" si="2"/>
        <v>1.167</v>
      </c>
      <c r="L347" s="82">
        <f t="shared" si="3"/>
        <v>0.8457</v>
      </c>
    </row>
    <row r="348">
      <c r="A348" s="83">
        <v>44655.0</v>
      </c>
      <c r="B348" s="83">
        <v>44655.0</v>
      </c>
      <c r="C348" s="66">
        <v>2020.0</v>
      </c>
      <c r="D348" s="66" t="s">
        <v>226</v>
      </c>
      <c r="E348" s="66">
        <v>0.0</v>
      </c>
      <c r="F348" s="66" t="s">
        <v>227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2">
        <f t="shared" si="2"/>
        <v>1.598</v>
      </c>
      <c r="L348" s="82">
        <f t="shared" si="3"/>
        <v>0.45</v>
      </c>
    </row>
    <row r="349">
      <c r="A349" s="83">
        <v>44655.0</v>
      </c>
      <c r="B349" s="83">
        <v>44655.0</v>
      </c>
      <c r="C349" s="66">
        <v>2024.0</v>
      </c>
      <c r="D349" s="66" t="s">
        <v>221</v>
      </c>
      <c r="E349" s="66">
        <v>0.0</v>
      </c>
      <c r="F349" s="66" t="s">
        <v>228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2">
        <f t="shared" si="2"/>
        <v>7.0312</v>
      </c>
      <c r="L349" s="82">
        <f t="shared" si="3"/>
        <v>3.2516</v>
      </c>
    </row>
    <row r="350">
      <c r="A350" s="83">
        <v>44655.0</v>
      </c>
      <c r="B350" s="83">
        <v>44655.0</v>
      </c>
      <c r="C350" s="66">
        <v>2012.0</v>
      </c>
      <c r="D350" s="66" t="s">
        <v>226</v>
      </c>
      <c r="E350" s="66">
        <v>0.0</v>
      </c>
      <c r="F350" s="66" t="s">
        <v>227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2">
        <f t="shared" si="2"/>
        <v>0.6515</v>
      </c>
      <c r="L350" s="82">
        <f t="shared" si="3"/>
        <v>0.2434</v>
      </c>
    </row>
    <row r="351">
      <c r="A351" s="83">
        <v>44655.0</v>
      </c>
      <c r="B351" s="83">
        <v>44655.0</v>
      </c>
      <c r="C351" s="66">
        <v>2092.0</v>
      </c>
      <c r="D351" s="66" t="s">
        <v>226</v>
      </c>
      <c r="E351" s="66">
        <v>0.0</v>
      </c>
      <c r="F351" s="66" t="s">
        <v>228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2">
        <f t="shared" si="2"/>
        <v>0.0288</v>
      </c>
      <c r="L351" s="82">
        <f t="shared" si="3"/>
        <v>0.175</v>
      </c>
    </row>
    <row r="352">
      <c r="A352" s="83">
        <v>44655.0</v>
      </c>
      <c r="B352" s="83">
        <v>44655.0</v>
      </c>
      <c r="C352" s="66">
        <v>2020.0</v>
      </c>
      <c r="D352" s="66" t="s">
        <v>226</v>
      </c>
      <c r="E352" s="66">
        <v>1.0</v>
      </c>
      <c r="F352" s="66" t="s">
        <v>227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2">
        <f t="shared" si="2"/>
        <v>0.905</v>
      </c>
      <c r="L352" s="82">
        <f t="shared" si="3"/>
        <v>0.38</v>
      </c>
    </row>
    <row r="353">
      <c r="A353" s="83">
        <v>44655.0</v>
      </c>
      <c r="B353" s="83">
        <v>44655.0</v>
      </c>
      <c r="C353" s="66">
        <v>2087.0</v>
      </c>
      <c r="D353" s="66" t="s">
        <v>221</v>
      </c>
      <c r="E353" s="66">
        <v>1.0</v>
      </c>
      <c r="F353" s="66" t="s">
        <v>227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2">
        <f t="shared" si="2"/>
        <v>1.7113</v>
      </c>
      <c r="L353" s="82">
        <f t="shared" si="3"/>
        <v>0.8374</v>
      </c>
    </row>
    <row r="354">
      <c r="A354" s="83">
        <v>44655.0</v>
      </c>
      <c r="B354" s="83">
        <v>44655.0</v>
      </c>
      <c r="C354" s="66">
        <v>2014.0</v>
      </c>
      <c r="D354" s="66" t="s">
        <v>226</v>
      </c>
      <c r="E354" s="66">
        <v>0.0</v>
      </c>
      <c r="F354" s="66" t="s">
        <v>228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2">
        <f t="shared" si="2"/>
        <v>4.6911</v>
      </c>
      <c r="L354" s="82">
        <f t="shared" si="3"/>
        <v>1.7954</v>
      </c>
    </row>
    <row r="355">
      <c r="A355" s="83">
        <v>44655.0</v>
      </c>
      <c r="B355" s="83">
        <v>44655.0</v>
      </c>
      <c r="C355" s="66">
        <v>2088.0</v>
      </c>
      <c r="D355" s="66" t="s">
        <v>221</v>
      </c>
      <c r="E355" s="66">
        <v>0.0</v>
      </c>
      <c r="F355" s="66" t="s">
        <v>228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2">
        <f t="shared" si="2"/>
        <v>8.3937</v>
      </c>
      <c r="L355" s="82">
        <f t="shared" si="3"/>
        <v>3.5818</v>
      </c>
    </row>
    <row r="356">
      <c r="A356" s="83">
        <v>44655.0</v>
      </c>
      <c r="B356" s="83">
        <v>44655.0</v>
      </c>
      <c r="C356" s="66">
        <v>2006.0</v>
      </c>
      <c r="D356" s="66" t="s">
        <v>226</v>
      </c>
      <c r="E356" s="66">
        <v>0.0</v>
      </c>
      <c r="F356" s="66" t="s">
        <v>227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2">
        <f t="shared" si="2"/>
        <v>1.5706</v>
      </c>
      <c r="L356" s="82">
        <f t="shared" si="3"/>
        <v>0.5778</v>
      </c>
    </row>
    <row r="357">
      <c r="A357" s="83">
        <v>44655.0</v>
      </c>
      <c r="B357" s="83">
        <v>44655.0</v>
      </c>
      <c r="C357" s="66">
        <v>2004.0</v>
      </c>
      <c r="D357" s="66" t="s">
        <v>226</v>
      </c>
      <c r="E357" s="66">
        <v>0.0</v>
      </c>
      <c r="F357" s="66" t="s">
        <v>227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2">
        <f t="shared" si="2"/>
        <v>1.8209</v>
      </c>
      <c r="L357" s="82">
        <f t="shared" si="3"/>
        <v>0.5245</v>
      </c>
    </row>
    <row r="358">
      <c r="A358" s="83">
        <v>44655.0</v>
      </c>
      <c r="B358" s="83">
        <v>44655.0</v>
      </c>
      <c r="C358" s="66">
        <v>2027.0</v>
      </c>
      <c r="D358" s="66" t="s">
        <v>226</v>
      </c>
      <c r="E358" s="66">
        <v>0.0</v>
      </c>
      <c r="F358" s="66" t="s">
        <v>227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2">
        <f t="shared" si="2"/>
        <v>0.0585</v>
      </c>
      <c r="L358" s="82">
        <f t="shared" si="3"/>
        <v>0.1871</v>
      </c>
    </row>
    <row r="359">
      <c r="A359" s="83">
        <v>44655.0</v>
      </c>
      <c r="B359" s="83">
        <v>44655.0</v>
      </c>
      <c r="C359" s="66">
        <v>2029.0</v>
      </c>
      <c r="D359" s="66" t="s">
        <v>226</v>
      </c>
      <c r="E359" s="66">
        <v>0.0</v>
      </c>
      <c r="F359" s="66" t="s">
        <v>228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2">
        <f t="shared" si="2"/>
        <v>5.2698</v>
      </c>
      <c r="L359" s="82">
        <f t="shared" si="3"/>
        <v>2.411</v>
      </c>
    </row>
    <row r="360">
      <c r="A360" s="83">
        <v>44655.0</v>
      </c>
      <c r="B360" s="83">
        <v>44655.0</v>
      </c>
      <c r="C360" s="66">
        <v>1478.0</v>
      </c>
      <c r="D360" s="66" t="s">
        <v>221</v>
      </c>
      <c r="E360" s="66">
        <v>0.0</v>
      </c>
      <c r="F360" s="66" t="s">
        <v>228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2">
        <f t="shared" si="2"/>
        <v>4.6368</v>
      </c>
      <c r="L360" s="82">
        <f t="shared" si="3"/>
        <v>1.6959</v>
      </c>
    </row>
    <row r="361">
      <c r="A361" s="83">
        <v>44655.0</v>
      </c>
      <c r="B361" s="83">
        <v>44655.0</v>
      </c>
      <c r="C361" s="66">
        <v>2030.0</v>
      </c>
      <c r="D361" s="66" t="s">
        <v>226</v>
      </c>
      <c r="E361" s="66">
        <v>0.0</v>
      </c>
      <c r="F361" s="66" t="s">
        <v>228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2">
        <f t="shared" si="2"/>
        <v>4.0475</v>
      </c>
      <c r="L361" s="82">
        <f t="shared" si="3"/>
        <v>2.1727</v>
      </c>
    </row>
    <row r="362">
      <c r="A362" s="83">
        <v>44655.0</v>
      </c>
      <c r="B362" s="83">
        <v>44655.0</v>
      </c>
      <c r="C362" s="66">
        <v>2023.0</v>
      </c>
      <c r="D362" s="66" t="s">
        <v>226</v>
      </c>
      <c r="E362" s="66">
        <v>1.0</v>
      </c>
      <c r="F362" s="66" t="s">
        <v>227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2">
        <f t="shared" si="2"/>
        <v>1.9212</v>
      </c>
      <c r="L362" s="82">
        <f t="shared" si="3"/>
        <v>0.892</v>
      </c>
    </row>
    <row r="363">
      <c r="A363" s="83">
        <v>44655.0</v>
      </c>
      <c r="B363" s="83">
        <v>44655.0</v>
      </c>
      <c r="C363" s="66">
        <v>2031.0</v>
      </c>
      <c r="D363" s="66" t="s">
        <v>58</v>
      </c>
      <c r="E363" s="66">
        <v>1.0</v>
      </c>
      <c r="F363" s="66" t="s">
        <v>227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2">
        <f t="shared" si="2"/>
        <v>0.9616</v>
      </c>
      <c r="L363" s="82">
        <f t="shared" si="3"/>
        <v>0.5162</v>
      </c>
    </row>
    <row r="364">
      <c r="A364" s="83">
        <v>44655.0</v>
      </c>
      <c r="B364" s="83">
        <v>44655.0</v>
      </c>
      <c r="C364" s="66">
        <v>2014.0</v>
      </c>
      <c r="D364" s="66" t="s">
        <v>226</v>
      </c>
      <c r="E364" s="66">
        <v>0.0</v>
      </c>
      <c r="F364" s="66" t="s">
        <v>227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2">
        <f t="shared" si="2"/>
        <v>1.489</v>
      </c>
      <c r="L364" s="82">
        <f t="shared" si="3"/>
        <v>0.36</v>
      </c>
    </row>
    <row r="365">
      <c r="A365" s="83">
        <v>44655.0</v>
      </c>
      <c r="B365" s="83">
        <v>44655.0</v>
      </c>
      <c r="C365" s="66">
        <v>2087.0</v>
      </c>
      <c r="D365" s="66" t="s">
        <v>226</v>
      </c>
      <c r="E365" s="66">
        <v>0.0</v>
      </c>
      <c r="F365" s="66" t="s">
        <v>228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2">
        <f t="shared" si="2"/>
        <v>4.799</v>
      </c>
      <c r="L365" s="82">
        <f t="shared" si="3"/>
        <v>1.5257</v>
      </c>
      <c r="N365" s="66" t="s">
        <v>233</v>
      </c>
    </row>
    <row r="366">
      <c r="A366" s="83">
        <v>44655.0</v>
      </c>
      <c r="B366" s="83">
        <v>44655.0</v>
      </c>
      <c r="C366" s="66">
        <v>2030.0</v>
      </c>
      <c r="D366" s="66" t="s">
        <v>226</v>
      </c>
      <c r="E366" s="66">
        <v>1.0</v>
      </c>
      <c r="F366" s="66" t="s">
        <v>227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2">
        <f t="shared" si="2"/>
        <v>0.7462</v>
      </c>
      <c r="L366" s="82">
        <f t="shared" si="3"/>
        <v>0.5206</v>
      </c>
    </row>
    <row r="367">
      <c r="A367" s="83">
        <v>44655.0</v>
      </c>
      <c r="B367" s="83">
        <v>44655.0</v>
      </c>
      <c r="C367" s="66">
        <v>2026.0</v>
      </c>
      <c r="D367" s="66" t="s">
        <v>226</v>
      </c>
      <c r="E367" s="66">
        <v>1.0</v>
      </c>
      <c r="F367" s="66" t="s">
        <v>227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2">
        <f t="shared" si="2"/>
        <v>-0.2547</v>
      </c>
      <c r="L367" s="82">
        <f t="shared" si="3"/>
        <v>0.0745</v>
      </c>
    </row>
    <row r="368">
      <c r="A368" s="83">
        <v>44655.0</v>
      </c>
      <c r="B368" s="83">
        <v>44655.0</v>
      </c>
      <c r="C368" s="66">
        <v>2089.0</v>
      </c>
      <c r="D368" s="66" t="s">
        <v>226</v>
      </c>
      <c r="E368" s="66">
        <v>1.0</v>
      </c>
      <c r="F368" s="66" t="s">
        <v>228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2">
        <f t="shared" si="2"/>
        <v>7.8996</v>
      </c>
      <c r="L368" s="82">
        <f t="shared" si="3"/>
        <v>4.1239</v>
      </c>
    </row>
    <row r="369">
      <c r="A369" s="83">
        <v>44655.0</v>
      </c>
      <c r="B369" s="83">
        <v>44655.0</v>
      </c>
      <c r="C369" s="66">
        <v>2029.0</v>
      </c>
      <c r="D369" s="66" t="s">
        <v>226</v>
      </c>
      <c r="E369" s="66">
        <v>1.0</v>
      </c>
      <c r="F369" s="66" t="s">
        <v>228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2">
        <f t="shared" si="2"/>
        <v>2.3791</v>
      </c>
      <c r="L369" s="82">
        <f t="shared" si="3"/>
        <v>1.4577</v>
      </c>
    </row>
    <row r="370">
      <c r="A370" s="83">
        <v>44655.0</v>
      </c>
      <c r="B370" s="83">
        <v>44655.0</v>
      </c>
      <c r="C370" s="66">
        <v>2014.0</v>
      </c>
      <c r="D370" s="66" t="s">
        <v>221</v>
      </c>
      <c r="E370" s="66">
        <v>0.0</v>
      </c>
      <c r="F370" s="66" t="s">
        <v>227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2">
        <f t="shared" si="2"/>
        <v>0.9896</v>
      </c>
      <c r="L370" s="82">
        <f t="shared" si="3"/>
        <v>0.3204</v>
      </c>
    </row>
    <row r="371">
      <c r="A371" s="83">
        <v>44655.0</v>
      </c>
      <c r="B371" s="83">
        <v>44655.0</v>
      </c>
      <c r="C371" s="66">
        <v>2375.0</v>
      </c>
      <c r="D371" s="66" t="s">
        <v>226</v>
      </c>
      <c r="E371" s="66">
        <v>0.0</v>
      </c>
      <c r="F371" s="66" t="s">
        <v>227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2">
        <f t="shared" si="2"/>
        <v>0.8258</v>
      </c>
      <c r="L371" s="82">
        <f t="shared" si="3"/>
        <v>0.3627</v>
      </c>
      <c r="M371" s="66">
        <v>2.0</v>
      </c>
    </row>
    <row r="372">
      <c r="A372" s="83">
        <v>44655.0</v>
      </c>
      <c r="B372" s="83">
        <v>44655.0</v>
      </c>
      <c r="C372" s="66">
        <v>2365.0</v>
      </c>
      <c r="D372" s="66" t="s">
        <v>226</v>
      </c>
      <c r="E372" s="66">
        <v>1.0</v>
      </c>
      <c r="F372" s="66" t="s">
        <v>227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2">
        <f t="shared" si="2"/>
        <v>0.3683</v>
      </c>
      <c r="L372" s="82">
        <f t="shared" si="3"/>
        <v>0.21</v>
      </c>
      <c r="M372" s="66">
        <v>5.0</v>
      </c>
    </row>
    <row r="373">
      <c r="A373" s="83">
        <v>44655.0</v>
      </c>
      <c r="B373" s="83">
        <v>44655.0</v>
      </c>
      <c r="C373" s="66">
        <v>2008.0</v>
      </c>
      <c r="D373" s="66" t="s">
        <v>221</v>
      </c>
      <c r="E373" s="66">
        <v>0.0</v>
      </c>
      <c r="F373" s="66" t="s">
        <v>227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2">
        <f t="shared" si="2"/>
        <v>0.3017</v>
      </c>
      <c r="L373" s="82">
        <f t="shared" si="3"/>
        <v>0.1415</v>
      </c>
      <c r="M373" s="66">
        <v>4.0</v>
      </c>
    </row>
    <row r="374">
      <c r="A374" s="83">
        <v>44655.0</v>
      </c>
      <c r="B374" s="83">
        <v>44655.0</v>
      </c>
      <c r="C374" s="66">
        <v>2346.0</v>
      </c>
      <c r="D374" s="66" t="s">
        <v>226</v>
      </c>
      <c r="E374" s="66">
        <v>1.0</v>
      </c>
      <c r="F374" s="66" t="s">
        <v>227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2">
        <f t="shared" si="2"/>
        <v>1.9624</v>
      </c>
      <c r="L374" s="82">
        <f t="shared" si="3"/>
        <v>1.115</v>
      </c>
      <c r="M374" s="66">
        <v>3.0</v>
      </c>
    </row>
    <row r="375">
      <c r="A375" s="83">
        <v>44655.0</v>
      </c>
      <c r="B375" s="83">
        <v>44655.0</v>
      </c>
      <c r="C375" s="66">
        <v>2370.0</v>
      </c>
      <c r="D375" s="66" t="s">
        <v>226</v>
      </c>
      <c r="E375" s="66">
        <v>1.0</v>
      </c>
      <c r="F375" s="66" t="s">
        <v>227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2">
        <f t="shared" si="2"/>
        <v>0.9396</v>
      </c>
      <c r="L375" s="82">
        <f t="shared" si="3"/>
        <v>0.5584</v>
      </c>
      <c r="M375" s="66">
        <v>4.0</v>
      </c>
    </row>
    <row r="376">
      <c r="A376" s="83">
        <v>44655.0</v>
      </c>
      <c r="B376" s="83">
        <v>44655.0</v>
      </c>
      <c r="C376" s="66">
        <v>2367.0</v>
      </c>
      <c r="D376" s="66" t="s">
        <v>226</v>
      </c>
      <c r="E376" s="66">
        <v>0.0</v>
      </c>
      <c r="F376" s="66" t="s">
        <v>227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2">
        <f t="shared" si="2"/>
        <v>0.1937</v>
      </c>
      <c r="L376" s="82">
        <f t="shared" si="3"/>
        <v>0.097</v>
      </c>
      <c r="M376" s="66">
        <v>2.0</v>
      </c>
    </row>
    <row r="377">
      <c r="A377" s="83">
        <v>44655.0</v>
      </c>
      <c r="B377" s="83">
        <v>44655.0</v>
      </c>
      <c r="C377" s="66">
        <v>2378.0</v>
      </c>
      <c r="D377" s="66" t="s">
        <v>226</v>
      </c>
      <c r="E377" s="66">
        <v>1.0</v>
      </c>
      <c r="F377" s="66" t="s">
        <v>227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2">
        <f t="shared" si="2"/>
        <v>0.4962</v>
      </c>
      <c r="L377" s="82">
        <f t="shared" si="3"/>
        <v>0.275</v>
      </c>
      <c r="M377" s="66">
        <v>5.0</v>
      </c>
    </row>
    <row r="378">
      <c r="A378" s="83">
        <v>44655.0</v>
      </c>
      <c r="B378" s="83">
        <v>44655.0</v>
      </c>
      <c r="C378" s="66">
        <v>2347.0</v>
      </c>
      <c r="D378" s="66" t="s">
        <v>226</v>
      </c>
      <c r="E378" s="66">
        <v>0.0</v>
      </c>
      <c r="F378" s="66" t="s">
        <v>227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2">
        <f t="shared" si="2"/>
        <v>0.3039</v>
      </c>
      <c r="L378" s="82">
        <f t="shared" si="3"/>
        <v>0.1391</v>
      </c>
      <c r="M378" s="66">
        <v>1.0</v>
      </c>
    </row>
    <row r="379">
      <c r="A379" s="83">
        <v>44655.0</v>
      </c>
      <c r="B379" s="83">
        <v>44655.0</v>
      </c>
      <c r="C379" s="66">
        <v>2024.0</v>
      </c>
      <c r="D379" s="66" t="s">
        <v>221</v>
      </c>
      <c r="E379" s="66">
        <v>1.0</v>
      </c>
      <c r="F379" s="66" t="s">
        <v>227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2">
        <f t="shared" si="2"/>
        <v>1.1705</v>
      </c>
      <c r="L379" s="82">
        <f t="shared" si="3"/>
        <v>0.661</v>
      </c>
      <c r="M379" s="66">
        <v>1.0</v>
      </c>
    </row>
    <row r="380">
      <c r="A380" s="83">
        <v>44655.0</v>
      </c>
      <c r="B380" s="83">
        <v>44655.0</v>
      </c>
      <c r="C380" s="66">
        <v>2007.0</v>
      </c>
      <c r="D380" s="66" t="s">
        <v>221</v>
      </c>
      <c r="E380" s="66">
        <v>0.0</v>
      </c>
      <c r="F380" s="66" t="s">
        <v>227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2">
        <f t="shared" si="2"/>
        <v>0.5771</v>
      </c>
      <c r="L380" s="82">
        <f t="shared" si="3"/>
        <v>0.2784</v>
      </c>
      <c r="M380" s="66">
        <v>1.0</v>
      </c>
    </row>
    <row r="381">
      <c r="A381" s="83">
        <v>44655.0</v>
      </c>
      <c r="B381" s="83">
        <v>44655.0</v>
      </c>
      <c r="C381" s="66">
        <v>2009.0</v>
      </c>
      <c r="D381" s="66" t="s">
        <v>226</v>
      </c>
      <c r="E381" s="66">
        <v>1.0</v>
      </c>
      <c r="F381" s="66" t="s">
        <v>227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2">
        <f t="shared" si="2"/>
        <v>0.7682</v>
      </c>
      <c r="L381" s="82">
        <f t="shared" si="3"/>
        <v>0.4449</v>
      </c>
      <c r="M381" s="66">
        <v>3.0</v>
      </c>
    </row>
    <row r="382">
      <c r="A382" s="83">
        <v>44655.0</v>
      </c>
      <c r="B382" s="83">
        <v>44655.0</v>
      </c>
      <c r="C382" s="66">
        <v>2383.0</v>
      </c>
      <c r="D382" s="66" t="s">
        <v>226</v>
      </c>
      <c r="E382" s="66">
        <v>0.0</v>
      </c>
      <c r="F382" s="66" t="s">
        <v>227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2">
        <f t="shared" si="2"/>
        <v>0.5252</v>
      </c>
      <c r="L382" s="82">
        <f t="shared" si="3"/>
        <v>0.2723</v>
      </c>
      <c r="M382" s="66">
        <v>5.0</v>
      </c>
    </row>
    <row r="383">
      <c r="A383" s="83">
        <v>44655.0</v>
      </c>
      <c r="B383" s="83">
        <v>44655.0</v>
      </c>
      <c r="C383" s="66">
        <v>2331.0</v>
      </c>
      <c r="D383" s="66" t="s">
        <v>226</v>
      </c>
      <c r="E383" s="66">
        <v>1.0</v>
      </c>
      <c r="F383" s="66" t="s">
        <v>227</v>
      </c>
      <c r="G383" s="66">
        <f t="shared" si="10"/>
        <v>0</v>
      </c>
      <c r="H383" s="66">
        <v>7.292</v>
      </c>
      <c r="I383" s="66">
        <v>8.8126</v>
      </c>
      <c r="J383" s="82">
        <f>7.292+0.99</f>
        <v>8.282</v>
      </c>
      <c r="K383" s="82">
        <f t="shared" si="2"/>
        <v>1.5206</v>
      </c>
      <c r="L383" s="82">
        <f t="shared" si="3"/>
        <v>0.99</v>
      </c>
      <c r="M383" s="66">
        <v>2.0</v>
      </c>
    </row>
    <row r="384">
      <c r="A384" s="83">
        <v>44655.0</v>
      </c>
      <c r="B384" s="83">
        <v>44655.0</v>
      </c>
      <c r="C384" s="66">
        <v>2009.0</v>
      </c>
      <c r="D384" s="66" t="s">
        <v>226</v>
      </c>
      <c r="E384" s="66">
        <v>0.0</v>
      </c>
      <c r="F384" s="66" t="s">
        <v>227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2">
        <f t="shared" si="2"/>
        <v>0.4715</v>
      </c>
      <c r="L384" s="82">
        <f t="shared" si="3"/>
        <v>0.2208</v>
      </c>
      <c r="M384" s="66">
        <v>3.0</v>
      </c>
    </row>
    <row r="385">
      <c r="A385" s="83">
        <v>44655.0</v>
      </c>
      <c r="B385" s="83">
        <v>44655.0</v>
      </c>
      <c r="C385" s="66">
        <v>2347.0</v>
      </c>
      <c r="D385" s="66" t="s">
        <v>226</v>
      </c>
      <c r="E385" s="66">
        <v>0.0</v>
      </c>
      <c r="F385" s="66" t="s">
        <v>227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2">
        <f t="shared" si="2"/>
        <v>0.9749</v>
      </c>
      <c r="L385" s="82">
        <f t="shared" si="3"/>
        <v>0.5837</v>
      </c>
      <c r="M385" s="66">
        <v>4.0</v>
      </c>
    </row>
    <row r="386">
      <c r="A386" s="83">
        <v>44655.0</v>
      </c>
      <c r="B386" s="83">
        <v>44655.0</v>
      </c>
      <c r="C386" s="66">
        <v>2092.0</v>
      </c>
      <c r="D386" s="66" t="s">
        <v>221</v>
      </c>
      <c r="E386" s="66">
        <v>1.0</v>
      </c>
      <c r="F386" s="66" t="s">
        <v>227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2">
        <f t="shared" si="2"/>
        <v>0.7205</v>
      </c>
      <c r="L386" s="82">
        <f t="shared" si="3"/>
        <v>0.4095</v>
      </c>
      <c r="M386" s="66">
        <v>2.0</v>
      </c>
    </row>
    <row r="387">
      <c r="A387" s="83">
        <v>44655.0</v>
      </c>
      <c r="B387" s="83">
        <v>44655.0</v>
      </c>
      <c r="C387" s="66">
        <v>2301.0</v>
      </c>
      <c r="D387" s="66" t="s">
        <v>226</v>
      </c>
      <c r="E387" s="66">
        <v>1.0</v>
      </c>
      <c r="F387" s="66" t="s">
        <v>227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2">
        <f t="shared" si="2"/>
        <v>1.2694</v>
      </c>
      <c r="L387" s="82">
        <f t="shared" si="3"/>
        <v>0.7842</v>
      </c>
      <c r="M387" s="66">
        <v>4.0</v>
      </c>
    </row>
    <row r="388">
      <c r="A388" s="83">
        <v>44655.0</v>
      </c>
      <c r="B388" s="83">
        <v>44655.0</v>
      </c>
      <c r="C388" s="66">
        <v>2372.0</v>
      </c>
      <c r="D388" s="66" t="s">
        <v>226</v>
      </c>
      <c r="E388" s="66">
        <v>1.0</v>
      </c>
      <c r="F388" s="66" t="s">
        <v>227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2">
        <f t="shared" si="2"/>
        <v>0.6581</v>
      </c>
      <c r="L388" s="82">
        <f t="shared" si="3"/>
        <v>0.3951</v>
      </c>
      <c r="M388" s="66">
        <v>3.0</v>
      </c>
    </row>
    <row r="389">
      <c r="A389" s="83">
        <v>44655.0</v>
      </c>
      <c r="B389" s="83">
        <v>44655.0</v>
      </c>
      <c r="C389" s="66">
        <v>2024.0</v>
      </c>
      <c r="D389" s="66" t="s">
        <v>221</v>
      </c>
      <c r="E389" s="66">
        <v>0.0</v>
      </c>
      <c r="F389" s="66" t="s">
        <v>227</v>
      </c>
      <c r="G389" s="66">
        <f t="shared" si="10"/>
        <v>0</v>
      </c>
      <c r="H389" s="66">
        <v>7.5075</v>
      </c>
      <c r="I389" s="66">
        <v>8.2267</v>
      </c>
      <c r="J389" s="82">
        <f>7.5075+0.344</f>
        <v>7.8515</v>
      </c>
      <c r="K389" s="82">
        <f t="shared" si="2"/>
        <v>0.7192</v>
      </c>
      <c r="L389" s="82">
        <f t="shared" si="3"/>
        <v>0.344</v>
      </c>
      <c r="M389" s="66">
        <v>1.0</v>
      </c>
    </row>
    <row r="390">
      <c r="A390" s="83">
        <v>44655.0</v>
      </c>
      <c r="B390" s="83">
        <v>44655.0</v>
      </c>
      <c r="C390" s="66">
        <v>2005.0</v>
      </c>
      <c r="D390" s="66" t="s">
        <v>221</v>
      </c>
      <c r="E390" s="66">
        <v>0.0</v>
      </c>
      <c r="F390" s="66" t="s">
        <v>227</v>
      </c>
      <c r="G390" s="66">
        <f t="shared" si="10"/>
        <v>0</v>
      </c>
      <c r="H390" s="66">
        <v>7.365</v>
      </c>
      <c r="I390" s="66">
        <v>8.3053</v>
      </c>
      <c r="J390" s="82">
        <f>7.365+0.432</f>
        <v>7.797</v>
      </c>
      <c r="K390" s="82">
        <f t="shared" si="2"/>
        <v>0.9403</v>
      </c>
      <c r="L390" s="82">
        <f t="shared" si="3"/>
        <v>0.432</v>
      </c>
      <c r="M390" s="66">
        <v>3.0</v>
      </c>
    </row>
    <row r="391">
      <c r="A391" s="83">
        <v>44655.0</v>
      </c>
      <c r="B391" s="83">
        <v>44655.0</v>
      </c>
      <c r="C391" s="66">
        <v>2377.0</v>
      </c>
      <c r="D391" s="66" t="s">
        <v>226</v>
      </c>
      <c r="E391" s="66">
        <v>1.0</v>
      </c>
      <c r="F391" s="66" t="s">
        <v>227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2">
        <f t="shared" si="2"/>
        <v>1.4858</v>
      </c>
      <c r="L391" s="82">
        <f t="shared" si="3"/>
        <v>0.8892</v>
      </c>
      <c r="M391" s="66">
        <v>5.0</v>
      </c>
    </row>
    <row r="392">
      <c r="A392" s="83">
        <v>44655.0</v>
      </c>
      <c r="B392" s="83">
        <v>44655.0</v>
      </c>
      <c r="C392" s="66">
        <v>2092.0</v>
      </c>
      <c r="D392" s="66" t="s">
        <v>221</v>
      </c>
      <c r="E392" s="66">
        <v>0.0</v>
      </c>
      <c r="F392" s="66" t="s">
        <v>228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2">
        <f t="shared" si="2"/>
        <v>0.8168</v>
      </c>
      <c r="L392" s="82">
        <f t="shared" si="3"/>
        <v>0.4707</v>
      </c>
      <c r="M392" s="66">
        <v>4.0</v>
      </c>
    </row>
    <row r="393">
      <c r="A393" s="83">
        <v>44655.0</v>
      </c>
      <c r="B393" s="83">
        <v>44655.0</v>
      </c>
      <c r="C393" s="66">
        <v>2369.0</v>
      </c>
      <c r="D393" s="66" t="s">
        <v>226</v>
      </c>
      <c r="E393" s="66">
        <v>1.0</v>
      </c>
      <c r="F393" s="66" t="s">
        <v>227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2">
        <f t="shared" si="2"/>
        <v>0.2492</v>
      </c>
      <c r="L393" s="82">
        <f t="shared" si="3"/>
        <v>0.1523</v>
      </c>
    </row>
    <row r="394">
      <c r="A394" s="83">
        <v>44655.0</v>
      </c>
      <c r="B394" s="83">
        <v>44655.0</v>
      </c>
      <c r="C394" s="66">
        <v>2026.0</v>
      </c>
      <c r="D394" s="66" t="s">
        <v>221</v>
      </c>
      <c r="E394" s="66">
        <v>0.0</v>
      </c>
      <c r="F394" s="66" t="s">
        <v>228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2">
        <f t="shared" si="2"/>
        <v>4.2781</v>
      </c>
      <c r="L394" s="82">
        <f t="shared" si="3"/>
        <v>2.1638</v>
      </c>
      <c r="M394" s="66">
        <v>1.0</v>
      </c>
    </row>
    <row r="395">
      <c r="A395" s="83">
        <v>44655.0</v>
      </c>
      <c r="B395" s="83">
        <v>44655.0</v>
      </c>
      <c r="C395" s="66">
        <v>2385.0</v>
      </c>
      <c r="D395" s="66" t="s">
        <v>221</v>
      </c>
      <c r="E395" s="66">
        <v>0.0</v>
      </c>
      <c r="F395" s="66" t="s">
        <v>228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2">
        <f t="shared" si="2"/>
        <v>5.8688</v>
      </c>
      <c r="L395" s="82">
        <f t="shared" si="3"/>
        <v>2.3717</v>
      </c>
    </row>
    <row r="396">
      <c r="A396" s="83">
        <v>44655.0</v>
      </c>
      <c r="B396" s="83">
        <v>44655.0</v>
      </c>
      <c r="C396" s="66">
        <v>2352.0</v>
      </c>
      <c r="D396" s="66" t="s">
        <v>226</v>
      </c>
      <c r="E396" s="66">
        <v>1.0</v>
      </c>
      <c r="F396" s="66" t="s">
        <v>227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2">
        <f t="shared" si="2"/>
        <v>0.8337</v>
      </c>
      <c r="L396" s="82">
        <f t="shared" si="3"/>
        <v>0.5422</v>
      </c>
    </row>
    <row r="397">
      <c r="A397" s="83">
        <v>44655.0</v>
      </c>
      <c r="B397" s="83">
        <v>44655.0</v>
      </c>
      <c r="C397" s="66">
        <v>2383.0</v>
      </c>
      <c r="D397" s="66" t="s">
        <v>226</v>
      </c>
      <c r="E397" s="66">
        <v>1.0</v>
      </c>
      <c r="F397" s="66" t="s">
        <v>227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2">
        <f t="shared" si="2"/>
        <v>1.5784</v>
      </c>
      <c r="L397" s="82">
        <f t="shared" si="3"/>
        <v>0.8892</v>
      </c>
      <c r="M397" s="66">
        <v>1.0</v>
      </c>
    </row>
    <row r="398">
      <c r="A398" s="83">
        <v>44655.0</v>
      </c>
      <c r="B398" s="83">
        <v>44655.0</v>
      </c>
      <c r="C398" s="66">
        <v>2354.0</v>
      </c>
      <c r="D398" s="66" t="s">
        <v>226</v>
      </c>
      <c r="E398" s="66">
        <v>1.0</v>
      </c>
      <c r="F398" s="66" t="s">
        <v>227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2">
        <f t="shared" si="2"/>
        <v>0.5134</v>
      </c>
      <c r="L398" s="82">
        <f t="shared" si="3"/>
        <v>0.315</v>
      </c>
    </row>
    <row r="399">
      <c r="A399" s="83">
        <v>44655.0</v>
      </c>
      <c r="B399" s="83">
        <v>44655.0</v>
      </c>
      <c r="C399" s="66">
        <v>2367.0</v>
      </c>
      <c r="D399" s="66" t="s">
        <v>226</v>
      </c>
      <c r="E399" s="66">
        <v>1.0</v>
      </c>
      <c r="F399" s="66" t="s">
        <v>227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2">
        <f t="shared" si="2"/>
        <v>0.5594</v>
      </c>
      <c r="L399" s="82">
        <f t="shared" si="3"/>
        <v>0.3525</v>
      </c>
      <c r="M399" s="66">
        <v>3.0</v>
      </c>
    </row>
    <row r="400">
      <c r="A400" s="83">
        <v>44655.0</v>
      </c>
      <c r="B400" s="83">
        <v>44655.0</v>
      </c>
      <c r="C400" s="66">
        <v>2093.0</v>
      </c>
      <c r="D400" s="66" t="s">
        <v>221</v>
      </c>
      <c r="E400" s="66">
        <v>0.0</v>
      </c>
      <c r="F400" s="66" t="s">
        <v>227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2">
        <f t="shared" si="2"/>
        <v>0.09</v>
      </c>
      <c r="L400" s="82">
        <f t="shared" si="3"/>
        <v>0.0477</v>
      </c>
    </row>
    <row r="401">
      <c r="A401" s="83">
        <v>44655.0</v>
      </c>
      <c r="B401" s="83">
        <v>44655.0</v>
      </c>
      <c r="C401" s="66">
        <v>2352.0</v>
      </c>
      <c r="D401" s="66" t="s">
        <v>226</v>
      </c>
      <c r="E401" s="66">
        <v>0.0</v>
      </c>
      <c r="F401" s="66" t="s">
        <v>227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2">
        <f t="shared" si="2"/>
        <v>0.0855</v>
      </c>
      <c r="L401" s="82">
        <f t="shared" si="3"/>
        <v>0.0476</v>
      </c>
      <c r="M401" s="66">
        <v>4.0</v>
      </c>
    </row>
    <row r="402">
      <c r="A402" s="83">
        <v>44655.0</v>
      </c>
      <c r="B402" s="83">
        <v>44655.0</v>
      </c>
      <c r="C402" s="66">
        <v>2384.0</v>
      </c>
      <c r="D402" s="66" t="s">
        <v>226</v>
      </c>
      <c r="E402" s="66">
        <v>0.0</v>
      </c>
      <c r="F402" s="66" t="s">
        <v>227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2">
        <f t="shared" si="2"/>
        <v>0.1344</v>
      </c>
      <c r="L402" s="82">
        <f t="shared" si="3"/>
        <v>0.0812</v>
      </c>
    </row>
    <row r="403">
      <c r="A403" s="83">
        <v>44655.0</v>
      </c>
      <c r="B403" s="83">
        <v>44655.0</v>
      </c>
      <c r="C403" s="66">
        <v>2029.0</v>
      </c>
      <c r="D403" s="66" t="s">
        <v>221</v>
      </c>
      <c r="E403" s="66">
        <v>0.0</v>
      </c>
      <c r="F403" s="66" t="s">
        <v>227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2">
        <f t="shared" si="2"/>
        <v>0.3111</v>
      </c>
      <c r="L403" s="82">
        <f t="shared" si="3"/>
        <v>0.1575</v>
      </c>
      <c r="M403" s="66">
        <v>4.0</v>
      </c>
    </row>
    <row r="404">
      <c r="A404" s="83">
        <v>44655.0</v>
      </c>
      <c r="B404" s="83">
        <v>44655.0</v>
      </c>
      <c r="C404" s="66">
        <v>2372.0</v>
      </c>
      <c r="D404" s="66" t="s">
        <v>226</v>
      </c>
      <c r="E404" s="66">
        <v>0.0</v>
      </c>
      <c r="F404" s="66" t="s">
        <v>227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2">
        <f t="shared" si="2"/>
        <v>0.3743</v>
      </c>
      <c r="L404" s="82">
        <f t="shared" si="3"/>
        <v>0.1611</v>
      </c>
    </row>
    <row r="405">
      <c r="A405" s="83">
        <v>44655.0</v>
      </c>
      <c r="B405" s="83">
        <v>44655.0</v>
      </c>
      <c r="C405" s="66">
        <v>2376.0</v>
      </c>
      <c r="D405" s="66" t="s">
        <v>226</v>
      </c>
      <c r="E405" s="66">
        <v>1.0</v>
      </c>
      <c r="F405" s="66" t="s">
        <v>227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2">
        <f t="shared" si="2"/>
        <v>1.0612</v>
      </c>
      <c r="L405" s="82">
        <f t="shared" si="3"/>
        <v>0.6585</v>
      </c>
    </row>
    <row r="406">
      <c r="A406" s="83">
        <v>44655.0</v>
      </c>
      <c r="B406" s="83">
        <v>44655.0</v>
      </c>
      <c r="C406" s="66">
        <v>2360.0</v>
      </c>
      <c r="D406" s="66" t="s">
        <v>226</v>
      </c>
      <c r="E406" s="66">
        <v>0.0</v>
      </c>
      <c r="F406" s="66" t="s">
        <v>227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2">
        <f t="shared" si="2"/>
        <v>0.7727</v>
      </c>
      <c r="L406" s="82">
        <f t="shared" si="3"/>
        <v>0.4023</v>
      </c>
    </row>
    <row r="407">
      <c r="A407" s="83">
        <v>44655.0</v>
      </c>
      <c r="B407" s="83">
        <v>44655.0</v>
      </c>
      <c r="C407" s="66">
        <v>2011.0</v>
      </c>
      <c r="D407" s="66" t="s">
        <v>226</v>
      </c>
      <c r="E407" s="66">
        <v>1.0</v>
      </c>
      <c r="F407" s="66" t="s">
        <v>227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2">
        <f t="shared" si="2"/>
        <v>2.2545</v>
      </c>
      <c r="L407" s="82">
        <f t="shared" si="3"/>
        <v>1.2089</v>
      </c>
      <c r="M407" s="66">
        <v>2.0</v>
      </c>
    </row>
    <row r="408">
      <c r="A408" s="83">
        <v>44655.0</v>
      </c>
      <c r="B408" s="83">
        <v>44655.0</v>
      </c>
      <c r="C408" s="66">
        <v>2379.0</v>
      </c>
      <c r="D408" s="66" t="s">
        <v>226</v>
      </c>
      <c r="E408" s="66">
        <v>0.0</v>
      </c>
      <c r="F408" s="66" t="s">
        <v>227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2">
        <f t="shared" si="2"/>
        <v>0.556</v>
      </c>
      <c r="L408" s="82">
        <f t="shared" si="3"/>
        <v>0.2666</v>
      </c>
      <c r="M408" s="66">
        <v>1.0</v>
      </c>
    </row>
    <row r="409">
      <c r="A409" s="83">
        <v>44655.0</v>
      </c>
      <c r="B409" s="83">
        <v>44655.0</v>
      </c>
      <c r="C409" s="66">
        <v>2026.0</v>
      </c>
      <c r="D409" s="66" t="s">
        <v>221</v>
      </c>
      <c r="E409" s="66">
        <v>0.0</v>
      </c>
      <c r="F409" s="66" t="s">
        <v>227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2">
        <f t="shared" si="2"/>
        <v>0.4904</v>
      </c>
      <c r="L409" s="82">
        <f t="shared" si="3"/>
        <v>0.251</v>
      </c>
    </row>
    <row r="410">
      <c r="A410" s="83">
        <v>44655.0</v>
      </c>
      <c r="B410" s="83">
        <v>44655.0</v>
      </c>
      <c r="C410" s="66">
        <v>2381.0</v>
      </c>
      <c r="D410" s="66" t="s">
        <v>226</v>
      </c>
      <c r="E410" s="66">
        <v>1.0</v>
      </c>
      <c r="F410" s="66" t="s">
        <v>228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2">
        <f t="shared" si="2"/>
        <v>4.3946</v>
      </c>
      <c r="L410" s="82">
        <f t="shared" si="3"/>
        <v>2.1538</v>
      </c>
    </row>
    <row r="411">
      <c r="A411" s="83">
        <v>44655.0</v>
      </c>
      <c r="B411" s="83">
        <v>44655.0</v>
      </c>
      <c r="C411" s="66">
        <v>2346.0</v>
      </c>
      <c r="D411" s="66" t="s">
        <v>226</v>
      </c>
      <c r="E411" s="66">
        <v>0.0</v>
      </c>
      <c r="F411" s="66" t="s">
        <v>227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2">
        <f t="shared" si="2"/>
        <v>0.1513</v>
      </c>
      <c r="L411" s="82">
        <f t="shared" si="3"/>
        <v>0.0762</v>
      </c>
    </row>
    <row r="412">
      <c r="A412" s="83">
        <v>44655.0</v>
      </c>
      <c r="B412" s="83">
        <v>44655.0</v>
      </c>
      <c r="C412" s="66">
        <v>2380.0</v>
      </c>
      <c r="D412" s="66" t="s">
        <v>221</v>
      </c>
      <c r="E412" s="66">
        <v>0.0</v>
      </c>
      <c r="F412" s="66" t="s">
        <v>227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2">
        <f t="shared" si="2"/>
        <v>0.1524</v>
      </c>
      <c r="L412" s="82">
        <f t="shared" si="3"/>
        <v>0.0786</v>
      </c>
    </row>
    <row r="413">
      <c r="A413" s="83">
        <v>44655.0</v>
      </c>
      <c r="B413" s="83">
        <v>44655.0</v>
      </c>
      <c r="C413" s="66">
        <v>2385.0</v>
      </c>
      <c r="D413" s="66" t="s">
        <v>221</v>
      </c>
      <c r="E413" s="66">
        <v>0.0</v>
      </c>
      <c r="F413" s="66" t="s">
        <v>227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2">
        <f t="shared" si="2"/>
        <v>0.7579</v>
      </c>
      <c r="L413" s="82">
        <f t="shared" si="3"/>
        <v>0.293</v>
      </c>
      <c r="M413" s="66">
        <v>3.0</v>
      </c>
    </row>
    <row r="414">
      <c r="A414" s="83">
        <v>44655.0</v>
      </c>
      <c r="B414" s="83">
        <v>44655.0</v>
      </c>
      <c r="C414" s="66">
        <v>2088.0</v>
      </c>
      <c r="D414" s="66" t="s">
        <v>226</v>
      </c>
      <c r="E414" s="66">
        <v>1.0</v>
      </c>
      <c r="F414" s="66" t="s">
        <v>227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2">
        <f t="shared" si="2"/>
        <v>0.5703</v>
      </c>
      <c r="L414" s="82">
        <f t="shared" si="3"/>
        <v>0.2784</v>
      </c>
    </row>
    <row r="415">
      <c r="A415" s="83">
        <v>44655.0</v>
      </c>
      <c r="B415" s="83">
        <v>44655.0</v>
      </c>
      <c r="C415" s="66">
        <v>2092.0</v>
      </c>
      <c r="D415" s="66" t="s">
        <v>221</v>
      </c>
      <c r="E415" s="66">
        <v>0.0</v>
      </c>
      <c r="F415" s="66" t="s">
        <v>227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2">
        <f t="shared" si="2"/>
        <v>0.228</v>
      </c>
      <c r="L415" s="82">
        <f t="shared" si="3"/>
        <v>0.1323</v>
      </c>
    </row>
    <row r="416">
      <c r="A416" s="83">
        <v>44655.0</v>
      </c>
      <c r="B416" s="83">
        <v>44655.0</v>
      </c>
      <c r="C416" s="66">
        <v>2381.0</v>
      </c>
      <c r="D416" s="66" t="s">
        <v>226</v>
      </c>
      <c r="E416" s="66">
        <v>1.0</v>
      </c>
      <c r="F416" s="66" t="s">
        <v>227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2">
        <f t="shared" si="2"/>
        <v>0.9366</v>
      </c>
      <c r="L416" s="82">
        <f t="shared" si="3"/>
        <v>0.5064</v>
      </c>
    </row>
    <row r="417">
      <c r="A417" s="83">
        <v>44655.0</v>
      </c>
      <c r="B417" s="83">
        <v>44655.0</v>
      </c>
      <c r="C417" s="66">
        <v>2381.0</v>
      </c>
      <c r="D417" s="66" t="s">
        <v>226</v>
      </c>
      <c r="E417" s="66">
        <v>0.0</v>
      </c>
      <c r="F417" s="66" t="s">
        <v>227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2">
        <f t="shared" si="2"/>
        <v>0.3346</v>
      </c>
      <c r="L417" s="82">
        <f t="shared" si="3"/>
        <v>0.1627</v>
      </c>
    </row>
    <row r="418">
      <c r="A418" s="83">
        <v>44655.0</v>
      </c>
      <c r="B418" s="83">
        <v>44655.0</v>
      </c>
      <c r="C418" s="66">
        <v>2382.0</v>
      </c>
      <c r="D418" s="66" t="s">
        <v>226</v>
      </c>
      <c r="E418" s="66">
        <v>0.0</v>
      </c>
      <c r="F418" s="66" t="s">
        <v>227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2">
        <f t="shared" si="2"/>
        <v>1.3604</v>
      </c>
      <c r="L418" s="82">
        <f t="shared" si="3"/>
        <v>0.6387</v>
      </c>
    </row>
    <row r="419">
      <c r="A419" s="83">
        <v>44655.0</v>
      </c>
      <c r="B419" s="83">
        <v>44655.0</v>
      </c>
      <c r="C419" s="66">
        <v>2382.0</v>
      </c>
      <c r="D419" s="66" t="s">
        <v>226</v>
      </c>
      <c r="E419" s="66">
        <v>1.0</v>
      </c>
      <c r="F419" s="66" t="s">
        <v>227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2">
        <f t="shared" si="2"/>
        <v>1.0719</v>
      </c>
      <c r="L419" s="82">
        <f t="shared" si="3"/>
        <v>0.5559</v>
      </c>
    </row>
    <row r="420">
      <c r="A420" s="83">
        <v>44655.0</v>
      </c>
      <c r="B420" s="83">
        <v>44655.0</v>
      </c>
      <c r="C420" s="66">
        <v>2380.0</v>
      </c>
      <c r="D420" s="66" t="s">
        <v>221</v>
      </c>
      <c r="E420" s="66">
        <v>0.0</v>
      </c>
      <c r="F420" s="66" t="s">
        <v>228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2">
        <f t="shared" si="2"/>
        <v>0.8548</v>
      </c>
      <c r="L420" s="82">
        <f t="shared" si="3"/>
        <v>0.3791</v>
      </c>
    </row>
    <row r="421">
      <c r="A421" s="83">
        <v>44655.0</v>
      </c>
      <c r="B421" s="83">
        <v>44655.0</v>
      </c>
      <c r="C421" s="66">
        <v>2093.0</v>
      </c>
      <c r="D421" s="66" t="s">
        <v>221</v>
      </c>
      <c r="E421" s="66">
        <v>1.0</v>
      </c>
      <c r="F421" s="66" t="s">
        <v>228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2">
        <f t="shared" si="2"/>
        <v>2.3738</v>
      </c>
      <c r="L421" s="82">
        <f t="shared" si="3"/>
        <v>1.4312</v>
      </c>
    </row>
    <row r="422">
      <c r="A422" s="83">
        <v>44655.0</v>
      </c>
      <c r="B422" s="83">
        <v>44655.0</v>
      </c>
      <c r="C422" s="66">
        <v>2385.0</v>
      </c>
      <c r="D422" s="66" t="s">
        <v>221</v>
      </c>
      <c r="E422" s="66">
        <v>1.0</v>
      </c>
      <c r="F422" s="66" t="s">
        <v>227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2">
        <f t="shared" si="2"/>
        <v>1.5257</v>
      </c>
      <c r="L422" s="82">
        <f t="shared" si="3"/>
        <v>0.7689</v>
      </c>
    </row>
    <row r="423">
      <c r="A423" s="83">
        <v>44655.0</v>
      </c>
      <c r="B423" s="83">
        <v>44655.0</v>
      </c>
      <c r="C423" s="66">
        <v>2007.0</v>
      </c>
      <c r="D423" s="66" t="s">
        <v>221</v>
      </c>
      <c r="E423" s="66">
        <v>0.0</v>
      </c>
      <c r="F423" s="66" t="s">
        <v>228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2">
        <f t="shared" si="2"/>
        <v>2.6413</v>
      </c>
      <c r="L423" s="82">
        <f t="shared" si="3"/>
        <v>1.3632</v>
      </c>
    </row>
    <row r="424">
      <c r="A424" s="83">
        <v>44655.0</v>
      </c>
      <c r="B424" s="83">
        <v>44655.0</v>
      </c>
      <c r="C424" s="66">
        <v>2379.0</v>
      </c>
      <c r="D424" s="66" t="s">
        <v>226</v>
      </c>
      <c r="E424" s="66">
        <v>1.0</v>
      </c>
      <c r="F424" s="66" t="s">
        <v>227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2">
        <f t="shared" si="2"/>
        <v>2.5581</v>
      </c>
      <c r="L424" s="82">
        <f t="shared" si="3"/>
        <v>1.4763</v>
      </c>
      <c r="M424" s="66">
        <v>3.0</v>
      </c>
    </row>
    <row r="425">
      <c r="A425" s="83">
        <v>44655.0</v>
      </c>
      <c r="B425" s="83">
        <v>44655.0</v>
      </c>
      <c r="C425" s="66">
        <v>2093.0</v>
      </c>
      <c r="D425" s="66" t="s">
        <v>221</v>
      </c>
      <c r="E425" s="66">
        <v>1.0</v>
      </c>
      <c r="F425" s="66" t="s">
        <v>227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2">
        <f t="shared" si="2"/>
        <v>1.17</v>
      </c>
      <c r="L425" s="82">
        <f t="shared" si="3"/>
        <v>0.7029</v>
      </c>
    </row>
    <row r="426">
      <c r="A426" s="83">
        <v>44655.0</v>
      </c>
      <c r="B426" s="83">
        <v>44655.0</v>
      </c>
      <c r="C426" s="66">
        <v>2371.0</v>
      </c>
      <c r="D426" s="66" t="s">
        <v>226</v>
      </c>
      <c r="E426" s="66">
        <v>0.0</v>
      </c>
      <c r="F426" s="66" t="s">
        <v>227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2">
        <f t="shared" si="2"/>
        <v>0.441</v>
      </c>
      <c r="L426" s="82">
        <f t="shared" si="3"/>
        <v>0.1807</v>
      </c>
    </row>
    <row r="427">
      <c r="A427" s="83">
        <v>44655.0</v>
      </c>
      <c r="B427" s="83">
        <v>44655.0</v>
      </c>
      <c r="C427" s="66">
        <v>2005.0</v>
      </c>
      <c r="D427" s="66" t="s">
        <v>221</v>
      </c>
      <c r="E427" s="66">
        <v>0.0</v>
      </c>
      <c r="F427" s="66" t="s">
        <v>228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2">
        <f t="shared" si="2"/>
        <v>3.5555</v>
      </c>
      <c r="L427" s="82">
        <f t="shared" si="3"/>
        <v>1.7064</v>
      </c>
    </row>
    <row r="428">
      <c r="A428" s="83">
        <v>44655.0</v>
      </c>
      <c r="B428" s="83">
        <v>44655.0</v>
      </c>
      <c r="C428" s="66">
        <v>2011.0</v>
      </c>
      <c r="D428" s="66" t="s">
        <v>226</v>
      </c>
      <c r="E428" s="66">
        <v>0.0</v>
      </c>
      <c r="F428" s="66" t="s">
        <v>227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2">
        <f t="shared" si="2"/>
        <v>1.8305</v>
      </c>
      <c r="L428" s="82">
        <f t="shared" si="3"/>
        <v>0.8062</v>
      </c>
      <c r="M428" s="66">
        <v>2.0</v>
      </c>
    </row>
    <row r="429">
      <c r="A429" s="83">
        <v>44655.0</v>
      </c>
      <c r="B429" s="83">
        <v>44655.0</v>
      </c>
      <c r="C429" s="66">
        <v>2088.0</v>
      </c>
      <c r="D429" s="66" t="s">
        <v>226</v>
      </c>
      <c r="E429" s="66">
        <v>0.0</v>
      </c>
      <c r="F429" s="66" t="s">
        <v>228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2">
        <f t="shared" si="2"/>
        <v>3.0275</v>
      </c>
      <c r="L429" s="82">
        <f t="shared" si="3"/>
        <v>1.123</v>
      </c>
    </row>
    <row r="430">
      <c r="A430" s="83">
        <v>44655.0</v>
      </c>
      <c r="B430" s="83">
        <v>44655.0</v>
      </c>
      <c r="C430" s="66">
        <v>2093.0</v>
      </c>
      <c r="D430" s="66" t="s">
        <v>221</v>
      </c>
      <c r="E430" s="66">
        <v>0.0</v>
      </c>
      <c r="F430" s="66" t="s">
        <v>228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2">
        <f t="shared" si="2"/>
        <v>0.2243</v>
      </c>
      <c r="L430" s="82">
        <f t="shared" si="3"/>
        <v>0.1151</v>
      </c>
    </row>
    <row r="431">
      <c r="A431" s="83">
        <v>44655.0</v>
      </c>
      <c r="B431" s="83">
        <v>44655.0</v>
      </c>
      <c r="C431" s="66">
        <v>2092.0</v>
      </c>
      <c r="D431" s="66" t="s">
        <v>221</v>
      </c>
      <c r="E431" s="66">
        <v>1.0</v>
      </c>
      <c r="F431" s="66" t="s">
        <v>228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2">
        <f t="shared" si="2"/>
        <v>1.9076</v>
      </c>
      <c r="L431" s="82">
        <f t="shared" si="3"/>
        <v>1.1002</v>
      </c>
    </row>
    <row r="432">
      <c r="A432" s="83">
        <v>44655.0</v>
      </c>
      <c r="B432" s="83">
        <v>44655.0</v>
      </c>
      <c r="C432" s="66">
        <v>2026.0</v>
      </c>
      <c r="D432" s="66" t="s">
        <v>221</v>
      </c>
      <c r="E432" s="66">
        <v>1.0</v>
      </c>
      <c r="F432" s="66" t="s">
        <v>227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2">
        <f t="shared" si="2"/>
        <v>0.5961</v>
      </c>
      <c r="L432" s="82">
        <f t="shared" si="3"/>
        <v>0.3378</v>
      </c>
    </row>
    <row r="433">
      <c r="A433" s="83">
        <v>44655.0</v>
      </c>
      <c r="B433" s="83">
        <v>44655.0</v>
      </c>
      <c r="C433" s="66">
        <v>2367.0</v>
      </c>
      <c r="D433" s="66" t="s">
        <v>226</v>
      </c>
      <c r="E433" s="66">
        <v>0.0</v>
      </c>
      <c r="F433" s="66" t="s">
        <v>227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2">
        <f t="shared" si="2"/>
        <v>0.1968</v>
      </c>
      <c r="L433" s="82">
        <f t="shared" si="3"/>
        <v>0.0962</v>
      </c>
    </row>
    <row r="434">
      <c r="A434" s="83">
        <v>44655.0</v>
      </c>
      <c r="B434" s="83">
        <v>44655.0</v>
      </c>
      <c r="C434" s="66">
        <v>2345.0</v>
      </c>
      <c r="D434" s="66" t="s">
        <v>226</v>
      </c>
      <c r="E434" s="66">
        <v>1.0</v>
      </c>
      <c r="F434" s="66" t="s">
        <v>227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2">
        <f t="shared" si="2"/>
        <v>0.7057</v>
      </c>
      <c r="L434" s="82">
        <f t="shared" si="3"/>
        <v>0.4181</v>
      </c>
    </row>
    <row r="435">
      <c r="A435" s="83">
        <v>44655.0</v>
      </c>
      <c r="B435" s="83">
        <v>44655.0</v>
      </c>
      <c r="C435" s="66">
        <v>2008.0</v>
      </c>
      <c r="D435" s="66" t="s">
        <v>221</v>
      </c>
      <c r="E435" s="66">
        <v>0.0</v>
      </c>
      <c r="F435" s="66" t="s">
        <v>228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2">
        <f t="shared" si="2"/>
        <v>3.0939</v>
      </c>
      <c r="L435" s="82">
        <f t="shared" si="3"/>
        <v>1.52</v>
      </c>
    </row>
    <row r="436">
      <c r="A436" s="83">
        <v>44655.0</v>
      </c>
      <c r="B436" s="83">
        <v>44655.0</v>
      </c>
      <c r="C436" s="66">
        <v>2365.0</v>
      </c>
      <c r="D436" s="66" t="s">
        <v>226</v>
      </c>
      <c r="E436" s="66">
        <v>0.0</v>
      </c>
      <c r="F436" s="66" t="s">
        <v>227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2">
        <f t="shared" si="2"/>
        <v>0.3985</v>
      </c>
      <c r="L436" s="82">
        <f t="shared" si="3"/>
        <v>0.2092</v>
      </c>
    </row>
    <row r="437">
      <c r="A437" s="83">
        <v>44655.0</v>
      </c>
      <c r="B437" s="83">
        <v>44655.0</v>
      </c>
      <c r="C437" s="66">
        <v>2378.0</v>
      </c>
      <c r="D437" s="66" t="s">
        <v>226</v>
      </c>
      <c r="E437" s="66">
        <v>0.0</v>
      </c>
      <c r="F437" s="66" t="s">
        <v>227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2">
        <f t="shared" si="2"/>
        <v>0.9028</v>
      </c>
      <c r="L437" s="82">
        <f t="shared" si="3"/>
        <v>0.4532</v>
      </c>
    </row>
    <row r="438">
      <c r="A438" s="83">
        <v>44655.0</v>
      </c>
      <c r="B438" s="83">
        <v>44655.0</v>
      </c>
      <c r="C438" s="66">
        <v>2375.0</v>
      </c>
      <c r="D438" s="66" t="s">
        <v>226</v>
      </c>
      <c r="E438" s="66">
        <v>1.0</v>
      </c>
      <c r="F438" s="66" t="s">
        <v>227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2">
        <f t="shared" si="2"/>
        <v>1.1976</v>
      </c>
      <c r="L438" s="82">
        <f t="shared" si="3"/>
        <v>0.6722</v>
      </c>
    </row>
    <row r="439">
      <c r="A439" s="83">
        <v>44655.0</v>
      </c>
      <c r="B439" s="83">
        <v>44655.0</v>
      </c>
      <c r="C439" s="66">
        <v>2343.0</v>
      </c>
      <c r="D439" s="66" t="s">
        <v>226</v>
      </c>
      <c r="E439" s="66">
        <v>1.0</v>
      </c>
      <c r="F439" s="66" t="s">
        <v>227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2">
        <f t="shared" si="2"/>
        <v>1.2261</v>
      </c>
      <c r="L439" s="82">
        <f t="shared" si="3"/>
        <v>0.6602</v>
      </c>
    </row>
    <row r="440">
      <c r="A440" s="83">
        <v>44655.0</v>
      </c>
      <c r="B440" s="83">
        <v>44655.0</v>
      </c>
      <c r="C440" s="66">
        <v>2088.0</v>
      </c>
      <c r="D440" s="66" t="s">
        <v>226</v>
      </c>
      <c r="E440" s="66">
        <v>0.0</v>
      </c>
      <c r="F440" s="66" t="s">
        <v>227</v>
      </c>
      <c r="G440" s="66">
        <f t="shared" si="10"/>
        <v>0</v>
      </c>
      <c r="H440" s="66">
        <v>6.2543</v>
      </c>
      <c r="I440" s="66">
        <v>6.5222</v>
      </c>
      <c r="J440" s="82">
        <f>6.2343+0.102</f>
        <v>6.3363</v>
      </c>
      <c r="K440" s="82">
        <f t="shared" si="2"/>
        <v>0.2679</v>
      </c>
      <c r="L440" s="82">
        <f t="shared" si="3"/>
        <v>0.082</v>
      </c>
    </row>
    <row r="441">
      <c r="A441" s="83">
        <v>44655.0</v>
      </c>
      <c r="B441" s="83">
        <v>44655.0</v>
      </c>
      <c r="C441" s="66">
        <v>2371.0</v>
      </c>
      <c r="D441" s="66" t="s">
        <v>226</v>
      </c>
      <c r="E441" s="66">
        <v>1.0</v>
      </c>
      <c r="F441" s="66" t="s">
        <v>227</v>
      </c>
      <c r="G441" s="66">
        <f t="shared" si="10"/>
        <v>0</v>
      </c>
      <c r="H441" s="66">
        <v>7.2657</v>
      </c>
      <c r="I441" s="66">
        <v>7.9886</v>
      </c>
      <c r="J441" s="82">
        <f>H441+0.398</f>
        <v>7.6637</v>
      </c>
      <c r="K441" s="82">
        <f t="shared" si="2"/>
        <v>0.7229</v>
      </c>
      <c r="L441" s="82">
        <f t="shared" si="3"/>
        <v>0.398</v>
      </c>
    </row>
    <row r="442">
      <c r="A442" s="83">
        <v>44655.0</v>
      </c>
      <c r="B442" s="83">
        <v>44655.0</v>
      </c>
      <c r="C442" s="66">
        <v>2370.0</v>
      </c>
      <c r="D442" s="66" t="s">
        <v>226</v>
      </c>
      <c r="E442" s="66">
        <v>0.0</v>
      </c>
      <c r="F442" s="66" t="s">
        <v>227</v>
      </c>
      <c r="G442" s="66">
        <f t="shared" si="10"/>
        <v>0</v>
      </c>
      <c r="H442" s="66">
        <v>7.3498</v>
      </c>
      <c r="I442" s="66">
        <v>7.5199</v>
      </c>
      <c r="J442" s="82">
        <f>H442+0.121</f>
        <v>7.4708</v>
      </c>
      <c r="K442" s="82">
        <f t="shared" si="2"/>
        <v>0.1701</v>
      </c>
      <c r="L442" s="82">
        <f t="shared" si="3"/>
        <v>0.121</v>
      </c>
    </row>
    <row r="443">
      <c r="A443" s="83">
        <v>44655.0</v>
      </c>
      <c r="B443" s="83">
        <v>44655.0</v>
      </c>
      <c r="C443" s="66">
        <v>2354.0</v>
      </c>
      <c r="D443" s="66" t="s">
        <v>226</v>
      </c>
      <c r="E443" s="66">
        <v>0.0</v>
      </c>
      <c r="F443" s="66" t="s">
        <v>227</v>
      </c>
      <c r="G443" s="66">
        <f t="shared" si="10"/>
        <v>0</v>
      </c>
      <c r="H443" s="66">
        <v>6.2524</v>
      </c>
      <c r="I443" s="66">
        <v>6.5209</v>
      </c>
      <c r="J443" s="82">
        <f>H443+0.12</f>
        <v>6.3724</v>
      </c>
      <c r="K443" s="82">
        <f t="shared" si="2"/>
        <v>0.2685</v>
      </c>
      <c r="L443" s="82">
        <f t="shared" si="3"/>
        <v>0.12</v>
      </c>
    </row>
    <row r="444">
      <c r="A444" s="83">
        <v>44655.0</v>
      </c>
      <c r="B444" s="83">
        <v>44655.0</v>
      </c>
      <c r="C444" s="66">
        <v>2343.0</v>
      </c>
      <c r="D444" s="66" t="s">
        <v>226</v>
      </c>
      <c r="E444" s="66">
        <v>0.0</v>
      </c>
      <c r="F444" s="66" t="s">
        <v>227</v>
      </c>
      <c r="G444" s="66">
        <f t="shared" si="10"/>
        <v>0</v>
      </c>
      <c r="H444" s="66">
        <v>7.2698</v>
      </c>
      <c r="I444" s="66">
        <v>8.3762</v>
      </c>
      <c r="J444" s="82">
        <f>H444+0.47</f>
        <v>7.7398</v>
      </c>
      <c r="K444" s="82">
        <f t="shared" si="2"/>
        <v>1.1064</v>
      </c>
      <c r="L444" s="82">
        <f t="shared" si="3"/>
        <v>0.47</v>
      </c>
    </row>
    <row r="445">
      <c r="A445" s="83">
        <v>44655.0</v>
      </c>
      <c r="B445" s="83">
        <v>44655.0</v>
      </c>
      <c r="C445" s="66">
        <v>2377.0</v>
      </c>
      <c r="D445" s="66" t="s">
        <v>226</v>
      </c>
      <c r="E445" s="66">
        <v>0.0</v>
      </c>
      <c r="F445" s="66" t="s">
        <v>227</v>
      </c>
      <c r="G445" s="66">
        <f t="shared" si="10"/>
        <v>0</v>
      </c>
      <c r="H445" s="66">
        <v>7.2813</v>
      </c>
      <c r="I445" s="66">
        <v>7.4154</v>
      </c>
      <c r="J445" s="82">
        <f>H445+0.063</f>
        <v>7.3443</v>
      </c>
      <c r="K445" s="82">
        <f t="shared" si="2"/>
        <v>0.1341</v>
      </c>
      <c r="L445" s="82">
        <f t="shared" si="3"/>
        <v>0.063</v>
      </c>
    </row>
    <row r="446">
      <c r="A446" s="83">
        <v>44655.0</v>
      </c>
      <c r="B446" s="83">
        <v>44655.0</v>
      </c>
      <c r="C446" s="66">
        <v>2384.0</v>
      </c>
      <c r="D446" s="66" t="s">
        <v>226</v>
      </c>
      <c r="E446" s="66">
        <v>1.0</v>
      </c>
      <c r="F446" s="66" t="s">
        <v>227</v>
      </c>
      <c r="G446" s="66">
        <f t="shared" si="10"/>
        <v>0</v>
      </c>
      <c r="H446" s="66">
        <v>7.2988</v>
      </c>
      <c r="I446" s="66">
        <v>7.8798</v>
      </c>
      <c r="J446" s="82">
        <f>H446+0.36</f>
        <v>7.6588</v>
      </c>
      <c r="K446" s="82">
        <f t="shared" si="2"/>
        <v>0.581</v>
      </c>
      <c r="L446" s="82">
        <f t="shared" si="3"/>
        <v>0.36</v>
      </c>
    </row>
    <row r="447">
      <c r="A447" s="83">
        <v>44655.0</v>
      </c>
      <c r="B447" s="83">
        <v>44655.0</v>
      </c>
      <c r="C447" s="66">
        <v>2029.0</v>
      </c>
      <c r="D447" s="66" t="s">
        <v>221</v>
      </c>
      <c r="E447" s="66">
        <v>1.0</v>
      </c>
      <c r="F447" s="66" t="s">
        <v>227</v>
      </c>
      <c r="G447" s="66">
        <f t="shared" si="10"/>
        <v>0</v>
      </c>
      <c r="H447" s="66">
        <v>7.3444</v>
      </c>
      <c r="I447" s="66">
        <v>8.2719</v>
      </c>
      <c r="J447" s="82">
        <f>H447+0.542</f>
        <v>7.8864</v>
      </c>
      <c r="K447" s="82">
        <f t="shared" si="2"/>
        <v>0.9275</v>
      </c>
      <c r="L447" s="82">
        <f t="shared" si="3"/>
        <v>0.542</v>
      </c>
    </row>
    <row r="448">
      <c r="A448" s="83">
        <v>44655.0</v>
      </c>
      <c r="B448" s="83">
        <v>44655.0</v>
      </c>
      <c r="C448" s="66">
        <v>2331.0</v>
      </c>
      <c r="D448" s="66" t="s">
        <v>226</v>
      </c>
      <c r="E448" s="66">
        <v>0.0</v>
      </c>
      <c r="F448" s="66" t="s">
        <v>228</v>
      </c>
      <c r="G448" s="66">
        <f t="shared" si="10"/>
        <v>0</v>
      </c>
      <c r="H448" s="66">
        <v>7.2931</v>
      </c>
      <c r="I448" s="66">
        <v>7.3791</v>
      </c>
      <c r="J448" s="82">
        <f>H448+0.045</f>
        <v>7.3381</v>
      </c>
      <c r="K448" s="82">
        <f t="shared" si="2"/>
        <v>0.086</v>
      </c>
      <c r="L448" s="82">
        <f t="shared" si="3"/>
        <v>0.045</v>
      </c>
    </row>
    <row r="449">
      <c r="A449" s="83">
        <v>44655.0</v>
      </c>
      <c r="B449" s="83">
        <v>44655.0</v>
      </c>
      <c r="C449" s="66">
        <v>2022.0</v>
      </c>
      <c r="D449" s="66" t="s">
        <v>226</v>
      </c>
      <c r="E449" s="66">
        <v>1.0</v>
      </c>
      <c r="F449" s="66" t="s">
        <v>228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2">
        <f t="shared" si="2"/>
        <v>6.2494</v>
      </c>
      <c r="L449" s="82">
        <f t="shared" si="3"/>
        <v>3.2405</v>
      </c>
    </row>
    <row r="450">
      <c r="A450" s="83">
        <v>44655.0</v>
      </c>
      <c r="B450" s="83">
        <v>44655.0</v>
      </c>
      <c r="C450" s="66">
        <v>2091.0</v>
      </c>
      <c r="D450" s="66" t="s">
        <v>58</v>
      </c>
      <c r="E450" s="66">
        <v>1.0</v>
      </c>
      <c r="F450" s="66" t="s">
        <v>228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2">
        <f t="shared" si="2"/>
        <v>4.3284</v>
      </c>
      <c r="L450" s="82">
        <f t="shared" si="3"/>
        <v>2.6645</v>
      </c>
      <c r="M450" s="66">
        <v>1.0</v>
      </c>
    </row>
    <row r="451">
      <c r="A451" s="83">
        <v>44655.0</v>
      </c>
      <c r="B451" s="83">
        <v>44655.0</v>
      </c>
      <c r="C451" s="66">
        <v>2029.0</v>
      </c>
      <c r="D451" s="66" t="s">
        <v>221</v>
      </c>
      <c r="E451" s="66">
        <v>0.0</v>
      </c>
      <c r="F451" s="66" t="s">
        <v>228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2">
        <f t="shared" si="2"/>
        <v>4.5354</v>
      </c>
      <c r="L451" s="82">
        <f t="shared" si="3"/>
        <v>2.1693</v>
      </c>
    </row>
    <row r="452">
      <c r="A452" s="83">
        <v>44655.0</v>
      </c>
      <c r="B452" s="83">
        <v>44655.0</v>
      </c>
      <c r="C452" s="66">
        <v>2087.0</v>
      </c>
      <c r="D452" s="66" t="s">
        <v>226</v>
      </c>
      <c r="E452" s="66">
        <v>1.0</v>
      </c>
      <c r="F452" s="66" t="s">
        <v>227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2">
        <f t="shared" si="2"/>
        <v>1.1415</v>
      </c>
      <c r="L452" s="82">
        <f t="shared" si="3"/>
        <v>0.4957</v>
      </c>
    </row>
    <row r="453">
      <c r="A453" s="83">
        <v>44655.0</v>
      </c>
      <c r="B453" s="83">
        <v>44655.0</v>
      </c>
      <c r="C453" s="66">
        <v>2028.0</v>
      </c>
      <c r="D453" s="66" t="s">
        <v>221</v>
      </c>
      <c r="E453" s="66">
        <v>0.0</v>
      </c>
      <c r="F453" s="66" t="s">
        <v>228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2">
        <f t="shared" si="2"/>
        <v>5.0629</v>
      </c>
      <c r="L453" s="82">
        <f t="shared" si="3"/>
        <v>2.8407</v>
      </c>
    </row>
    <row r="454">
      <c r="A454" s="83">
        <v>44655.0</v>
      </c>
      <c r="B454" s="83">
        <v>44655.0</v>
      </c>
      <c r="C454" s="66">
        <v>2011.0</v>
      </c>
      <c r="D454" s="66" t="s">
        <v>226</v>
      </c>
      <c r="E454" s="66">
        <v>0.0</v>
      </c>
      <c r="F454" s="66" t="s">
        <v>227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2">
        <f t="shared" si="2"/>
        <v>0.4661</v>
      </c>
      <c r="L454" s="82">
        <f t="shared" si="3"/>
        <v>0.1849</v>
      </c>
    </row>
    <row r="455">
      <c r="A455" s="83">
        <v>44655.0</v>
      </c>
      <c r="B455" s="83">
        <v>44655.0</v>
      </c>
      <c r="C455" s="66">
        <v>2028.0</v>
      </c>
      <c r="D455" s="66" t="s">
        <v>221</v>
      </c>
      <c r="E455" s="66">
        <v>0.0</v>
      </c>
      <c r="F455" s="66" t="s">
        <v>227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2">
        <f t="shared" si="2"/>
        <v>0.4566</v>
      </c>
      <c r="L455" s="82">
        <f t="shared" si="3"/>
        <v>0.1876</v>
      </c>
    </row>
    <row r="456">
      <c r="A456" s="83">
        <v>44655.0</v>
      </c>
      <c r="B456" s="83">
        <v>44655.0</v>
      </c>
      <c r="C456" s="66">
        <v>2093.0</v>
      </c>
      <c r="D456" s="66" t="s">
        <v>226</v>
      </c>
      <c r="E456" s="66">
        <v>1.0</v>
      </c>
      <c r="F456" s="66" t="s">
        <v>227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2">
        <f t="shared" si="2"/>
        <v>1.1974</v>
      </c>
      <c r="L456" s="82">
        <f t="shared" si="3"/>
        <v>0.6173</v>
      </c>
    </row>
    <row r="457">
      <c r="A457" s="83">
        <v>44655.0</v>
      </c>
      <c r="B457" s="83">
        <v>44655.0</v>
      </c>
      <c r="C457" s="66">
        <v>2021.0</v>
      </c>
      <c r="D457" s="66" t="s">
        <v>221</v>
      </c>
      <c r="E457" s="66">
        <v>0.0</v>
      </c>
      <c r="F457" s="66" t="s">
        <v>228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2">
        <f t="shared" si="2"/>
        <v>4.2557</v>
      </c>
      <c r="L457" s="82">
        <f t="shared" si="3"/>
        <v>1.873</v>
      </c>
    </row>
    <row r="458">
      <c r="A458" s="83">
        <v>44655.0</v>
      </c>
      <c r="B458" s="83">
        <v>44655.0</v>
      </c>
      <c r="C458" s="66">
        <v>2020.0</v>
      </c>
      <c r="D458" s="66" t="s">
        <v>221</v>
      </c>
      <c r="E458" s="66">
        <v>0.0</v>
      </c>
      <c r="F458" s="66" t="s">
        <v>228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2">
        <f t="shared" si="2"/>
        <v>4.5005</v>
      </c>
      <c r="L458" s="82">
        <f t="shared" si="3"/>
        <v>2.1807</v>
      </c>
    </row>
    <row r="459">
      <c r="A459" s="83">
        <v>44655.0</v>
      </c>
      <c r="B459" s="83">
        <v>44655.0</v>
      </c>
      <c r="C459" s="66">
        <v>2013.0</v>
      </c>
      <c r="D459" s="66" t="s">
        <v>221</v>
      </c>
      <c r="E459" s="66">
        <v>0.0</v>
      </c>
      <c r="F459" s="66" t="s">
        <v>228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2">
        <f t="shared" si="2"/>
        <v>4.0124</v>
      </c>
      <c r="L459" s="82">
        <f t="shared" si="3"/>
        <v>1.3891</v>
      </c>
    </row>
    <row r="460">
      <c r="A460" s="83">
        <v>44655.0</v>
      </c>
      <c r="B460" s="83">
        <v>44655.0</v>
      </c>
      <c r="C460" s="66">
        <v>2025.0</v>
      </c>
      <c r="D460" s="66" t="s">
        <v>221</v>
      </c>
      <c r="E460" s="66">
        <v>0.0</v>
      </c>
      <c r="F460" s="66" t="s">
        <v>227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2">
        <f t="shared" si="2"/>
        <v>0.415</v>
      </c>
      <c r="L460" s="82">
        <f t="shared" si="3"/>
        <v>0.3284</v>
      </c>
    </row>
    <row r="461">
      <c r="A461" s="83">
        <v>44655.0</v>
      </c>
      <c r="B461" s="83">
        <v>44655.0</v>
      </c>
      <c r="C461" s="66">
        <v>2020.0</v>
      </c>
      <c r="D461" s="66" t="s">
        <v>221</v>
      </c>
      <c r="E461" s="66">
        <v>0.0</v>
      </c>
      <c r="F461" s="66" t="s">
        <v>227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2">
        <f t="shared" si="2"/>
        <v>0.776</v>
      </c>
      <c r="L461" s="82">
        <f t="shared" si="3"/>
        <v>0.3293</v>
      </c>
    </row>
    <row r="462">
      <c r="A462" s="83">
        <v>44655.0</v>
      </c>
      <c r="B462" s="83">
        <v>44655.0</v>
      </c>
      <c r="C462" s="66">
        <v>2089.0</v>
      </c>
      <c r="D462" s="66" t="s">
        <v>226</v>
      </c>
      <c r="E462" s="66">
        <v>1.0</v>
      </c>
      <c r="F462" s="66" t="s">
        <v>228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2">
        <f t="shared" si="2"/>
        <v>4.5882</v>
      </c>
      <c r="L462" s="82">
        <f t="shared" si="3"/>
        <v>2.4091</v>
      </c>
    </row>
    <row r="463">
      <c r="A463" s="83">
        <v>44655.0</v>
      </c>
      <c r="B463" s="83">
        <v>44655.0</v>
      </c>
      <c r="C463" s="66">
        <v>2024.0</v>
      </c>
      <c r="D463" s="66" t="s">
        <v>226</v>
      </c>
      <c r="E463" s="66">
        <v>0.0</v>
      </c>
      <c r="F463" s="66" t="s">
        <v>227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2">
        <f t="shared" si="2"/>
        <v>0.9257</v>
      </c>
      <c r="L463" s="82">
        <f t="shared" si="3"/>
        <v>0.1963</v>
      </c>
    </row>
    <row r="464">
      <c r="A464" s="83">
        <v>44655.0</v>
      </c>
      <c r="B464" s="83">
        <v>44655.0</v>
      </c>
      <c r="C464" s="66">
        <v>2005.0</v>
      </c>
      <c r="D464" s="66" t="s">
        <v>226</v>
      </c>
      <c r="E464" s="66">
        <v>0.0</v>
      </c>
      <c r="F464" s="66" t="s">
        <v>228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2">
        <f t="shared" si="2"/>
        <v>7.1653</v>
      </c>
      <c r="L464" s="82">
        <f t="shared" si="3"/>
        <v>3.0911</v>
      </c>
    </row>
    <row r="465">
      <c r="A465" s="83">
        <v>44655.0</v>
      </c>
      <c r="B465" s="83">
        <v>44655.0</v>
      </c>
      <c r="C465" s="66">
        <v>2021.0</v>
      </c>
      <c r="D465" s="66" t="s">
        <v>221</v>
      </c>
      <c r="E465" s="66">
        <v>0.0</v>
      </c>
      <c r="F465" s="66" t="s">
        <v>227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2">
        <f t="shared" si="2"/>
        <v>0.4196</v>
      </c>
      <c r="L465" s="82">
        <f t="shared" si="3"/>
        <v>0.1704</v>
      </c>
    </row>
    <row r="466">
      <c r="A466" s="83">
        <v>44655.0</v>
      </c>
      <c r="B466" s="83">
        <v>44655.0</v>
      </c>
      <c r="C466" s="66">
        <v>2022.0</v>
      </c>
      <c r="D466" s="66" t="s">
        <v>221</v>
      </c>
      <c r="E466" s="66">
        <v>1.0</v>
      </c>
      <c r="F466" s="66" t="s">
        <v>227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2">
        <f t="shared" si="2"/>
        <v>0.1668</v>
      </c>
      <c r="L466" s="82">
        <f t="shared" si="3"/>
        <v>0.3223</v>
      </c>
    </row>
    <row r="467">
      <c r="A467" s="83">
        <v>44655.0</v>
      </c>
      <c r="B467" s="83">
        <v>44655.0</v>
      </c>
      <c r="C467" s="66">
        <v>2027.0</v>
      </c>
      <c r="D467" s="66" t="s">
        <v>221</v>
      </c>
      <c r="E467" s="66">
        <v>0.0</v>
      </c>
      <c r="F467" s="66" t="s">
        <v>227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2">
        <f t="shared" si="2"/>
        <v>0.6974</v>
      </c>
      <c r="L467" s="82">
        <f t="shared" si="3"/>
        <v>0.3326</v>
      </c>
    </row>
    <row r="468">
      <c r="A468" s="83">
        <v>44655.0</v>
      </c>
      <c r="B468" s="83">
        <v>44655.0</v>
      </c>
      <c r="C468" s="66">
        <v>2087.0</v>
      </c>
      <c r="D468" s="66" t="s">
        <v>226</v>
      </c>
      <c r="E468" s="66">
        <v>0.0</v>
      </c>
      <c r="F468" s="66" t="s">
        <v>227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2">
        <f t="shared" si="2"/>
        <v>0.6123</v>
      </c>
      <c r="L468" s="82">
        <f t="shared" si="3"/>
        <v>0.2959</v>
      </c>
    </row>
    <row r="469">
      <c r="A469" s="83">
        <v>44655.0</v>
      </c>
      <c r="B469" s="83">
        <v>44655.0</v>
      </c>
      <c r="C469" s="66">
        <v>2014.0</v>
      </c>
      <c r="D469" s="66" t="s">
        <v>221</v>
      </c>
      <c r="E469" s="66">
        <v>0.0</v>
      </c>
      <c r="F469" s="66" t="s">
        <v>228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2">
        <f t="shared" si="2"/>
        <v>2.8715</v>
      </c>
      <c r="L469" s="82">
        <f t="shared" si="3"/>
        <v>1.007</v>
      </c>
      <c r="M469" s="66">
        <v>3.0</v>
      </c>
    </row>
    <row r="470">
      <c r="A470" s="83">
        <v>44655.0</v>
      </c>
      <c r="B470" s="83">
        <v>44655.0</v>
      </c>
      <c r="C470" s="66">
        <v>2086.0</v>
      </c>
      <c r="D470" s="66" t="s">
        <v>226</v>
      </c>
      <c r="E470" s="66">
        <v>0.0</v>
      </c>
      <c r="F470" s="66" t="s">
        <v>228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2">
        <f t="shared" si="2"/>
        <v>5.2173</v>
      </c>
      <c r="L470" s="82">
        <f t="shared" si="3"/>
        <v>1.5383</v>
      </c>
      <c r="M470" s="66">
        <v>5.0</v>
      </c>
    </row>
    <row r="471">
      <c r="A471" s="83">
        <v>44655.0</v>
      </c>
      <c r="B471" s="83">
        <v>44655.0</v>
      </c>
      <c r="C471" s="66">
        <v>2031.0</v>
      </c>
      <c r="D471" s="66" t="s">
        <v>226</v>
      </c>
      <c r="E471" s="66">
        <v>0.0</v>
      </c>
      <c r="F471" s="66" t="s">
        <v>227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2">
        <f t="shared" si="2"/>
        <v>0.7209</v>
      </c>
      <c r="L471" s="82">
        <f t="shared" si="3"/>
        <v>0.1296</v>
      </c>
    </row>
    <row r="472">
      <c r="A472" s="83">
        <v>44655.0</v>
      </c>
      <c r="B472" s="83">
        <v>44655.0</v>
      </c>
      <c r="C472" s="66">
        <v>2086.0</v>
      </c>
      <c r="D472" s="66" t="s">
        <v>226</v>
      </c>
      <c r="E472" s="66">
        <v>0.0</v>
      </c>
      <c r="F472" s="66" t="s">
        <v>227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2">
        <f t="shared" si="2"/>
        <v>1.1362</v>
      </c>
      <c r="L472" s="82">
        <f t="shared" si="3"/>
        <v>0.3351</v>
      </c>
      <c r="M472" s="66">
        <v>2.0</v>
      </c>
    </row>
    <row r="473">
      <c r="A473" s="83">
        <v>44655.0</v>
      </c>
      <c r="B473" s="83">
        <v>44655.0</v>
      </c>
      <c r="C473" s="66">
        <v>2091.0</v>
      </c>
      <c r="D473" s="66" t="s">
        <v>58</v>
      </c>
      <c r="E473" s="66">
        <v>1.0</v>
      </c>
      <c r="F473" s="66" t="s">
        <v>227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2">
        <f t="shared" si="2"/>
        <v>1.1064</v>
      </c>
      <c r="L473" s="82">
        <f t="shared" si="3"/>
        <v>0.7337</v>
      </c>
      <c r="M473" s="66">
        <v>4.0</v>
      </c>
    </row>
    <row r="474">
      <c r="A474" s="83">
        <v>44655.0</v>
      </c>
      <c r="B474" s="83">
        <v>44655.0</v>
      </c>
      <c r="C474" s="66">
        <v>2028.0</v>
      </c>
      <c r="D474" s="66" t="s">
        <v>226</v>
      </c>
      <c r="E474" s="66">
        <v>0.0</v>
      </c>
      <c r="F474" s="66" t="s">
        <v>227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2">
        <f t="shared" si="2"/>
        <v>0.5372</v>
      </c>
      <c r="L474" s="82">
        <f t="shared" si="3"/>
        <v>0.1767</v>
      </c>
      <c r="M474" s="66">
        <v>2.0</v>
      </c>
    </row>
    <row r="475">
      <c r="A475" s="83">
        <v>44655.0</v>
      </c>
      <c r="B475" s="83">
        <v>44655.0</v>
      </c>
      <c r="C475" s="66">
        <v>2015.0</v>
      </c>
      <c r="D475" s="66" t="s">
        <v>226</v>
      </c>
      <c r="E475" s="66">
        <v>1.0</v>
      </c>
      <c r="F475" s="66" t="s">
        <v>227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2">
        <f t="shared" si="2"/>
        <v>1.4686</v>
      </c>
      <c r="L475" s="82">
        <f t="shared" si="3"/>
        <v>0.7049</v>
      </c>
      <c r="M475" s="66">
        <v>4.0</v>
      </c>
    </row>
    <row r="476">
      <c r="A476" s="83">
        <v>44655.0</v>
      </c>
      <c r="B476" s="83">
        <v>44655.0</v>
      </c>
      <c r="C476" s="66">
        <v>2030.0</v>
      </c>
      <c r="D476" s="66" t="s">
        <v>221</v>
      </c>
      <c r="E476" s="66">
        <v>0.0</v>
      </c>
      <c r="F476" s="66" t="s">
        <v>228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2">
        <f t="shared" si="2"/>
        <v>3.8226</v>
      </c>
      <c r="L476" s="82">
        <f t="shared" si="3"/>
        <v>1.9882</v>
      </c>
      <c r="M476" s="66">
        <v>3.0</v>
      </c>
    </row>
    <row r="477">
      <c r="A477" s="83">
        <v>44655.0</v>
      </c>
      <c r="B477" s="83">
        <v>44655.0</v>
      </c>
      <c r="C477" s="66">
        <v>2025.0</v>
      </c>
      <c r="D477" s="66" t="s">
        <v>221</v>
      </c>
      <c r="E477" s="66">
        <v>0.0</v>
      </c>
      <c r="F477" s="66" t="s">
        <v>228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2">
        <f t="shared" si="2"/>
        <v>4.7865</v>
      </c>
      <c r="L477" s="82">
        <f t="shared" si="3"/>
        <v>2.3286</v>
      </c>
      <c r="M477" s="66">
        <v>4.0</v>
      </c>
    </row>
    <row r="478">
      <c r="A478" s="83">
        <v>44655.0</v>
      </c>
      <c r="B478" s="83">
        <v>44655.0</v>
      </c>
      <c r="C478" s="66">
        <v>2005.0</v>
      </c>
      <c r="D478" s="66" t="s">
        <v>226</v>
      </c>
      <c r="E478" s="66">
        <v>1.0</v>
      </c>
      <c r="F478" s="66" t="s">
        <v>227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2">
        <f t="shared" si="2"/>
        <v>0.4662</v>
      </c>
      <c r="L478" s="82">
        <f t="shared" si="3"/>
        <v>0.3956</v>
      </c>
      <c r="M478" s="66">
        <v>2.0</v>
      </c>
    </row>
    <row r="479">
      <c r="A479" s="83">
        <v>44655.0</v>
      </c>
      <c r="B479" s="83">
        <v>44655.0</v>
      </c>
      <c r="C479" s="66">
        <v>2027.0</v>
      </c>
      <c r="D479" s="66" t="s">
        <v>221</v>
      </c>
      <c r="E479" s="66">
        <v>0.0</v>
      </c>
      <c r="F479" s="66" t="s">
        <v>228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2">
        <f t="shared" si="2"/>
        <v>5.8192</v>
      </c>
      <c r="L479" s="82">
        <f t="shared" si="3"/>
        <v>2.7106</v>
      </c>
      <c r="M479" s="66">
        <v>3.0</v>
      </c>
    </row>
    <row r="480">
      <c r="A480" s="83">
        <v>44655.0</v>
      </c>
      <c r="B480" s="83">
        <v>44655.0</v>
      </c>
      <c r="C480" s="66">
        <v>2028.0</v>
      </c>
      <c r="D480" s="66" t="s">
        <v>226</v>
      </c>
      <c r="E480" s="66">
        <v>1.0</v>
      </c>
      <c r="F480" s="66" t="s">
        <v>227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2">
        <f t="shared" si="2"/>
        <v>1.3514</v>
      </c>
      <c r="L480" s="82">
        <f t="shared" si="3"/>
        <v>0.4995</v>
      </c>
      <c r="M480" s="66">
        <v>2.0</v>
      </c>
    </row>
    <row r="481">
      <c r="A481" s="83">
        <v>44655.0</v>
      </c>
      <c r="B481" s="83">
        <v>44655.0</v>
      </c>
      <c r="C481" s="66">
        <v>2022.0</v>
      </c>
      <c r="D481" s="66" t="s">
        <v>221</v>
      </c>
      <c r="E481" s="66">
        <v>0.0</v>
      </c>
      <c r="F481" s="66" t="s">
        <v>228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2">
        <f t="shared" si="2"/>
        <v>3.688</v>
      </c>
      <c r="L481" s="82">
        <f t="shared" si="3"/>
        <v>1.8396</v>
      </c>
      <c r="M481" s="66">
        <v>1.0</v>
      </c>
    </row>
    <row r="482">
      <c r="A482" s="83">
        <v>44655.0</v>
      </c>
      <c r="B482" s="83">
        <v>44655.0</v>
      </c>
      <c r="C482" s="66">
        <v>2093.0</v>
      </c>
      <c r="D482" s="66" t="s">
        <v>226</v>
      </c>
      <c r="E482" s="66">
        <v>0.0</v>
      </c>
      <c r="F482" s="66" t="s">
        <v>227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2">
        <f t="shared" si="2"/>
        <v>0.5859</v>
      </c>
      <c r="L482" s="82">
        <f t="shared" si="3"/>
        <v>0.0566</v>
      </c>
      <c r="M482" s="66">
        <v>1.0</v>
      </c>
    </row>
    <row r="483">
      <c r="A483" s="83">
        <v>44655.0</v>
      </c>
      <c r="B483" s="83">
        <v>44655.0</v>
      </c>
      <c r="C483" s="66">
        <v>2025.0</v>
      </c>
      <c r="D483" s="66" t="s">
        <v>226</v>
      </c>
      <c r="E483" s="66">
        <v>0.0</v>
      </c>
      <c r="F483" s="66" t="s">
        <v>228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2">
        <f t="shared" si="2"/>
        <v>6.465</v>
      </c>
      <c r="L483" s="82">
        <f t="shared" si="3"/>
        <v>2.9164</v>
      </c>
      <c r="M483" s="66">
        <v>1.0</v>
      </c>
    </row>
    <row r="484">
      <c r="A484" s="83">
        <v>44655.0</v>
      </c>
      <c r="B484" s="83">
        <v>44655.0</v>
      </c>
      <c r="C484" s="66">
        <v>2031.0</v>
      </c>
      <c r="D484" s="66" t="s">
        <v>226</v>
      </c>
      <c r="E484" s="66">
        <v>1.0</v>
      </c>
      <c r="F484" s="66" t="s">
        <v>228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2">
        <f t="shared" si="2"/>
        <v>1.0512</v>
      </c>
      <c r="L484" s="82">
        <f t="shared" si="3"/>
        <v>0.5281</v>
      </c>
      <c r="M484" s="66">
        <v>4.0</v>
      </c>
    </row>
    <row r="485">
      <c r="A485" s="83">
        <v>44655.0</v>
      </c>
      <c r="B485" s="83">
        <v>44655.0</v>
      </c>
      <c r="C485" s="66">
        <v>2011.0</v>
      </c>
      <c r="D485" s="66" t="s">
        <v>226</v>
      </c>
      <c r="E485" s="66">
        <v>1.0</v>
      </c>
      <c r="F485" s="66" t="s">
        <v>227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2">
        <f t="shared" si="2"/>
        <v>1.3373</v>
      </c>
      <c r="L485" s="82">
        <f t="shared" si="3"/>
        <v>0.7099</v>
      </c>
    </row>
    <row r="486">
      <c r="A486" s="83">
        <v>44655.0</v>
      </c>
      <c r="B486" s="83">
        <v>44655.0</v>
      </c>
      <c r="C486" s="66">
        <v>2020.0</v>
      </c>
      <c r="D486" s="66" t="s">
        <v>226</v>
      </c>
      <c r="E486" s="66">
        <v>0.0</v>
      </c>
      <c r="F486" s="66" t="s">
        <v>228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2">
        <f t="shared" si="2"/>
        <v>6.7443</v>
      </c>
      <c r="L486" s="82">
        <f t="shared" si="3"/>
        <v>2.9111</v>
      </c>
      <c r="M486" s="66">
        <v>2.0</v>
      </c>
    </row>
    <row r="487">
      <c r="A487" s="83">
        <v>44655.0</v>
      </c>
      <c r="B487" s="83">
        <v>44655.0</v>
      </c>
      <c r="C487" s="66">
        <v>2015.0</v>
      </c>
      <c r="D487" s="66" t="s">
        <v>226</v>
      </c>
      <c r="E487" s="66">
        <v>0.0</v>
      </c>
      <c r="F487" s="66" t="s">
        <v>228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2">
        <f t="shared" si="2"/>
        <v>7.9357</v>
      </c>
      <c r="L487" s="82">
        <f t="shared" si="3"/>
        <v>3.5406</v>
      </c>
    </row>
    <row r="488">
      <c r="A488" s="83">
        <v>44655.0</v>
      </c>
      <c r="B488" s="83">
        <v>44655.0</v>
      </c>
      <c r="C488" s="66">
        <v>1478.0</v>
      </c>
      <c r="D488" s="66" t="s">
        <v>226</v>
      </c>
      <c r="E488" s="66">
        <v>0.0</v>
      </c>
      <c r="F488" s="66" t="s">
        <v>227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2">
        <f t="shared" si="2"/>
        <v>0.8017</v>
      </c>
      <c r="L488" s="82">
        <f t="shared" si="3"/>
        <v>0.3296</v>
      </c>
      <c r="M488" s="66">
        <v>2.0</v>
      </c>
    </row>
    <row r="489">
      <c r="A489" s="83">
        <v>44655.0</v>
      </c>
      <c r="B489" s="83">
        <v>44655.0</v>
      </c>
      <c r="C489" s="66">
        <v>2029.0</v>
      </c>
      <c r="D489" s="66" t="s">
        <v>221</v>
      </c>
      <c r="E489" s="66">
        <v>1.0</v>
      </c>
      <c r="F489" s="66" t="s">
        <v>228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2">
        <f t="shared" si="2"/>
        <v>2.6257</v>
      </c>
      <c r="L489" s="82">
        <f t="shared" si="3"/>
        <v>1.5789</v>
      </c>
    </row>
    <row r="490">
      <c r="A490" s="83">
        <v>44655.0</v>
      </c>
      <c r="B490" s="83">
        <v>44655.0</v>
      </c>
      <c r="C490" s="66" t="s">
        <v>95</v>
      </c>
      <c r="D490" s="66" t="s">
        <v>226</v>
      </c>
      <c r="E490" s="66">
        <v>0.0</v>
      </c>
      <c r="F490" s="66" t="s">
        <v>222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2">
        <f t="shared" si="2"/>
        <v>4.3521</v>
      </c>
      <c r="L490" s="82">
        <f t="shared" si="3"/>
        <v>1.4657</v>
      </c>
      <c r="M490" s="66">
        <v>1.0</v>
      </c>
    </row>
    <row r="491">
      <c r="A491" s="83">
        <v>44655.0</v>
      </c>
      <c r="B491" s="83">
        <v>44655.0</v>
      </c>
      <c r="C491" s="66">
        <v>2030.0</v>
      </c>
      <c r="D491" s="66" t="s">
        <v>221</v>
      </c>
      <c r="E491" s="66">
        <v>1.0</v>
      </c>
      <c r="F491" s="66" t="s">
        <v>228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2">
        <f t="shared" si="2"/>
        <v>0.4189</v>
      </c>
      <c r="L491" s="82">
        <f t="shared" si="3"/>
        <v>0.2951</v>
      </c>
    </row>
    <row r="492">
      <c r="A492" s="83">
        <v>44655.0</v>
      </c>
      <c r="B492" s="83">
        <v>44655.0</v>
      </c>
      <c r="C492" s="66">
        <v>2090.0</v>
      </c>
      <c r="D492" s="66" t="s">
        <v>226</v>
      </c>
      <c r="E492" s="66">
        <v>0.0</v>
      </c>
      <c r="F492" s="66" t="s">
        <v>227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2">
        <f t="shared" si="2"/>
        <v>0.7299</v>
      </c>
      <c r="L492" s="82">
        <f t="shared" si="3"/>
        <v>0.1037</v>
      </c>
    </row>
    <row r="493">
      <c r="A493" s="83">
        <v>44655.0</v>
      </c>
      <c r="B493" s="83">
        <v>44655.0</v>
      </c>
      <c r="C493" s="66">
        <v>2090.0</v>
      </c>
      <c r="D493" s="66" t="s">
        <v>226</v>
      </c>
      <c r="E493" s="66">
        <v>0.0</v>
      </c>
      <c r="F493" s="66" t="s">
        <v>228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2">
        <f t="shared" si="2"/>
        <v>4.0436</v>
      </c>
      <c r="L493" s="82">
        <f t="shared" si="3"/>
        <v>1.4189</v>
      </c>
    </row>
    <row r="494">
      <c r="A494" s="83">
        <v>44655.0</v>
      </c>
      <c r="B494" s="83">
        <v>44655.0</v>
      </c>
      <c r="C494" s="66">
        <v>2022.0</v>
      </c>
      <c r="D494" s="66" t="s">
        <v>221</v>
      </c>
      <c r="E494" s="66">
        <v>0.0</v>
      </c>
      <c r="F494" s="66" t="s">
        <v>227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2">
        <f t="shared" si="2"/>
        <v>0.2797</v>
      </c>
      <c r="L494" s="82">
        <f t="shared" si="3"/>
        <v>0.1289</v>
      </c>
    </row>
    <row r="495">
      <c r="A495" s="83">
        <v>44655.0</v>
      </c>
      <c r="B495" s="83">
        <v>44655.0</v>
      </c>
      <c r="C495" s="66">
        <v>2008.0</v>
      </c>
      <c r="D495" s="66" t="s">
        <v>226</v>
      </c>
      <c r="E495" s="66">
        <v>1.0</v>
      </c>
      <c r="F495" s="66" t="s">
        <v>227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2">
        <f t="shared" si="2"/>
        <v>1.0855</v>
      </c>
      <c r="L495" s="82">
        <f t="shared" si="3"/>
        <v>0.7462</v>
      </c>
      <c r="M495" s="66">
        <v>3.0</v>
      </c>
    </row>
    <row r="496">
      <c r="A496" s="83">
        <v>44655.0</v>
      </c>
      <c r="B496" s="83">
        <v>44655.0</v>
      </c>
      <c r="C496" s="66">
        <v>2089.0</v>
      </c>
      <c r="D496" s="66" t="s">
        <v>226</v>
      </c>
      <c r="E496" s="66">
        <v>1.0</v>
      </c>
      <c r="F496" s="66" t="s">
        <v>227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2">
        <f t="shared" si="2"/>
        <v>0.0784</v>
      </c>
      <c r="L496" s="82">
        <f t="shared" si="3"/>
        <v>0.2789</v>
      </c>
      <c r="M496" s="66">
        <v>4.0</v>
      </c>
    </row>
    <row r="497">
      <c r="A497" s="83">
        <v>44655.0</v>
      </c>
      <c r="B497" s="83">
        <v>44655.0</v>
      </c>
      <c r="C497" s="66">
        <v>2026.0</v>
      </c>
      <c r="D497" s="66" t="s">
        <v>226</v>
      </c>
      <c r="E497" s="66">
        <v>0.0</v>
      </c>
      <c r="F497" s="66" t="s">
        <v>227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2">
        <f t="shared" si="2"/>
        <v>0.3284</v>
      </c>
      <c r="L497" s="82">
        <f t="shared" si="3"/>
        <v>0.1592</v>
      </c>
      <c r="M497" s="66">
        <v>5.0</v>
      </c>
    </row>
    <row r="498">
      <c r="A498" s="83">
        <v>44655.0</v>
      </c>
      <c r="B498" s="83">
        <v>44655.0</v>
      </c>
      <c r="C498" s="66">
        <v>2013.0</v>
      </c>
      <c r="D498" s="66" t="s">
        <v>221</v>
      </c>
      <c r="E498" s="66">
        <v>1.0</v>
      </c>
      <c r="F498" s="66" t="s">
        <v>227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2">
        <f t="shared" si="2"/>
        <v>0.8687</v>
      </c>
      <c r="L498" s="82">
        <f t="shared" si="3"/>
        <v>0.4032</v>
      </c>
    </row>
    <row r="499">
      <c r="A499" s="83">
        <v>44655.0</v>
      </c>
      <c r="B499" s="83">
        <v>44655.0</v>
      </c>
      <c r="C499" s="66">
        <v>2007.0</v>
      </c>
      <c r="D499" s="66" t="s">
        <v>226</v>
      </c>
      <c r="E499" s="66">
        <v>1.0</v>
      </c>
      <c r="F499" s="66" t="s">
        <v>227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2">
        <f t="shared" si="2"/>
        <v>0.6125</v>
      </c>
      <c r="L499" s="82">
        <f t="shared" si="3"/>
        <v>0.2827</v>
      </c>
    </row>
    <row r="500">
      <c r="A500" s="83">
        <v>44655.0</v>
      </c>
      <c r="B500" s="83">
        <v>44655.0</v>
      </c>
      <c r="C500" s="66">
        <v>2030.0</v>
      </c>
      <c r="D500" s="66" t="s">
        <v>221</v>
      </c>
      <c r="E500" s="66">
        <v>1.0</v>
      </c>
      <c r="F500" s="66" t="s">
        <v>227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2">
        <f t="shared" si="2"/>
        <v>0.1612</v>
      </c>
      <c r="L500" s="82">
        <f t="shared" si="3"/>
        <v>0.3165</v>
      </c>
    </row>
    <row r="501">
      <c r="A501" s="83">
        <v>44655.0</v>
      </c>
      <c r="B501" s="83">
        <v>44655.0</v>
      </c>
      <c r="C501" s="66" t="s">
        <v>95</v>
      </c>
      <c r="D501" s="66" t="s">
        <v>226</v>
      </c>
      <c r="E501" s="66">
        <v>0.0</v>
      </c>
      <c r="F501" s="66" t="s">
        <v>222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2">
        <f t="shared" si="2"/>
        <v>5.6016</v>
      </c>
      <c r="L501" s="82">
        <f t="shared" si="3"/>
        <v>1.7449</v>
      </c>
    </row>
    <row r="502">
      <c r="A502" s="83">
        <v>44655.0</v>
      </c>
      <c r="B502" s="83">
        <v>44655.0</v>
      </c>
      <c r="C502" s="66">
        <v>2030.0</v>
      </c>
      <c r="D502" s="66" t="s">
        <v>221</v>
      </c>
      <c r="E502" s="66">
        <v>0.0</v>
      </c>
      <c r="F502" s="66" t="s">
        <v>227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2">
        <f t="shared" si="2"/>
        <v>0.3</v>
      </c>
      <c r="L502" s="82">
        <f t="shared" si="3"/>
        <v>0.2047</v>
      </c>
    </row>
    <row r="503">
      <c r="A503" s="83">
        <v>44655.0</v>
      </c>
      <c r="B503" s="83">
        <v>44655.0</v>
      </c>
      <c r="C503" s="66">
        <v>2022.0</v>
      </c>
      <c r="D503" s="66" t="s">
        <v>221</v>
      </c>
      <c r="E503" s="66">
        <v>1.0</v>
      </c>
      <c r="F503" s="66" t="s">
        <v>228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2">
        <f t="shared" si="2"/>
        <v>3.2999</v>
      </c>
      <c r="L503" s="82">
        <f t="shared" si="3"/>
        <v>1.9175</v>
      </c>
    </row>
    <row r="504">
      <c r="A504" s="83">
        <v>44655.0</v>
      </c>
      <c r="B504" s="83">
        <v>44655.0</v>
      </c>
      <c r="C504" s="66">
        <v>2014.0</v>
      </c>
      <c r="D504" s="66" t="s">
        <v>226</v>
      </c>
      <c r="E504" s="66">
        <v>1.0</v>
      </c>
      <c r="F504" s="66" t="s">
        <v>227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2">
        <f t="shared" si="2"/>
        <v>1.3151</v>
      </c>
      <c r="L504" s="82">
        <f t="shared" si="3"/>
        <v>0.3989</v>
      </c>
    </row>
    <row r="505">
      <c r="A505" s="83">
        <v>44655.0</v>
      </c>
      <c r="B505" s="83">
        <v>44655.0</v>
      </c>
      <c r="C505" s="66">
        <v>2301.0</v>
      </c>
      <c r="D505" s="66" t="s">
        <v>226</v>
      </c>
      <c r="E505" s="66">
        <v>1.0</v>
      </c>
      <c r="F505" s="66" t="s">
        <v>228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2">
        <f t="shared" si="2"/>
        <v>6.8129</v>
      </c>
      <c r="L505" s="82">
        <f t="shared" si="3"/>
        <v>4.231</v>
      </c>
    </row>
    <row r="506">
      <c r="A506" s="83">
        <v>44655.0</v>
      </c>
      <c r="B506" s="83">
        <v>44655.0</v>
      </c>
      <c r="C506" s="66">
        <v>2377.0</v>
      </c>
      <c r="D506" s="66" t="s">
        <v>226</v>
      </c>
      <c r="E506" s="66">
        <v>0.0</v>
      </c>
      <c r="F506" s="66" t="s">
        <v>228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2">
        <f t="shared" si="2"/>
        <v>0.9708</v>
      </c>
      <c r="L506" s="82">
        <f t="shared" si="3"/>
        <v>0.508</v>
      </c>
    </row>
    <row r="507">
      <c r="A507" s="83">
        <v>44655.0</v>
      </c>
      <c r="B507" s="83">
        <v>44655.0</v>
      </c>
      <c r="C507" s="66">
        <v>2343.0</v>
      </c>
      <c r="D507" s="66" t="s">
        <v>226</v>
      </c>
      <c r="E507" s="66">
        <v>0.0</v>
      </c>
      <c r="F507" s="66" t="s">
        <v>228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2">
        <f t="shared" si="2"/>
        <v>7.8771</v>
      </c>
      <c r="L507" s="82">
        <f t="shared" si="3"/>
        <v>3.733</v>
      </c>
    </row>
    <row r="508">
      <c r="A508" s="83">
        <v>44655.0</v>
      </c>
      <c r="B508" s="83">
        <v>44655.0</v>
      </c>
      <c r="C508" s="66">
        <v>2384.0</v>
      </c>
      <c r="D508" s="66" t="s">
        <v>226</v>
      </c>
      <c r="E508" s="66">
        <v>0.0</v>
      </c>
      <c r="F508" s="66" t="s">
        <v>228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2">
        <f t="shared" si="2"/>
        <v>2.3248</v>
      </c>
      <c r="L508" s="82">
        <f t="shared" si="3"/>
        <v>1.252</v>
      </c>
    </row>
    <row r="509">
      <c r="A509" s="83">
        <v>44655.0</v>
      </c>
      <c r="B509" s="83">
        <v>44655.0</v>
      </c>
      <c r="C509" s="66">
        <v>2009.0</v>
      </c>
      <c r="D509" s="66" t="s">
        <v>226</v>
      </c>
      <c r="E509" s="66">
        <v>0.0</v>
      </c>
      <c r="F509" s="66" t="s">
        <v>228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2">
        <f t="shared" si="2"/>
        <v>5.8315</v>
      </c>
      <c r="L509" s="82">
        <f t="shared" si="3"/>
        <v>2.846</v>
      </c>
    </row>
    <row r="510">
      <c r="A510" s="83">
        <v>44655.0</v>
      </c>
      <c r="B510" s="83">
        <v>44655.0</v>
      </c>
      <c r="C510" s="66">
        <v>2331.0</v>
      </c>
      <c r="D510" s="66" t="s">
        <v>226</v>
      </c>
      <c r="E510" s="66">
        <v>1.0</v>
      </c>
      <c r="F510" s="66" t="s">
        <v>228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2">
        <f t="shared" si="2"/>
        <v>5.9126</v>
      </c>
      <c r="L510" s="82">
        <f t="shared" si="3"/>
        <v>3.726</v>
      </c>
    </row>
    <row r="511">
      <c r="A511" s="83">
        <v>44655.0</v>
      </c>
      <c r="B511" s="83">
        <v>44655.0</v>
      </c>
      <c r="C511" s="66">
        <v>2354.0</v>
      </c>
      <c r="D511" s="66" t="s">
        <v>226</v>
      </c>
      <c r="E511" s="66">
        <v>0.0</v>
      </c>
      <c r="F511" s="66" t="s">
        <v>228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2">
        <f t="shared" si="2"/>
        <v>3.4094</v>
      </c>
      <c r="L511" s="82">
        <f t="shared" si="3"/>
        <v>1.696</v>
      </c>
    </row>
    <row r="512">
      <c r="A512" s="83">
        <v>44655.0</v>
      </c>
      <c r="B512" s="83">
        <v>44655.0</v>
      </c>
      <c r="C512" s="66">
        <v>2354.0</v>
      </c>
      <c r="D512" s="66" t="s">
        <v>226</v>
      </c>
      <c r="E512" s="66">
        <v>1.0</v>
      </c>
      <c r="F512" s="66" t="s">
        <v>228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2">
        <f t="shared" si="2"/>
        <v>3.8779</v>
      </c>
      <c r="L512" s="82">
        <f t="shared" si="3"/>
        <v>2.346</v>
      </c>
    </row>
    <row r="513">
      <c r="A513" s="83">
        <v>44655.0</v>
      </c>
      <c r="B513" s="83">
        <v>44655.0</v>
      </c>
      <c r="C513" s="66">
        <v>2372.0</v>
      </c>
      <c r="D513" s="66" t="s">
        <v>226</v>
      </c>
      <c r="E513" s="66">
        <v>0.0</v>
      </c>
      <c r="F513" s="66" t="s">
        <v>228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2">
        <f t="shared" si="2"/>
        <v>3.5645</v>
      </c>
      <c r="L513" s="82">
        <f t="shared" si="3"/>
        <v>1.649</v>
      </c>
    </row>
    <row r="514">
      <c r="A514" s="83">
        <v>44655.0</v>
      </c>
      <c r="B514" s="83">
        <v>44655.0</v>
      </c>
      <c r="C514" s="66">
        <v>2369.0</v>
      </c>
      <c r="D514" s="66" t="s">
        <v>226</v>
      </c>
      <c r="E514" s="66">
        <v>0.0</v>
      </c>
      <c r="F514" s="66" t="s">
        <v>228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2">
        <f t="shared" si="2"/>
        <v>2.7164</v>
      </c>
      <c r="L514" s="82">
        <f t="shared" si="3"/>
        <v>1.375</v>
      </c>
    </row>
    <row r="515">
      <c r="A515" s="83">
        <v>44655.0</v>
      </c>
      <c r="B515" s="83">
        <v>44655.0</v>
      </c>
      <c r="C515" s="66">
        <v>2367.0</v>
      </c>
      <c r="D515" s="66" t="s">
        <v>226</v>
      </c>
      <c r="E515" s="66">
        <v>0.0</v>
      </c>
      <c r="F515" s="66" t="s">
        <v>228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2">
        <f t="shared" si="2"/>
        <v>2.7037</v>
      </c>
      <c r="L515" s="82">
        <f t="shared" si="3"/>
        <v>1.385</v>
      </c>
    </row>
    <row r="516">
      <c r="A516" s="83">
        <v>44655.0</v>
      </c>
      <c r="B516" s="83">
        <v>44655.0</v>
      </c>
      <c r="C516" s="66">
        <v>2378.0</v>
      </c>
      <c r="D516" s="66" t="s">
        <v>226</v>
      </c>
      <c r="E516" s="66">
        <v>0.0</v>
      </c>
      <c r="F516" s="66" t="s">
        <v>228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2">
        <f t="shared" si="2"/>
        <v>4.9918</v>
      </c>
      <c r="L516" s="82">
        <f t="shared" si="3"/>
        <v>2.6</v>
      </c>
    </row>
    <row r="517">
      <c r="A517" s="83">
        <v>44655.0</v>
      </c>
      <c r="B517" s="83">
        <v>44655.0</v>
      </c>
      <c r="C517" s="66">
        <v>2383.0</v>
      </c>
      <c r="D517" s="66" t="s">
        <v>226</v>
      </c>
      <c r="E517" s="66">
        <v>0.0</v>
      </c>
      <c r="F517" s="66" t="s">
        <v>228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2">
        <f t="shared" si="2"/>
        <v>5.9707</v>
      </c>
      <c r="L517" s="82">
        <f t="shared" si="3"/>
        <v>3.208</v>
      </c>
    </row>
    <row r="518">
      <c r="A518" s="83">
        <v>44655.0</v>
      </c>
      <c r="B518" s="83">
        <v>44655.0</v>
      </c>
      <c r="C518" s="66">
        <v>2370.0</v>
      </c>
      <c r="D518" s="66" t="s">
        <v>226</v>
      </c>
      <c r="E518" s="66">
        <v>0.0</v>
      </c>
      <c r="F518" s="66" t="s">
        <v>228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2">
        <f t="shared" si="2"/>
        <v>3.2043</v>
      </c>
      <c r="L518" s="82">
        <f t="shared" si="3"/>
        <v>1.438</v>
      </c>
    </row>
    <row r="519">
      <c r="A519" s="83">
        <v>44655.0</v>
      </c>
      <c r="B519" s="83">
        <v>44655.0</v>
      </c>
      <c r="C519" s="66">
        <v>2347.0</v>
      </c>
      <c r="D519" s="66" t="s">
        <v>226</v>
      </c>
      <c r="E519" s="66">
        <v>0.0</v>
      </c>
      <c r="F519" s="66" t="s">
        <v>228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2">
        <f t="shared" si="2"/>
        <v>5.2775</v>
      </c>
      <c r="L519" s="82">
        <f t="shared" si="3"/>
        <v>2.469</v>
      </c>
    </row>
    <row r="520">
      <c r="A520" s="83">
        <v>44655.0</v>
      </c>
      <c r="B520" s="83">
        <v>44655.0</v>
      </c>
      <c r="C520" s="66">
        <v>2352.0</v>
      </c>
      <c r="D520" s="66" t="s">
        <v>226</v>
      </c>
      <c r="E520" s="66">
        <v>0.0</v>
      </c>
      <c r="F520" s="66" t="s">
        <v>228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2">
        <f t="shared" si="2"/>
        <v>0.7679</v>
      </c>
      <c r="L520" s="82">
        <f t="shared" si="3"/>
        <v>0.428</v>
      </c>
    </row>
    <row r="521">
      <c r="A521" s="83">
        <v>44655.0</v>
      </c>
      <c r="B521" s="83">
        <v>44655.0</v>
      </c>
      <c r="C521" s="66">
        <v>2360.0</v>
      </c>
      <c r="D521" s="66" t="s">
        <v>226</v>
      </c>
      <c r="E521" s="66">
        <v>0.0</v>
      </c>
      <c r="F521" s="66" t="s">
        <v>228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2">
        <f t="shared" si="2"/>
        <v>6.6461</v>
      </c>
      <c r="L521" s="82">
        <f t="shared" si="3"/>
        <v>3.574</v>
      </c>
    </row>
    <row r="522">
      <c r="A522" s="83">
        <v>44655.0</v>
      </c>
      <c r="B522" s="83">
        <v>44655.0</v>
      </c>
      <c r="C522" s="66">
        <v>2371.0</v>
      </c>
      <c r="D522" s="66" t="s">
        <v>226</v>
      </c>
      <c r="E522" s="66">
        <v>0.0</v>
      </c>
      <c r="F522" s="66" t="s">
        <v>228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2">
        <f t="shared" si="2"/>
        <v>5.3934</v>
      </c>
      <c r="L522" s="82">
        <f t="shared" si="3"/>
        <v>2.118</v>
      </c>
    </row>
    <row r="523">
      <c r="A523" s="83">
        <v>44655.0</v>
      </c>
      <c r="B523" s="83">
        <v>44655.0</v>
      </c>
      <c r="C523" s="66">
        <v>2352.0</v>
      </c>
      <c r="D523" s="66" t="s">
        <v>226</v>
      </c>
      <c r="E523" s="66">
        <v>1.0</v>
      </c>
      <c r="F523" s="66" t="s">
        <v>228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2">
        <f t="shared" si="2"/>
        <v>3.1857</v>
      </c>
      <c r="L523" s="82">
        <f t="shared" si="3"/>
        <v>2.137</v>
      </c>
    </row>
    <row r="524">
      <c r="A524" s="83">
        <v>44655.0</v>
      </c>
      <c r="B524" s="83">
        <v>44655.0</v>
      </c>
      <c r="C524" s="66">
        <v>2377.0</v>
      </c>
      <c r="D524" s="66" t="s">
        <v>226</v>
      </c>
      <c r="E524" s="66">
        <v>1.0</v>
      </c>
      <c r="F524" s="66" t="s">
        <v>228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2">
        <f t="shared" si="2"/>
        <v>5.6534</v>
      </c>
      <c r="L524" s="82">
        <f t="shared" si="3"/>
        <v>3.478</v>
      </c>
    </row>
    <row r="525">
      <c r="A525" s="83">
        <v>44655.0</v>
      </c>
      <c r="B525" s="83">
        <v>44655.0</v>
      </c>
      <c r="C525" s="66">
        <v>2365.0</v>
      </c>
      <c r="D525" s="66" t="s">
        <v>226</v>
      </c>
      <c r="E525" s="66">
        <v>0.0</v>
      </c>
      <c r="F525" s="66" t="s">
        <v>228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2">
        <f t="shared" si="2"/>
        <v>3.4957</v>
      </c>
      <c r="L525" s="82">
        <f t="shared" si="3"/>
        <v>1.755</v>
      </c>
    </row>
    <row r="526">
      <c r="A526" s="83">
        <v>44657.0</v>
      </c>
      <c r="B526" s="83">
        <v>44657.0</v>
      </c>
      <c r="C526" s="66">
        <v>2380.0</v>
      </c>
      <c r="D526" s="66" t="s">
        <v>221</v>
      </c>
      <c r="E526" s="66">
        <v>1.0</v>
      </c>
      <c r="F526" s="66" t="s">
        <v>227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2">
        <f t="shared" si="2"/>
        <v>1.2424</v>
      </c>
      <c r="L526" s="82">
        <f t="shared" si="3"/>
        <v>0.7755</v>
      </c>
    </row>
    <row r="527">
      <c r="A527" s="83">
        <v>44663.0</v>
      </c>
      <c r="B527" s="83">
        <v>44663.0</v>
      </c>
      <c r="C527" s="66" t="s">
        <v>235</v>
      </c>
      <c r="D527" s="66" t="s">
        <v>221</v>
      </c>
      <c r="E527" s="66">
        <v>0.0</v>
      </c>
      <c r="F527" s="66" t="s">
        <v>227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2">
        <f t="shared" si="2"/>
        <v>0.8633</v>
      </c>
      <c r="L527" s="82">
        <f t="shared" si="3"/>
        <v>2.8839</v>
      </c>
    </row>
    <row r="528">
      <c r="A528" s="83">
        <v>44663.0</v>
      </c>
      <c r="B528" s="83">
        <v>44663.0</v>
      </c>
      <c r="C528" s="66" t="s">
        <v>95</v>
      </c>
      <c r="D528" s="66" t="s">
        <v>221</v>
      </c>
      <c r="E528" s="66">
        <v>0.0</v>
      </c>
      <c r="F528" s="66" t="s">
        <v>228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2">
        <f t="shared" si="2"/>
        <v>7.0288</v>
      </c>
      <c r="L528" s="82">
        <f t="shared" si="3"/>
        <v>2.2173</v>
      </c>
    </row>
    <row r="529">
      <c r="A529" s="83">
        <v>44663.0</v>
      </c>
      <c r="B529" s="83">
        <v>44663.0</v>
      </c>
      <c r="C529" s="66" t="s">
        <v>236</v>
      </c>
      <c r="D529" s="66" t="s">
        <v>221</v>
      </c>
      <c r="E529" s="66">
        <v>0.0</v>
      </c>
      <c r="F529" s="66" t="s">
        <v>227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2">
        <f t="shared" si="2"/>
        <v>4.3764</v>
      </c>
      <c r="L529" s="82">
        <f t="shared" si="3"/>
        <v>1.5957</v>
      </c>
    </row>
    <row r="530">
      <c r="A530" s="83">
        <v>44663.0</v>
      </c>
      <c r="B530" s="83">
        <v>44663.0</v>
      </c>
      <c r="C530" s="66" t="s">
        <v>236</v>
      </c>
      <c r="D530" s="66" t="s">
        <v>221</v>
      </c>
      <c r="E530" s="66">
        <v>0.0</v>
      </c>
      <c r="F530" s="66" t="s">
        <v>227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2">
        <f t="shared" si="2"/>
        <v>3.8135</v>
      </c>
      <c r="L530" s="82">
        <f t="shared" si="3"/>
        <v>0.8201</v>
      </c>
    </row>
    <row r="531">
      <c r="A531" s="83">
        <v>44663.0</v>
      </c>
      <c r="B531" s="83">
        <v>44663.0</v>
      </c>
      <c r="C531" s="66" t="s">
        <v>235</v>
      </c>
      <c r="D531" s="66" t="s">
        <v>221</v>
      </c>
      <c r="E531" s="66">
        <v>0.0</v>
      </c>
      <c r="F531" s="66" t="s">
        <v>227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2">
        <f t="shared" si="2"/>
        <v>3.2203</v>
      </c>
      <c r="L531" s="82">
        <f t="shared" si="3"/>
        <v>1.0234</v>
      </c>
    </row>
    <row r="532">
      <c r="A532" s="83">
        <v>44663.0</v>
      </c>
      <c r="B532" s="83">
        <v>44663.0</v>
      </c>
      <c r="C532" s="66">
        <v>2006.0</v>
      </c>
      <c r="D532" s="66" t="s">
        <v>221</v>
      </c>
      <c r="E532" s="66">
        <v>0.0</v>
      </c>
      <c r="F532" s="66" t="s">
        <v>228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2">
        <f t="shared" si="2"/>
        <v>4.8886</v>
      </c>
      <c r="L532" s="82">
        <f t="shared" si="3"/>
        <v>2.4284</v>
      </c>
    </row>
    <row r="533">
      <c r="A533" s="83">
        <v>44663.0</v>
      </c>
      <c r="B533" s="83">
        <v>44663.0</v>
      </c>
      <c r="C533" s="66">
        <v>2006.0</v>
      </c>
      <c r="D533" s="66" t="s">
        <v>221</v>
      </c>
      <c r="E533" s="66">
        <v>0.0</v>
      </c>
      <c r="F533" s="66" t="s">
        <v>227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2">
        <f t="shared" si="2"/>
        <v>0.5803</v>
      </c>
      <c r="L533" s="82">
        <f t="shared" si="3"/>
        <v>0.267</v>
      </c>
    </row>
    <row r="534">
      <c r="A534" s="83">
        <v>44663.0</v>
      </c>
      <c r="B534" s="83">
        <v>44663.0</v>
      </c>
      <c r="C534" s="66">
        <v>2004.0</v>
      </c>
      <c r="D534" s="66" t="s">
        <v>221</v>
      </c>
      <c r="E534" s="66">
        <v>0.0</v>
      </c>
      <c r="F534" s="66" t="s">
        <v>227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2">
        <f t="shared" si="2"/>
        <v>0.8635</v>
      </c>
      <c r="L534" s="82">
        <f t="shared" si="3"/>
        <v>0.3937</v>
      </c>
    </row>
    <row r="535">
      <c r="A535" s="83">
        <v>44663.0</v>
      </c>
      <c r="B535" s="83">
        <v>44663.0</v>
      </c>
      <c r="C535" s="66" t="s">
        <v>95</v>
      </c>
      <c r="D535" s="66" t="s">
        <v>221</v>
      </c>
      <c r="E535" s="66">
        <v>0.0</v>
      </c>
      <c r="F535" s="66" t="s">
        <v>228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2">
        <f t="shared" si="2"/>
        <v>10.4698</v>
      </c>
      <c r="L535" s="82">
        <f t="shared" si="3"/>
        <v>3.0366</v>
      </c>
    </row>
    <row r="536">
      <c r="A536" s="83">
        <v>44663.0</v>
      </c>
      <c r="B536" s="83">
        <v>44663.0</v>
      </c>
      <c r="C536" s="66" t="s">
        <v>235</v>
      </c>
      <c r="D536" s="66" t="s">
        <v>221</v>
      </c>
      <c r="E536" s="66">
        <v>0.0</v>
      </c>
      <c r="F536" s="66" t="s">
        <v>228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2">
        <f t="shared" si="2"/>
        <v>9.6481</v>
      </c>
      <c r="L536" s="82">
        <f t="shared" si="3"/>
        <v>3.1885</v>
      </c>
    </row>
    <row r="537">
      <c r="A537" s="83">
        <v>44663.0</v>
      </c>
      <c r="B537" s="83">
        <v>44663.0</v>
      </c>
      <c r="C537" s="66" t="s">
        <v>235</v>
      </c>
      <c r="D537" s="66" t="s">
        <v>221</v>
      </c>
      <c r="E537" s="66">
        <v>0.0</v>
      </c>
      <c r="F537" s="66" t="s">
        <v>228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2">
        <f t="shared" si="2"/>
        <v>10.5125</v>
      </c>
      <c r="L537" s="82">
        <f t="shared" si="3"/>
        <v>3.6179</v>
      </c>
    </row>
    <row r="538">
      <c r="A538" s="83">
        <v>44663.0</v>
      </c>
      <c r="B538" s="83">
        <v>44663.0</v>
      </c>
      <c r="C538" s="66" t="s">
        <v>95</v>
      </c>
      <c r="D538" s="66" t="s">
        <v>221</v>
      </c>
      <c r="E538" s="66">
        <v>0.0</v>
      </c>
      <c r="F538" s="66" t="s">
        <v>227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2">
        <f t="shared" si="2"/>
        <v>2.6212</v>
      </c>
      <c r="L538" s="82">
        <f t="shared" si="3"/>
        <v>0.8301</v>
      </c>
    </row>
    <row r="539">
      <c r="A539" s="83">
        <v>44663.0</v>
      </c>
      <c r="B539" s="83">
        <v>44663.0</v>
      </c>
      <c r="C539" s="66" t="s">
        <v>236</v>
      </c>
      <c r="D539" s="66" t="s">
        <v>221</v>
      </c>
      <c r="E539" s="66">
        <v>0.0</v>
      </c>
      <c r="F539" s="66" t="s">
        <v>228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2">
        <f t="shared" si="2"/>
        <v>17.7833</v>
      </c>
      <c r="L539" s="82">
        <f t="shared" si="3"/>
        <v>4.2208</v>
      </c>
    </row>
    <row r="540">
      <c r="A540" s="83">
        <v>44663.0</v>
      </c>
      <c r="B540" s="83">
        <v>44663.0</v>
      </c>
      <c r="C540" s="66" t="s">
        <v>95</v>
      </c>
      <c r="D540" s="66" t="s">
        <v>221</v>
      </c>
      <c r="E540" s="66">
        <v>0.0</v>
      </c>
      <c r="F540" s="66" t="s">
        <v>227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2">
        <f t="shared" si="2"/>
        <v>2.6341</v>
      </c>
      <c r="L540" s="82">
        <f t="shared" si="3"/>
        <v>0.6881</v>
      </c>
    </row>
    <row r="541">
      <c r="A541" s="83">
        <v>44663.0</v>
      </c>
      <c r="B541" s="83">
        <v>44663.0</v>
      </c>
      <c r="C541" s="66" t="s">
        <v>236</v>
      </c>
      <c r="D541" s="66" t="s">
        <v>221</v>
      </c>
      <c r="E541" s="66">
        <v>0.0</v>
      </c>
      <c r="F541" s="66" t="s">
        <v>228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2">
        <f t="shared" si="2"/>
        <v>18.4209</v>
      </c>
      <c r="L541" s="82">
        <f t="shared" si="3"/>
        <v>4.7222</v>
      </c>
    </row>
    <row r="542">
      <c r="A542" s="83">
        <v>44663.0</v>
      </c>
      <c r="B542" s="83">
        <v>44663.0</v>
      </c>
      <c r="C542" s="66" t="s">
        <v>236</v>
      </c>
      <c r="D542" s="66" t="s">
        <v>221</v>
      </c>
      <c r="E542" s="66">
        <v>0.0</v>
      </c>
      <c r="F542" s="66" t="s">
        <v>228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2">
        <f t="shared" si="2"/>
        <v>9.0057</v>
      </c>
      <c r="L542" s="82">
        <f t="shared" si="3"/>
        <v>2.335</v>
      </c>
    </row>
    <row r="543">
      <c r="A543" s="83">
        <v>44663.0</v>
      </c>
      <c r="B543" s="83">
        <v>44663.0</v>
      </c>
      <c r="C543" s="66" t="s">
        <v>95</v>
      </c>
      <c r="D543" s="66" t="s">
        <v>221</v>
      </c>
      <c r="E543" s="66">
        <v>0.0</v>
      </c>
      <c r="F543" s="66" t="s">
        <v>228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2">
        <f t="shared" si="2"/>
        <v>10.4567</v>
      </c>
      <c r="L543" s="82">
        <f t="shared" si="3"/>
        <v>3.878</v>
      </c>
    </row>
    <row r="544">
      <c r="A544" s="83">
        <v>44663.0</v>
      </c>
      <c r="B544" s="83">
        <v>44663.0</v>
      </c>
      <c r="C544" s="66" t="s">
        <v>95</v>
      </c>
      <c r="D544" s="66" t="s">
        <v>221</v>
      </c>
      <c r="E544" s="66">
        <v>0.0</v>
      </c>
      <c r="F544" s="66" t="s">
        <v>227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2">
        <f t="shared" si="2"/>
        <v>3.653</v>
      </c>
      <c r="L544" s="82">
        <f t="shared" si="3"/>
        <v>1.2024</v>
      </c>
    </row>
    <row r="545">
      <c r="A545" s="83">
        <v>44663.0</v>
      </c>
      <c r="B545" s="83">
        <v>44663.0</v>
      </c>
      <c r="C545" s="66" t="s">
        <v>236</v>
      </c>
      <c r="D545" s="66" t="s">
        <v>221</v>
      </c>
      <c r="E545" s="66">
        <v>0.0</v>
      </c>
      <c r="F545" s="66" t="s">
        <v>227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2">
        <f t="shared" si="2"/>
        <v>6.0255</v>
      </c>
      <c r="L545" s="82">
        <f t="shared" si="3"/>
        <v>0.6797</v>
      </c>
    </row>
    <row r="546">
      <c r="A546" s="83">
        <v>44663.0</v>
      </c>
      <c r="B546" s="83">
        <v>44663.0</v>
      </c>
      <c r="C546" s="66">
        <v>2004.0</v>
      </c>
      <c r="D546" s="66" t="s">
        <v>221</v>
      </c>
      <c r="E546" s="66">
        <v>0.0</v>
      </c>
      <c r="F546" s="66" t="s">
        <v>228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2">
        <f t="shared" si="2"/>
        <v>4.0305</v>
      </c>
      <c r="L546" s="82">
        <f t="shared" si="3"/>
        <v>2.0209</v>
      </c>
    </row>
    <row r="547">
      <c r="A547" s="83">
        <v>44670.0</v>
      </c>
      <c r="B547" s="83">
        <v>44670.0</v>
      </c>
      <c r="C547" s="66" t="s">
        <v>236</v>
      </c>
      <c r="D547" s="66" t="s">
        <v>221</v>
      </c>
      <c r="E547" s="66">
        <v>0.0</v>
      </c>
      <c r="F547" s="66" t="s">
        <v>228</v>
      </c>
      <c r="G547" s="66">
        <v>0.0</v>
      </c>
      <c r="H547" s="66">
        <v>66.9646</v>
      </c>
      <c r="I547" s="66">
        <v>76.6037</v>
      </c>
      <c r="J547" s="66">
        <v>69.0606</v>
      </c>
      <c r="K547" s="82">
        <f t="shared" si="2"/>
        <v>9.6391</v>
      </c>
      <c r="L547" s="82">
        <f t="shared" si="3"/>
        <v>2.096</v>
      </c>
    </row>
    <row r="548">
      <c r="A548" s="83">
        <v>44670.0</v>
      </c>
      <c r="B548" s="83">
        <v>44670.0</v>
      </c>
      <c r="C548" s="66" t="s">
        <v>235</v>
      </c>
      <c r="D548" s="66" t="s">
        <v>221</v>
      </c>
      <c r="E548" s="66">
        <v>0.0</v>
      </c>
      <c r="F548" s="66" t="s">
        <v>227</v>
      </c>
      <c r="G548" s="66">
        <v>0.0</v>
      </c>
      <c r="H548" s="66">
        <v>68.1925</v>
      </c>
      <c r="I548" s="66">
        <v>70.0782</v>
      </c>
      <c r="J548" s="66">
        <v>68.7375</v>
      </c>
      <c r="K548" s="82">
        <f t="shared" si="2"/>
        <v>1.8857</v>
      </c>
      <c r="L548" s="82">
        <f t="shared" si="3"/>
        <v>0.545</v>
      </c>
    </row>
    <row r="549">
      <c r="A549" s="83">
        <v>44670.0</v>
      </c>
      <c r="B549" s="83">
        <v>44670.0</v>
      </c>
      <c r="C549" s="66" t="s">
        <v>236</v>
      </c>
      <c r="D549" s="66" t="s">
        <v>221</v>
      </c>
      <c r="E549" s="66">
        <v>0.0</v>
      </c>
      <c r="F549" s="66" t="s">
        <v>228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2">
        <f t="shared" si="2"/>
        <v>11.4107</v>
      </c>
      <c r="L549" s="82">
        <f t="shared" si="3"/>
        <v>2.6453</v>
      </c>
    </row>
    <row r="550">
      <c r="A550" s="83">
        <v>44670.0</v>
      </c>
      <c r="B550" s="83">
        <v>44670.0</v>
      </c>
      <c r="C550" s="66" t="s">
        <v>236</v>
      </c>
      <c r="D550" s="66" t="s">
        <v>221</v>
      </c>
      <c r="E550" s="66">
        <v>0.0</v>
      </c>
      <c r="F550" s="66" t="s">
        <v>228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2">
        <f t="shared" si="2"/>
        <v>8.8427</v>
      </c>
      <c r="L550" s="82">
        <f t="shared" si="3"/>
        <v>2.4186</v>
      </c>
    </row>
    <row r="551">
      <c r="A551" s="83">
        <v>44670.0</v>
      </c>
      <c r="B551" s="83">
        <v>44670.0</v>
      </c>
      <c r="C551" s="66" t="s">
        <v>235</v>
      </c>
      <c r="D551" s="66" t="s">
        <v>221</v>
      </c>
      <c r="E551" s="66">
        <v>0.0</v>
      </c>
      <c r="F551" s="66" t="s">
        <v>227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2">
        <f t="shared" si="2"/>
        <v>1.645</v>
      </c>
      <c r="L551" s="82">
        <f t="shared" si="3"/>
        <v>0.5107</v>
      </c>
    </row>
    <row r="552">
      <c r="A552" s="83">
        <v>44670.0</v>
      </c>
      <c r="B552" s="83">
        <v>44670.0</v>
      </c>
      <c r="C552" s="66" t="s">
        <v>95</v>
      </c>
      <c r="D552" s="66" t="s">
        <v>221</v>
      </c>
      <c r="E552" s="66">
        <v>0.0</v>
      </c>
      <c r="F552" s="66" t="s">
        <v>227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2">
        <f t="shared" si="2"/>
        <v>1.6859</v>
      </c>
      <c r="L552" s="82">
        <f t="shared" si="3"/>
        <v>0.3923</v>
      </c>
    </row>
    <row r="553">
      <c r="A553" s="83">
        <v>44670.0</v>
      </c>
      <c r="B553" s="83">
        <v>44670.0</v>
      </c>
      <c r="C553" s="66" t="s">
        <v>95</v>
      </c>
      <c r="D553" s="66" t="s">
        <v>221</v>
      </c>
      <c r="E553" s="66">
        <v>0.0</v>
      </c>
      <c r="F553" s="66" t="s">
        <v>227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2">
        <f t="shared" si="2"/>
        <v>3.4099</v>
      </c>
      <c r="L553" s="82">
        <f t="shared" si="3"/>
        <v>1.1108</v>
      </c>
    </row>
    <row r="554">
      <c r="A554" s="83">
        <v>44670.0</v>
      </c>
      <c r="B554" s="83">
        <v>44670.0</v>
      </c>
      <c r="C554" s="66" t="s">
        <v>95</v>
      </c>
      <c r="D554" s="66" t="s">
        <v>221</v>
      </c>
      <c r="E554" s="66">
        <v>0.0</v>
      </c>
      <c r="F554" s="66" t="s">
        <v>227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2">
        <f t="shared" si="2"/>
        <v>1.8431</v>
      </c>
      <c r="L554" s="82">
        <f t="shared" si="3"/>
        <v>0.6319</v>
      </c>
    </row>
    <row r="555">
      <c r="A555" s="83">
        <v>44670.0</v>
      </c>
      <c r="B555" s="83">
        <v>44670.0</v>
      </c>
      <c r="C555" s="66" t="s">
        <v>95</v>
      </c>
      <c r="D555" s="66" t="s">
        <v>221</v>
      </c>
      <c r="E555" s="66">
        <v>0.0</v>
      </c>
      <c r="F555" s="66" t="s">
        <v>228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2">
        <f t="shared" si="2"/>
        <v>3.9553</v>
      </c>
      <c r="L555" s="82">
        <f t="shared" si="3"/>
        <v>1.2982</v>
      </c>
    </row>
    <row r="556">
      <c r="A556" s="83">
        <v>44670.0</v>
      </c>
      <c r="B556" s="83">
        <v>44670.0</v>
      </c>
      <c r="C556" s="66" t="s">
        <v>95</v>
      </c>
      <c r="D556" s="66" t="s">
        <v>221</v>
      </c>
      <c r="E556" s="66">
        <v>0.0</v>
      </c>
      <c r="F556" s="66" t="s">
        <v>228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2">
        <f t="shared" si="2"/>
        <v>5.8393</v>
      </c>
      <c r="L556" s="82">
        <f t="shared" si="3"/>
        <v>2.1965</v>
      </c>
    </row>
    <row r="557">
      <c r="A557" s="83">
        <v>44670.0</v>
      </c>
      <c r="B557" s="83">
        <v>44670.0</v>
      </c>
      <c r="C557" s="66" t="s">
        <v>236</v>
      </c>
      <c r="D557" s="66" t="s">
        <v>221</v>
      </c>
      <c r="E557" s="66">
        <v>0.0</v>
      </c>
      <c r="F557" s="66" t="s">
        <v>227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2">
        <f t="shared" si="2"/>
        <v>1.8619</v>
      </c>
      <c r="L557" s="82">
        <f t="shared" si="3"/>
        <v>0.4475</v>
      </c>
    </row>
    <row r="558">
      <c r="A558" s="83">
        <v>44670.0</v>
      </c>
      <c r="B558" s="83">
        <v>44670.0</v>
      </c>
      <c r="C558" s="66" t="s">
        <v>235</v>
      </c>
      <c r="D558" s="66" t="s">
        <v>221</v>
      </c>
      <c r="E558" s="66">
        <v>0.0</v>
      </c>
      <c r="F558" s="66" t="s">
        <v>228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2">
        <f t="shared" si="2"/>
        <v>3.6949</v>
      </c>
      <c r="L558" s="82">
        <f t="shared" si="3"/>
        <v>1.2709</v>
      </c>
    </row>
    <row r="559">
      <c r="A559" s="83">
        <v>44670.0</v>
      </c>
      <c r="B559" s="83">
        <v>44670.0</v>
      </c>
      <c r="C559" s="66" t="s">
        <v>236</v>
      </c>
      <c r="D559" s="66" t="s">
        <v>221</v>
      </c>
      <c r="E559" s="66">
        <v>0.0</v>
      </c>
      <c r="F559" s="66" t="s">
        <v>227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2">
        <f t="shared" si="2"/>
        <v>2.9454</v>
      </c>
      <c r="L559" s="82">
        <f t="shared" si="3"/>
        <v>0.6102</v>
      </c>
    </row>
    <row r="560">
      <c r="A560" s="83">
        <v>44670.0</v>
      </c>
      <c r="B560" s="83">
        <v>44670.0</v>
      </c>
      <c r="C560" s="66" t="s">
        <v>235</v>
      </c>
      <c r="D560" s="66" t="s">
        <v>221</v>
      </c>
      <c r="E560" s="66">
        <v>0.0</v>
      </c>
      <c r="F560" s="66" t="s">
        <v>228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2">
        <f t="shared" si="2"/>
        <v>5.1547</v>
      </c>
      <c r="L560" s="82">
        <f t="shared" si="3"/>
        <v>1.8974</v>
      </c>
    </row>
    <row r="561">
      <c r="A561" s="83">
        <v>44670.0</v>
      </c>
      <c r="B561" s="83">
        <v>44670.0</v>
      </c>
      <c r="C561" s="66" t="s">
        <v>236</v>
      </c>
      <c r="D561" s="66" t="s">
        <v>221</v>
      </c>
      <c r="E561" s="66">
        <v>0.0</v>
      </c>
      <c r="F561" s="66" t="s">
        <v>227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2">
        <f t="shared" si="2"/>
        <v>3.4409</v>
      </c>
      <c r="L561" s="82">
        <f t="shared" si="3"/>
        <v>0.55</v>
      </c>
      <c r="N561" s="66" t="s">
        <v>233</v>
      </c>
    </row>
    <row r="562">
      <c r="A562" s="83">
        <v>44670.0</v>
      </c>
      <c r="B562" s="83">
        <v>44670.0</v>
      </c>
      <c r="C562" s="66" t="s">
        <v>95</v>
      </c>
      <c r="D562" s="66" t="s">
        <v>221</v>
      </c>
      <c r="E562" s="66">
        <v>0.0</v>
      </c>
      <c r="F562" s="66" t="s">
        <v>228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2">
        <f t="shared" si="2"/>
        <v>5.7577</v>
      </c>
      <c r="L562" s="82">
        <f t="shared" si="3"/>
        <v>2.0594</v>
      </c>
    </row>
    <row r="563">
      <c r="A563" s="83">
        <v>44676.0</v>
      </c>
      <c r="B563" s="83">
        <v>44676.0</v>
      </c>
      <c r="C563" s="66">
        <v>2377.0</v>
      </c>
      <c r="D563" s="66" t="s">
        <v>226</v>
      </c>
      <c r="E563" s="66">
        <v>0.0</v>
      </c>
      <c r="F563" s="66" t="s">
        <v>228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2">
        <f t="shared" si="2"/>
        <v>1.846</v>
      </c>
      <c r="L563" s="82">
        <f t="shared" si="3"/>
        <v>1.1444</v>
      </c>
    </row>
    <row r="564">
      <c r="A564" s="83">
        <v>44676.0</v>
      </c>
      <c r="B564" s="83">
        <v>44676.0</v>
      </c>
      <c r="C564" s="66">
        <v>2346.0</v>
      </c>
      <c r="D564" s="66" t="s">
        <v>226</v>
      </c>
      <c r="E564" s="66">
        <v>0.0</v>
      </c>
      <c r="F564" s="66" t="s">
        <v>227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2">
        <f t="shared" si="2"/>
        <v>0.293</v>
      </c>
      <c r="L564" s="82">
        <f t="shared" si="3"/>
        <v>0.1527</v>
      </c>
    </row>
    <row r="565">
      <c r="A565" s="83">
        <v>44676.0</v>
      </c>
      <c r="B565" s="83">
        <v>44676.0</v>
      </c>
      <c r="C565" s="66">
        <v>2011.0</v>
      </c>
      <c r="D565" s="66" t="s">
        <v>221</v>
      </c>
      <c r="E565" s="66">
        <v>0.0</v>
      </c>
      <c r="F565" s="66" t="s">
        <v>228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2">
        <f t="shared" si="2"/>
        <v>2.6612</v>
      </c>
      <c r="L565" s="82">
        <f t="shared" si="3"/>
        <v>1.374</v>
      </c>
    </row>
    <row r="566">
      <c r="A566" s="83">
        <v>44676.0</v>
      </c>
      <c r="B566" s="83">
        <v>44676.0</v>
      </c>
      <c r="C566" s="66">
        <v>2331.0</v>
      </c>
      <c r="D566" s="66" t="s">
        <v>221</v>
      </c>
      <c r="E566" s="66">
        <v>1.0</v>
      </c>
      <c r="F566" s="66" t="s">
        <v>228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2">
        <f t="shared" si="2"/>
        <v>9.933</v>
      </c>
      <c r="L566" s="82">
        <f t="shared" si="3"/>
        <v>6.8456</v>
      </c>
    </row>
    <row r="567">
      <c r="A567" s="83">
        <v>44676.0</v>
      </c>
      <c r="B567" s="83">
        <v>44676.0</v>
      </c>
      <c r="C567" s="66">
        <v>2377.0</v>
      </c>
      <c r="D567" s="66" t="s">
        <v>221</v>
      </c>
      <c r="E567" s="66">
        <v>1.0</v>
      </c>
      <c r="F567" s="66" t="s">
        <v>227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2">
        <f t="shared" si="2"/>
        <v>1.1713</v>
      </c>
      <c r="L567" s="82">
        <f t="shared" si="3"/>
        <v>0.8214</v>
      </c>
    </row>
    <row r="568">
      <c r="A568" s="83">
        <v>44676.0</v>
      </c>
      <c r="B568" s="83">
        <v>44676.0</v>
      </c>
      <c r="C568" s="66">
        <v>2372.0</v>
      </c>
      <c r="D568" s="66" t="s">
        <v>226</v>
      </c>
      <c r="E568" s="66">
        <v>0.0</v>
      </c>
      <c r="F568" s="66" t="s">
        <v>228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2">
        <f t="shared" si="2"/>
        <v>5.215</v>
      </c>
      <c r="L568" s="82">
        <f t="shared" si="3"/>
        <v>2.8079</v>
      </c>
    </row>
    <row r="569">
      <c r="A569" s="83">
        <v>44676.0</v>
      </c>
      <c r="B569" s="83">
        <v>44676.0</v>
      </c>
      <c r="C569" s="66">
        <v>2354.0</v>
      </c>
      <c r="D569" s="66" t="s">
        <v>221</v>
      </c>
      <c r="E569" s="66">
        <v>0.0</v>
      </c>
      <c r="F569" s="66" t="s">
        <v>228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2">
        <f t="shared" si="2"/>
        <v>2.0077</v>
      </c>
      <c r="L569" s="82">
        <f t="shared" si="3"/>
        <v>1.0094</v>
      </c>
    </row>
    <row r="570">
      <c r="A570" s="83">
        <v>44676.0</v>
      </c>
      <c r="B570" s="83">
        <v>44676.0</v>
      </c>
      <c r="C570" s="66">
        <v>2365.0</v>
      </c>
      <c r="D570" s="66" t="s">
        <v>226</v>
      </c>
      <c r="E570" s="66">
        <v>0.0</v>
      </c>
      <c r="F570" s="66" t="s">
        <v>228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2">
        <f t="shared" si="2"/>
        <v>5.198</v>
      </c>
      <c r="L570" s="82">
        <f t="shared" si="3"/>
        <v>2.4983</v>
      </c>
    </row>
    <row r="571">
      <c r="A571" s="83">
        <v>44676.0</v>
      </c>
      <c r="B571" s="83">
        <v>44676.0</v>
      </c>
      <c r="C571" s="66">
        <v>2379.0</v>
      </c>
      <c r="D571" s="66" t="s">
        <v>226</v>
      </c>
      <c r="E571" s="66">
        <v>1.0</v>
      </c>
      <c r="F571" s="66" t="s">
        <v>227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2">
        <f t="shared" si="2"/>
        <v>1.4581</v>
      </c>
      <c r="L571" s="82">
        <f t="shared" si="3"/>
        <v>0.8556</v>
      </c>
    </row>
    <row r="572">
      <c r="A572" s="83">
        <v>44676.0</v>
      </c>
      <c r="B572" s="83">
        <v>44676.0</v>
      </c>
      <c r="C572" s="66">
        <v>2011.0</v>
      </c>
      <c r="D572" s="66" t="s">
        <v>226</v>
      </c>
      <c r="E572" s="66">
        <v>0.0</v>
      </c>
      <c r="F572" s="66" t="s">
        <v>227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2">
        <f t="shared" si="2"/>
        <v>1.1651</v>
      </c>
      <c r="L572" s="82">
        <f t="shared" si="3"/>
        <v>0.3223</v>
      </c>
    </row>
    <row r="573">
      <c r="A573" s="83">
        <v>44676.0</v>
      </c>
      <c r="B573" s="83">
        <v>44676.0</v>
      </c>
      <c r="C573" s="66">
        <v>2380.0</v>
      </c>
      <c r="D573" s="66" t="s">
        <v>226</v>
      </c>
      <c r="E573" s="66">
        <v>1.0</v>
      </c>
      <c r="F573" s="66" t="s">
        <v>228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2">
        <f t="shared" si="2"/>
        <v>5.269</v>
      </c>
      <c r="L573" s="82">
        <f t="shared" si="3"/>
        <v>3.3329</v>
      </c>
    </row>
    <row r="574">
      <c r="A574" s="83">
        <v>44676.0</v>
      </c>
      <c r="B574" s="83">
        <v>44676.0</v>
      </c>
      <c r="C574" s="66">
        <v>2383.0</v>
      </c>
      <c r="D574" s="66" t="s">
        <v>226</v>
      </c>
      <c r="E574" s="66">
        <v>0.0</v>
      </c>
      <c r="F574" s="66" t="s">
        <v>228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2">
        <f t="shared" si="2"/>
        <v>4.063</v>
      </c>
      <c r="L574" s="82">
        <f t="shared" si="3"/>
        <v>2.2059</v>
      </c>
    </row>
    <row r="575">
      <c r="A575" s="83">
        <v>44676.0</v>
      </c>
      <c r="B575" s="83">
        <v>44676.0</v>
      </c>
      <c r="C575" s="66">
        <v>2381.0</v>
      </c>
      <c r="D575" s="66" t="s">
        <v>221</v>
      </c>
      <c r="E575" s="66">
        <v>0.0</v>
      </c>
      <c r="F575" s="66" t="s">
        <v>228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2">
        <f t="shared" si="2"/>
        <v>3.1962</v>
      </c>
      <c r="L575" s="82">
        <f t="shared" si="3"/>
        <v>1.643</v>
      </c>
    </row>
    <row r="576">
      <c r="A576" s="83">
        <v>44676.0</v>
      </c>
      <c r="B576" s="83">
        <v>44676.0</v>
      </c>
      <c r="C576" s="66">
        <v>2010.0</v>
      </c>
      <c r="D576" s="66" t="s">
        <v>226</v>
      </c>
      <c r="E576" s="66">
        <v>0.0</v>
      </c>
      <c r="F576" s="66" t="s">
        <v>227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2">
        <f t="shared" si="2"/>
        <v>0.285</v>
      </c>
      <c r="L576" s="82">
        <f t="shared" si="3"/>
        <v>0.325</v>
      </c>
    </row>
    <row r="577">
      <c r="A577" s="83">
        <v>44676.0</v>
      </c>
      <c r="B577" s="83">
        <v>44676.0</v>
      </c>
      <c r="C577" s="66">
        <v>2354.0</v>
      </c>
      <c r="D577" s="66" t="s">
        <v>221</v>
      </c>
      <c r="E577" s="66">
        <v>1.0</v>
      </c>
      <c r="F577" s="66" t="s">
        <v>228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2">
        <f t="shared" si="2"/>
        <v>4.7918</v>
      </c>
      <c r="L577" s="82">
        <f t="shared" si="3"/>
        <v>2.7676</v>
      </c>
    </row>
    <row r="578">
      <c r="A578" s="83">
        <v>44676.0</v>
      </c>
      <c r="B578" s="83">
        <v>44676.0</v>
      </c>
      <c r="C578" s="66">
        <v>2382.0</v>
      </c>
      <c r="D578" s="66" t="s">
        <v>221</v>
      </c>
      <c r="E578" s="66">
        <v>0.0</v>
      </c>
      <c r="F578" s="66" t="s">
        <v>227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2">
        <f t="shared" si="2"/>
        <v>1.0239</v>
      </c>
      <c r="L578" s="82">
        <f t="shared" si="3"/>
        <v>0.3659</v>
      </c>
    </row>
    <row r="579">
      <c r="A579" s="83">
        <v>44676.0</v>
      </c>
      <c r="B579" s="83">
        <v>44676.0</v>
      </c>
      <c r="C579" s="66">
        <v>2127.0</v>
      </c>
      <c r="D579" s="66" t="s">
        <v>226</v>
      </c>
      <c r="E579" s="66">
        <v>0.0</v>
      </c>
      <c r="F579" s="66" t="s">
        <v>228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2">
        <f t="shared" si="2"/>
        <v>4.083</v>
      </c>
      <c r="L579" s="82">
        <f t="shared" si="3"/>
        <v>2.1935</v>
      </c>
    </row>
    <row r="580">
      <c r="A580" s="83">
        <v>44676.0</v>
      </c>
      <c r="B580" s="83">
        <v>44676.0</v>
      </c>
      <c r="C580" s="66">
        <v>2352.0</v>
      </c>
      <c r="D580" s="66" t="s">
        <v>221</v>
      </c>
      <c r="E580" s="66">
        <v>0.0</v>
      </c>
      <c r="F580" s="66" t="s">
        <v>227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2">
        <f t="shared" si="2"/>
        <v>0.6249</v>
      </c>
      <c r="L580" s="82">
        <f t="shared" si="3"/>
        <v>0.124</v>
      </c>
    </row>
    <row r="581">
      <c r="A581" s="83">
        <v>44676.0</v>
      </c>
      <c r="B581" s="83">
        <v>44676.0</v>
      </c>
      <c r="C581" s="66">
        <v>2367.0</v>
      </c>
      <c r="D581" s="66" t="s">
        <v>221</v>
      </c>
      <c r="E581" s="66">
        <v>0.0</v>
      </c>
      <c r="F581" s="66" t="s">
        <v>228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2">
        <f t="shared" si="2"/>
        <v>1.7497</v>
      </c>
      <c r="L581" s="82">
        <f t="shared" si="3"/>
        <v>0.9096</v>
      </c>
    </row>
    <row r="582">
      <c r="A582" s="83">
        <v>44676.0</v>
      </c>
      <c r="B582" s="83">
        <v>44676.0</v>
      </c>
      <c r="C582" s="66">
        <v>2379.0</v>
      </c>
      <c r="D582" s="66" t="s">
        <v>226</v>
      </c>
      <c r="E582" s="66">
        <v>0.0</v>
      </c>
      <c r="F582" s="66" t="s">
        <v>228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2">
        <f t="shared" si="2"/>
        <v>5.621</v>
      </c>
      <c r="L582" s="82">
        <f t="shared" si="3"/>
        <v>3.0666</v>
      </c>
    </row>
    <row r="583">
      <c r="A583" s="83">
        <v>44676.0</v>
      </c>
      <c r="B583" s="83">
        <v>44676.0</v>
      </c>
      <c r="C583" s="66">
        <v>2375.0</v>
      </c>
      <c r="D583" s="66" t="s">
        <v>221</v>
      </c>
      <c r="E583" s="66">
        <v>0.0</v>
      </c>
      <c r="F583" s="66" t="s">
        <v>228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2">
        <f t="shared" si="2"/>
        <v>3.9247</v>
      </c>
      <c r="L583" s="82">
        <f t="shared" si="3"/>
        <v>1.762</v>
      </c>
    </row>
    <row r="584">
      <c r="A584" s="83">
        <v>44676.0</v>
      </c>
      <c r="B584" s="83">
        <v>44676.0</v>
      </c>
      <c r="C584" s="66">
        <v>2345.0</v>
      </c>
      <c r="D584" s="66" t="s">
        <v>221</v>
      </c>
      <c r="E584" s="66">
        <v>1.0</v>
      </c>
      <c r="F584" s="66" t="s">
        <v>228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2">
        <f t="shared" si="2"/>
        <v>5.4138</v>
      </c>
      <c r="L584" s="82">
        <f t="shared" si="3"/>
        <v>3.2932</v>
      </c>
    </row>
    <row r="585">
      <c r="A585" s="83">
        <v>44676.0</v>
      </c>
      <c r="B585" s="83">
        <v>44676.0</v>
      </c>
      <c r="C585" s="66">
        <v>2352.0</v>
      </c>
      <c r="D585" s="66" t="s">
        <v>226</v>
      </c>
      <c r="E585" s="66">
        <v>1.0</v>
      </c>
      <c r="F585" s="66" t="s">
        <v>228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2">
        <f t="shared" si="2"/>
        <v>5.961</v>
      </c>
      <c r="L585" s="82">
        <f t="shared" si="3"/>
        <v>3.847</v>
      </c>
    </row>
    <row r="586">
      <c r="A586" s="83">
        <v>44676.0</v>
      </c>
      <c r="B586" s="83">
        <v>44676.0</v>
      </c>
      <c r="C586" s="66">
        <v>2301.0</v>
      </c>
      <c r="D586" s="66" t="s">
        <v>221</v>
      </c>
      <c r="E586" s="66">
        <v>1.0</v>
      </c>
      <c r="F586" s="66" t="s">
        <v>227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2">
        <f t="shared" si="2"/>
        <v>0.5198</v>
      </c>
      <c r="L586" s="82">
        <f t="shared" si="3"/>
        <v>0.2604</v>
      </c>
    </row>
    <row r="587">
      <c r="A587" s="83">
        <v>44676.0</v>
      </c>
      <c r="B587" s="83">
        <v>44676.0</v>
      </c>
      <c r="C587" s="66">
        <v>2370.0</v>
      </c>
      <c r="D587" s="66" t="s">
        <v>221</v>
      </c>
      <c r="E587" s="66">
        <v>0.0</v>
      </c>
      <c r="F587" s="66" t="s">
        <v>228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2">
        <f t="shared" si="2"/>
        <v>2.8689</v>
      </c>
      <c r="L587" s="82">
        <f t="shared" si="3"/>
        <v>1.5975</v>
      </c>
    </row>
    <row r="588">
      <c r="A588" s="83">
        <v>44676.0</v>
      </c>
      <c r="B588" s="83">
        <v>44676.0</v>
      </c>
      <c r="C588" s="66">
        <v>2352.0</v>
      </c>
      <c r="D588" s="66" t="s">
        <v>221</v>
      </c>
      <c r="E588" s="66">
        <v>1.0</v>
      </c>
      <c r="F588" s="66" t="s">
        <v>227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2">
        <f t="shared" si="2"/>
        <v>0.4458</v>
      </c>
      <c r="L588" s="82">
        <f t="shared" si="3"/>
        <v>0.2135</v>
      </c>
    </row>
    <row r="589">
      <c r="A589" s="83">
        <v>44676.0</v>
      </c>
      <c r="B589" s="83">
        <v>44676.0</v>
      </c>
      <c r="C589" s="66">
        <v>2380.0</v>
      </c>
      <c r="D589" s="66" t="s">
        <v>226</v>
      </c>
      <c r="E589" s="66">
        <v>1.0</v>
      </c>
      <c r="F589" s="66" t="s">
        <v>227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2">
        <f t="shared" si="2"/>
        <v>2.058</v>
      </c>
      <c r="L589" s="82">
        <f t="shared" si="3"/>
        <v>1.397</v>
      </c>
    </row>
    <row r="590">
      <c r="A590" s="83">
        <v>44676.0</v>
      </c>
      <c r="B590" s="83">
        <v>44676.0</v>
      </c>
      <c r="C590" s="66">
        <v>2354.0</v>
      </c>
      <c r="D590" s="66" t="s">
        <v>226</v>
      </c>
      <c r="E590" s="66">
        <v>0.0</v>
      </c>
      <c r="F590" s="66" t="s">
        <v>227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2">
        <f t="shared" si="2"/>
        <v>0.078</v>
      </c>
      <c r="L590" s="82">
        <f t="shared" si="3"/>
        <v>0.0384</v>
      </c>
    </row>
    <row r="591">
      <c r="A591" s="83">
        <v>44676.0</v>
      </c>
      <c r="B591" s="83">
        <v>44676.0</v>
      </c>
      <c r="C591" s="66">
        <v>2379.0</v>
      </c>
      <c r="D591" s="66" t="s">
        <v>221</v>
      </c>
      <c r="E591" s="66">
        <v>0.0</v>
      </c>
      <c r="F591" s="66" t="s">
        <v>228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2">
        <f t="shared" si="2"/>
        <v>2.1962</v>
      </c>
      <c r="L591" s="82">
        <f t="shared" si="3"/>
        <v>1.3396</v>
      </c>
    </row>
    <row r="592">
      <c r="A592" s="83">
        <v>44676.0</v>
      </c>
      <c r="B592" s="83">
        <v>44676.0</v>
      </c>
      <c r="C592" s="66">
        <v>2377.0</v>
      </c>
      <c r="D592" s="66" t="s">
        <v>226</v>
      </c>
      <c r="E592" s="66">
        <v>1.0</v>
      </c>
      <c r="F592" s="66" t="s">
        <v>227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2">
        <f t="shared" si="2"/>
        <v>2.7411</v>
      </c>
      <c r="L592" s="82">
        <f t="shared" si="3"/>
        <v>1.7262</v>
      </c>
    </row>
    <row r="593">
      <c r="A593" s="83">
        <v>44676.0</v>
      </c>
      <c r="B593" s="83">
        <v>44676.0</v>
      </c>
      <c r="C593" s="66">
        <v>2360.0</v>
      </c>
      <c r="D593" s="66" t="s">
        <v>221</v>
      </c>
      <c r="E593" s="66">
        <v>0.0</v>
      </c>
      <c r="F593" s="66" t="s">
        <v>227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2">
        <f t="shared" si="2"/>
        <v>0.1765</v>
      </c>
      <c r="L593" s="82">
        <f t="shared" si="3"/>
        <v>0.1083</v>
      </c>
    </row>
    <row r="594">
      <c r="A594" s="83">
        <v>44676.0</v>
      </c>
      <c r="B594" s="83">
        <v>44676.0</v>
      </c>
      <c r="C594" s="66">
        <v>2009.0</v>
      </c>
      <c r="D594" s="66" t="s">
        <v>221</v>
      </c>
      <c r="E594" s="66">
        <v>0.0</v>
      </c>
      <c r="F594" s="66" t="s">
        <v>227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2">
        <f t="shared" si="2"/>
        <v>0.4542</v>
      </c>
      <c r="L594" s="82">
        <f t="shared" si="3"/>
        <v>0.1861</v>
      </c>
    </row>
    <row r="595">
      <c r="A595" s="83">
        <v>44676.0</v>
      </c>
      <c r="B595" s="83">
        <v>44676.0</v>
      </c>
      <c r="C595" s="66">
        <v>2369.0</v>
      </c>
      <c r="D595" s="66" t="s">
        <v>226</v>
      </c>
      <c r="E595" s="66">
        <v>0.0</v>
      </c>
      <c r="F595" s="66" t="s">
        <v>228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2">
        <f t="shared" si="2"/>
        <v>6.0846</v>
      </c>
      <c r="L595" s="82">
        <f t="shared" si="3"/>
        <v>3.2434</v>
      </c>
    </row>
    <row r="596">
      <c r="A596" s="83">
        <v>44676.0</v>
      </c>
      <c r="B596" s="83">
        <v>44676.0</v>
      </c>
      <c r="C596" s="66">
        <v>2369.0</v>
      </c>
      <c r="D596" s="66" t="s">
        <v>221</v>
      </c>
      <c r="E596" s="66">
        <v>0.0</v>
      </c>
      <c r="F596" s="66" t="s">
        <v>228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2">
        <f t="shared" si="2"/>
        <v>2.1209</v>
      </c>
      <c r="L596" s="82">
        <f t="shared" si="3"/>
        <v>1.0711</v>
      </c>
    </row>
    <row r="597">
      <c r="A597" s="83">
        <v>44676.0</v>
      </c>
      <c r="B597" s="83">
        <v>44676.0</v>
      </c>
      <c r="C597" s="66">
        <v>2367.0</v>
      </c>
      <c r="D597" s="66" t="s">
        <v>226</v>
      </c>
      <c r="E597" s="66">
        <v>0.0</v>
      </c>
      <c r="F597" s="66" t="s">
        <v>227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2">
        <f t="shared" si="2"/>
        <v>0.092</v>
      </c>
      <c r="L597" s="82">
        <f t="shared" si="3"/>
        <v>0.244</v>
      </c>
    </row>
    <row r="598">
      <c r="A598" s="83">
        <v>44676.0</v>
      </c>
      <c r="B598" s="83">
        <v>44676.0</v>
      </c>
      <c r="C598" s="66">
        <v>2011.0</v>
      </c>
      <c r="D598" s="66" t="s">
        <v>221</v>
      </c>
      <c r="E598" s="66">
        <v>0.0</v>
      </c>
      <c r="F598" s="66" t="s">
        <v>227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2">
        <f t="shared" si="2"/>
        <v>0.6044</v>
      </c>
      <c r="L598" s="82">
        <f t="shared" si="3"/>
        <v>0.1206</v>
      </c>
    </row>
    <row r="599">
      <c r="A599" s="83">
        <v>44676.0</v>
      </c>
      <c r="B599" s="83">
        <v>44676.0</v>
      </c>
      <c r="C599" s="66">
        <v>2379.0</v>
      </c>
      <c r="D599" s="66" t="s">
        <v>226</v>
      </c>
      <c r="E599" s="66">
        <v>0.0</v>
      </c>
      <c r="F599" s="66" t="s">
        <v>227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2">
        <f t="shared" si="2"/>
        <v>0.3164</v>
      </c>
      <c r="L599" s="82">
        <f t="shared" si="3"/>
        <v>0.1318</v>
      </c>
    </row>
    <row r="600">
      <c r="A600" s="83">
        <v>44676.0</v>
      </c>
      <c r="B600" s="83">
        <v>44676.0</v>
      </c>
      <c r="C600" s="66">
        <v>2343.0</v>
      </c>
      <c r="D600" s="66" t="s">
        <v>221</v>
      </c>
      <c r="E600" s="66">
        <v>0.0</v>
      </c>
      <c r="F600" s="66" t="s">
        <v>227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2">
        <f t="shared" si="2"/>
        <v>0.0953</v>
      </c>
      <c r="L600" s="82">
        <f t="shared" si="3"/>
        <v>0.1914</v>
      </c>
    </row>
    <row r="601">
      <c r="A601" s="83">
        <v>44676.0</v>
      </c>
      <c r="B601" s="83">
        <v>44676.0</v>
      </c>
      <c r="C601" s="66">
        <v>2347.0</v>
      </c>
      <c r="D601" s="66" t="s">
        <v>221</v>
      </c>
      <c r="E601" s="66">
        <v>0.0</v>
      </c>
      <c r="F601" s="66" t="s">
        <v>228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2">
        <f t="shared" si="2"/>
        <v>3.6264</v>
      </c>
      <c r="L601" s="82">
        <f t="shared" si="3"/>
        <v>1.5488</v>
      </c>
    </row>
    <row r="602">
      <c r="A602" s="83">
        <v>44676.0</v>
      </c>
      <c r="B602" s="83">
        <v>44676.0</v>
      </c>
      <c r="C602" s="66">
        <v>2354.0</v>
      </c>
      <c r="D602" s="66" t="s">
        <v>221</v>
      </c>
      <c r="E602" s="66">
        <v>0.0</v>
      </c>
      <c r="F602" s="66" t="s">
        <v>227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2">
        <f t="shared" si="2"/>
        <v>0.2313</v>
      </c>
      <c r="L602" s="82">
        <f t="shared" si="3"/>
        <v>0.1057</v>
      </c>
    </row>
    <row r="603">
      <c r="A603" s="83">
        <v>44676.0</v>
      </c>
      <c r="B603" s="83">
        <v>44676.0</v>
      </c>
      <c r="C603" s="66">
        <v>2352.0</v>
      </c>
      <c r="D603" s="66" t="s">
        <v>221</v>
      </c>
      <c r="E603" s="66">
        <v>1.0</v>
      </c>
      <c r="F603" s="66" t="s">
        <v>228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2">
        <f t="shared" si="2"/>
        <v>2.3451</v>
      </c>
      <c r="L603" s="82">
        <f t="shared" si="3"/>
        <v>1.3397</v>
      </c>
    </row>
    <row r="604">
      <c r="A604" s="83">
        <v>44676.0</v>
      </c>
      <c r="B604" s="83">
        <v>44676.0</v>
      </c>
      <c r="C604" s="66">
        <v>2384.0</v>
      </c>
      <c r="D604" s="66" t="s">
        <v>226</v>
      </c>
      <c r="E604" s="66">
        <v>0.0</v>
      </c>
      <c r="F604" s="66" t="s">
        <v>227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2">
        <f t="shared" si="2"/>
        <v>0.1401</v>
      </c>
      <c r="L604" s="82">
        <f t="shared" si="3"/>
        <v>0.0635</v>
      </c>
    </row>
    <row r="605">
      <c r="A605" s="83">
        <v>44676.0</v>
      </c>
      <c r="B605" s="83">
        <v>44676.0</v>
      </c>
      <c r="C605" s="66">
        <v>2383.0</v>
      </c>
      <c r="D605" s="66" t="s">
        <v>226</v>
      </c>
      <c r="E605" s="66">
        <v>0.0</v>
      </c>
      <c r="F605" s="66" t="s">
        <v>227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2">
        <f t="shared" si="2"/>
        <v>0.8853</v>
      </c>
      <c r="L605" s="82">
        <f t="shared" si="3"/>
        <v>0.2186</v>
      </c>
    </row>
    <row r="606">
      <c r="A606" s="83">
        <v>44676.0</v>
      </c>
      <c r="B606" s="83">
        <v>44676.0</v>
      </c>
      <c r="C606" s="66">
        <v>2343.0</v>
      </c>
      <c r="D606" s="66" t="s">
        <v>226</v>
      </c>
      <c r="E606" s="66">
        <v>0.0</v>
      </c>
      <c r="F606" s="66" t="s">
        <v>228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2">
        <f t="shared" si="2"/>
        <v>5.4365</v>
      </c>
      <c r="L606" s="82">
        <f t="shared" si="3"/>
        <v>2.6483</v>
      </c>
    </row>
    <row r="607">
      <c r="A607" s="83">
        <v>44676.0</v>
      </c>
      <c r="B607" s="83">
        <v>44676.0</v>
      </c>
      <c r="C607" s="66">
        <v>2360.0</v>
      </c>
      <c r="D607" s="66" t="s">
        <v>226</v>
      </c>
      <c r="E607" s="66">
        <v>0.0</v>
      </c>
      <c r="F607" s="66" t="s">
        <v>228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2">
        <f t="shared" si="2"/>
        <v>4.0069</v>
      </c>
      <c r="L607" s="82">
        <f t="shared" si="3"/>
        <v>1.9929</v>
      </c>
    </row>
    <row r="608">
      <c r="A608" s="83">
        <v>44676.0</v>
      </c>
      <c r="B608" s="83">
        <v>44676.0</v>
      </c>
      <c r="C608" s="66">
        <v>2352.0</v>
      </c>
      <c r="D608" s="66" t="s">
        <v>226</v>
      </c>
      <c r="E608" s="66">
        <v>1.0</v>
      </c>
      <c r="F608" s="66" t="s">
        <v>227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2">
        <f t="shared" si="2"/>
        <v>1.1707</v>
      </c>
      <c r="L608" s="82">
        <f t="shared" si="3"/>
        <v>0.6964</v>
      </c>
    </row>
    <row r="609">
      <c r="A609" s="83">
        <v>44676.0</v>
      </c>
      <c r="B609" s="83">
        <v>44676.0</v>
      </c>
      <c r="C609" s="66">
        <v>2378.0</v>
      </c>
      <c r="D609" s="66" t="s">
        <v>221</v>
      </c>
      <c r="E609" s="66">
        <v>0.0</v>
      </c>
      <c r="F609" s="66" t="s">
        <v>227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2">
        <f t="shared" si="2"/>
        <v>0.2721</v>
      </c>
      <c r="L609" s="82">
        <f t="shared" si="3"/>
        <v>0.1494</v>
      </c>
    </row>
    <row r="610">
      <c r="A610" s="83">
        <v>44676.0</v>
      </c>
      <c r="B610" s="83">
        <v>44676.0</v>
      </c>
      <c r="C610" s="66">
        <v>2371.0</v>
      </c>
      <c r="D610" s="66" t="s">
        <v>221</v>
      </c>
      <c r="E610" s="66">
        <v>0.0</v>
      </c>
      <c r="F610" s="66" t="s">
        <v>227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2">
        <f t="shared" si="2"/>
        <v>0.2664</v>
      </c>
      <c r="L610" s="82">
        <f t="shared" si="3"/>
        <v>0.2504</v>
      </c>
    </row>
    <row r="611">
      <c r="A611" s="83">
        <v>44676.0</v>
      </c>
      <c r="B611" s="83">
        <v>44676.0</v>
      </c>
      <c r="C611" s="66">
        <v>2301.0</v>
      </c>
      <c r="D611" s="66" t="s">
        <v>221</v>
      </c>
      <c r="E611" s="66">
        <v>1.0</v>
      </c>
      <c r="F611" s="66" t="s">
        <v>228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2">
        <f t="shared" si="2"/>
        <v>5.9069</v>
      </c>
      <c r="L611" s="82">
        <f t="shared" si="3"/>
        <v>3.4256</v>
      </c>
    </row>
    <row r="612">
      <c r="A612" s="83">
        <v>44676.0</v>
      </c>
      <c r="B612" s="83">
        <v>44676.0</v>
      </c>
      <c r="C612" s="66">
        <v>2376.0</v>
      </c>
      <c r="D612" s="66" t="s">
        <v>221</v>
      </c>
      <c r="E612" s="66">
        <v>1.0</v>
      </c>
      <c r="F612" s="66" t="s">
        <v>228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2">
        <f t="shared" si="2"/>
        <v>5.1614</v>
      </c>
      <c r="L612" s="82">
        <f t="shared" si="3"/>
        <v>2.9804</v>
      </c>
    </row>
    <row r="613">
      <c r="A613" s="83">
        <v>44676.0</v>
      </c>
      <c r="B613" s="83">
        <v>44676.0</v>
      </c>
      <c r="C613" s="66">
        <v>2376.0</v>
      </c>
      <c r="D613" s="66" t="s">
        <v>221</v>
      </c>
      <c r="E613" s="66">
        <v>1.0</v>
      </c>
      <c r="F613" s="66" t="s">
        <v>227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2">
        <f t="shared" si="2"/>
        <v>1.2447</v>
      </c>
      <c r="L613" s="82">
        <f t="shared" si="3"/>
        <v>0.4851</v>
      </c>
    </row>
    <row r="614">
      <c r="A614" s="83">
        <v>44676.0</v>
      </c>
      <c r="B614" s="83">
        <v>44676.0</v>
      </c>
      <c r="C614" s="66">
        <v>2367.0</v>
      </c>
      <c r="D614" s="66" t="s">
        <v>221</v>
      </c>
      <c r="E614" s="66">
        <v>0.0</v>
      </c>
      <c r="F614" s="66" t="s">
        <v>227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2">
        <f t="shared" si="2"/>
        <v>0.3144</v>
      </c>
      <c r="L614" s="82">
        <f t="shared" si="3"/>
        <v>0.2716</v>
      </c>
    </row>
    <row r="615">
      <c r="A615" s="83">
        <v>44676.0</v>
      </c>
      <c r="B615" s="83">
        <v>44676.0</v>
      </c>
      <c r="C615" s="66">
        <v>2377.0</v>
      </c>
      <c r="D615" s="66" t="s">
        <v>221</v>
      </c>
      <c r="E615" s="66">
        <v>0.0</v>
      </c>
      <c r="F615" s="66" t="s">
        <v>228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2">
        <f t="shared" si="2"/>
        <v>0.805</v>
      </c>
      <c r="L615" s="82">
        <f t="shared" si="3"/>
        <v>0.2762</v>
      </c>
    </row>
    <row r="616">
      <c r="A616" s="83">
        <v>44676.0</v>
      </c>
      <c r="B616" s="83">
        <v>44676.0</v>
      </c>
      <c r="C616" s="66">
        <v>2365.0</v>
      </c>
      <c r="D616" s="66" t="s">
        <v>226</v>
      </c>
      <c r="E616" s="66">
        <v>0.0</v>
      </c>
      <c r="F616" s="66" t="s">
        <v>227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2">
        <f t="shared" si="2"/>
        <v>0.4891</v>
      </c>
      <c r="L616" s="82">
        <f t="shared" si="3"/>
        <v>0.2572</v>
      </c>
    </row>
    <row r="617">
      <c r="A617" s="83">
        <v>44676.0</v>
      </c>
      <c r="B617" s="83">
        <v>44676.0</v>
      </c>
      <c r="C617" s="66">
        <v>2384.0</v>
      </c>
      <c r="D617" s="66" t="s">
        <v>221</v>
      </c>
      <c r="E617" s="66">
        <v>0.0</v>
      </c>
      <c r="F617" s="66" t="s">
        <v>227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2">
        <f t="shared" si="2"/>
        <v>0.1318</v>
      </c>
      <c r="L617" s="82">
        <f t="shared" si="3"/>
        <v>0.0323</v>
      </c>
    </row>
    <row r="618">
      <c r="A618" s="83">
        <v>44676.0</v>
      </c>
      <c r="B618" s="83">
        <v>44676.0</v>
      </c>
      <c r="C618" s="66">
        <v>2127.0</v>
      </c>
      <c r="D618" s="66" t="s">
        <v>226</v>
      </c>
      <c r="E618" s="66">
        <v>0.0</v>
      </c>
      <c r="F618" s="66" t="s">
        <v>227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2">
        <f t="shared" si="2"/>
        <v>0.7439</v>
      </c>
      <c r="L618" s="82">
        <f t="shared" si="3"/>
        <v>0.3279</v>
      </c>
    </row>
    <row r="619">
      <c r="A619" s="83">
        <v>44676.0</v>
      </c>
      <c r="B619" s="83">
        <v>44676.0</v>
      </c>
      <c r="C619" s="66">
        <v>2347.0</v>
      </c>
      <c r="D619" s="66" t="s">
        <v>221</v>
      </c>
      <c r="E619" s="66">
        <v>0.0</v>
      </c>
      <c r="F619" s="66" t="s">
        <v>227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2">
        <f t="shared" si="2"/>
        <v>0.2123</v>
      </c>
      <c r="L619" s="82">
        <f t="shared" si="3"/>
        <v>0.0723</v>
      </c>
    </row>
    <row r="620">
      <c r="A620" s="83">
        <v>44676.0</v>
      </c>
      <c r="B620" s="83">
        <v>44676.0</v>
      </c>
      <c r="C620" s="66">
        <v>2354.0</v>
      </c>
      <c r="D620" s="66" t="s">
        <v>221</v>
      </c>
      <c r="E620" s="66">
        <v>1.0</v>
      </c>
      <c r="F620" s="66" t="s">
        <v>227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2">
        <f t="shared" si="2"/>
        <v>1.4503</v>
      </c>
      <c r="L620" s="82">
        <f t="shared" si="3"/>
        <v>0.5437</v>
      </c>
    </row>
    <row r="621">
      <c r="A621" s="83">
        <v>44676.0</v>
      </c>
      <c r="B621" s="83">
        <v>44676.0</v>
      </c>
      <c r="C621" s="66">
        <v>2009.0</v>
      </c>
      <c r="D621" s="66" t="s">
        <v>221</v>
      </c>
      <c r="E621" s="66">
        <v>0.0</v>
      </c>
      <c r="F621" s="66" t="s">
        <v>228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2">
        <f t="shared" si="2"/>
        <v>3.4084</v>
      </c>
      <c r="L621" s="82">
        <f t="shared" si="3"/>
        <v>1.7829</v>
      </c>
    </row>
    <row r="622">
      <c r="A622" s="83">
        <v>44676.0</v>
      </c>
      <c r="B622" s="83">
        <v>44676.0</v>
      </c>
      <c r="C622" s="66">
        <v>2383.0</v>
      </c>
      <c r="D622" s="66" t="s">
        <v>221</v>
      </c>
      <c r="E622" s="66">
        <v>0.0</v>
      </c>
      <c r="F622" s="66" t="s">
        <v>228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2">
        <f t="shared" si="2"/>
        <v>3.1612</v>
      </c>
      <c r="L622" s="82">
        <f t="shared" si="3"/>
        <v>1.71</v>
      </c>
    </row>
    <row r="623">
      <c r="A623" s="83">
        <v>44676.0</v>
      </c>
      <c r="B623" s="83">
        <v>44676.0</v>
      </c>
      <c r="C623" s="66">
        <v>2377.0</v>
      </c>
      <c r="D623" s="66" t="s">
        <v>221</v>
      </c>
      <c r="E623" s="66">
        <v>1.0</v>
      </c>
      <c r="F623" s="66" t="s">
        <v>228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2">
        <f t="shared" si="2"/>
        <v>3.6493</v>
      </c>
      <c r="L623" s="82">
        <f t="shared" si="3"/>
        <v>2.4205</v>
      </c>
    </row>
    <row r="624">
      <c r="A624" s="83">
        <v>44676.0</v>
      </c>
      <c r="B624" s="83">
        <v>44676.0</v>
      </c>
      <c r="C624" s="66">
        <v>2360.0</v>
      </c>
      <c r="D624" s="66" t="s">
        <v>221</v>
      </c>
      <c r="E624" s="66">
        <v>0.0</v>
      </c>
      <c r="F624" s="66" t="s">
        <v>228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2">
        <f t="shared" si="2"/>
        <v>2.3641</v>
      </c>
      <c r="L624" s="82">
        <f t="shared" si="3"/>
        <v>1.3723</v>
      </c>
    </row>
    <row r="625">
      <c r="A625" s="83">
        <v>44676.0</v>
      </c>
      <c r="B625" s="83">
        <v>44676.0</v>
      </c>
      <c r="C625" s="66">
        <v>2345.0</v>
      </c>
      <c r="D625" s="66" t="s">
        <v>221</v>
      </c>
      <c r="E625" s="66">
        <v>1.0</v>
      </c>
      <c r="F625" s="66" t="s">
        <v>227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2">
        <f t="shared" si="2"/>
        <v>1.5465</v>
      </c>
      <c r="L625" s="82">
        <f t="shared" si="3"/>
        <v>0.8651</v>
      </c>
    </row>
    <row r="626">
      <c r="A626" s="83">
        <v>44676.0</v>
      </c>
      <c r="B626" s="83">
        <v>44676.0</v>
      </c>
      <c r="C626" s="66">
        <v>2380.0</v>
      </c>
      <c r="D626" s="66" t="s">
        <v>221</v>
      </c>
      <c r="E626" s="66">
        <v>1.0</v>
      </c>
      <c r="F626" s="66" t="s">
        <v>228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2">
        <f t="shared" si="2"/>
        <v>3.6701</v>
      </c>
      <c r="L626" s="82">
        <f t="shared" si="3"/>
        <v>2.4593</v>
      </c>
    </row>
    <row r="627">
      <c r="A627" s="83">
        <v>44676.0</v>
      </c>
      <c r="B627" s="83">
        <v>44676.0</v>
      </c>
      <c r="C627" s="66">
        <v>2009.0</v>
      </c>
      <c r="D627" s="66" t="s">
        <v>226</v>
      </c>
      <c r="E627" s="66">
        <v>0.0</v>
      </c>
      <c r="F627" s="66" t="s">
        <v>227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2">
        <f t="shared" si="2"/>
        <v>1.074</v>
      </c>
      <c r="L627" s="82">
        <f t="shared" si="3"/>
        <v>0.291</v>
      </c>
    </row>
    <row r="628">
      <c r="A628" s="83">
        <v>44676.0</v>
      </c>
      <c r="B628" s="83">
        <v>44676.0</v>
      </c>
      <c r="C628" s="66">
        <v>2372.0</v>
      </c>
      <c r="D628" s="66" t="s">
        <v>226</v>
      </c>
      <c r="E628" s="66">
        <v>0.0</v>
      </c>
      <c r="F628" s="66" t="s">
        <v>227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2">
        <f t="shared" si="2"/>
        <v>0.6379</v>
      </c>
      <c r="L628" s="82">
        <f t="shared" si="3"/>
        <v>0.2709</v>
      </c>
    </row>
    <row r="629">
      <c r="A629" s="83">
        <v>44676.0</v>
      </c>
      <c r="B629" s="83">
        <v>44676.0</v>
      </c>
      <c r="C629" s="66">
        <v>2010.0</v>
      </c>
      <c r="D629" s="66" t="s">
        <v>226</v>
      </c>
      <c r="E629" s="66">
        <v>1.0</v>
      </c>
      <c r="F629" s="66" t="s">
        <v>227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2">
        <f t="shared" si="2"/>
        <v>1.4884</v>
      </c>
      <c r="L629" s="82">
        <f t="shared" si="3"/>
        <v>0.7444</v>
      </c>
    </row>
    <row r="630">
      <c r="A630" s="83">
        <v>44676.0</v>
      </c>
      <c r="B630" s="83">
        <v>44676.0</v>
      </c>
      <c r="C630" s="66">
        <v>2384.0</v>
      </c>
      <c r="D630" s="66" t="s">
        <v>226</v>
      </c>
      <c r="E630" s="66">
        <v>1.0</v>
      </c>
      <c r="F630" s="66" t="s">
        <v>227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2">
        <f t="shared" si="2"/>
        <v>0.8862</v>
      </c>
      <c r="L630" s="82">
        <f t="shared" si="3"/>
        <v>0.475</v>
      </c>
    </row>
    <row r="631">
      <c r="A631" s="83">
        <v>44676.0</v>
      </c>
      <c r="B631" s="83">
        <v>44676.0</v>
      </c>
      <c r="C631" s="66">
        <v>2377.0</v>
      </c>
      <c r="D631" s="66" t="s">
        <v>221</v>
      </c>
      <c r="E631" s="66">
        <v>0.0</v>
      </c>
      <c r="F631" s="66" t="s">
        <v>227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2">
        <f t="shared" si="2"/>
        <v>0.2292</v>
      </c>
      <c r="L631" s="82">
        <f t="shared" si="3"/>
        <v>0.022</v>
      </c>
    </row>
    <row r="632">
      <c r="A632" s="83">
        <v>44676.0</v>
      </c>
      <c r="B632" s="83">
        <v>44676.0</v>
      </c>
      <c r="C632" s="66">
        <v>2352.0</v>
      </c>
      <c r="D632" s="66" t="s">
        <v>221</v>
      </c>
      <c r="E632" s="66">
        <v>0.0</v>
      </c>
      <c r="F632" s="66" t="s">
        <v>228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2">
        <f t="shared" si="2"/>
        <v>0.6852</v>
      </c>
      <c r="L632" s="82">
        <f t="shared" si="3"/>
        <v>0.3345</v>
      </c>
    </row>
    <row r="633">
      <c r="A633" s="83">
        <v>44676.0</v>
      </c>
      <c r="B633" s="83">
        <v>44676.0</v>
      </c>
      <c r="C633" s="66">
        <v>2384.0</v>
      </c>
      <c r="D633" s="66" t="s">
        <v>226</v>
      </c>
      <c r="E633" s="66">
        <v>0.0</v>
      </c>
      <c r="F633" s="66" t="s">
        <v>228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2">
        <f t="shared" si="2"/>
        <v>3.9754</v>
      </c>
      <c r="L633" s="82">
        <f t="shared" si="3"/>
        <v>1.7957</v>
      </c>
    </row>
    <row r="634">
      <c r="A634" s="83">
        <v>44676.0</v>
      </c>
      <c r="B634" s="83">
        <v>44676.0</v>
      </c>
      <c r="C634" s="66">
        <v>2009.0</v>
      </c>
      <c r="D634" s="66" t="s">
        <v>226</v>
      </c>
      <c r="E634" s="66">
        <v>0.0</v>
      </c>
      <c r="F634" s="66" t="s">
        <v>228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2">
        <f t="shared" si="2"/>
        <v>6.2003</v>
      </c>
      <c r="L634" s="82">
        <f t="shared" si="3"/>
        <v>2.8603</v>
      </c>
    </row>
    <row r="635">
      <c r="A635" s="83">
        <v>44676.0</v>
      </c>
      <c r="B635" s="83">
        <v>44676.0</v>
      </c>
      <c r="C635" s="66">
        <v>2381.0</v>
      </c>
      <c r="D635" s="66" t="s">
        <v>221</v>
      </c>
      <c r="E635" s="66">
        <v>0.0</v>
      </c>
      <c r="F635" s="66" t="s">
        <v>227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2">
        <f t="shared" si="2"/>
        <v>0.2207</v>
      </c>
      <c r="L635" s="82">
        <f t="shared" si="3"/>
        <v>0.1443</v>
      </c>
    </row>
    <row r="636">
      <c r="A636" s="83">
        <v>44676.0</v>
      </c>
      <c r="B636" s="83">
        <v>44676.0</v>
      </c>
      <c r="C636" s="66">
        <v>2347.0</v>
      </c>
      <c r="D636" s="66" t="s">
        <v>226</v>
      </c>
      <c r="E636" s="66">
        <v>0.0</v>
      </c>
      <c r="F636" s="66" t="s">
        <v>228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2">
        <f t="shared" si="2"/>
        <v>5.0425</v>
      </c>
      <c r="L636" s="82">
        <f t="shared" si="3"/>
        <v>2.3402</v>
      </c>
    </row>
    <row r="637">
      <c r="A637" s="83">
        <v>44676.0</v>
      </c>
      <c r="B637" s="83">
        <v>44676.0</v>
      </c>
      <c r="C637" s="66">
        <v>2365.0</v>
      </c>
      <c r="D637" s="66" t="s">
        <v>221</v>
      </c>
      <c r="E637" s="66">
        <v>0.0</v>
      </c>
      <c r="F637" s="66" t="s">
        <v>227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2">
        <f t="shared" si="2"/>
        <v>0.2608</v>
      </c>
      <c r="L637" s="82">
        <f t="shared" si="3"/>
        <v>0.0974</v>
      </c>
    </row>
    <row r="638">
      <c r="A638" s="83">
        <v>44676.0</v>
      </c>
      <c r="B638" s="83">
        <v>44676.0</v>
      </c>
      <c r="C638" s="66">
        <v>2370.0</v>
      </c>
      <c r="D638" s="66" t="s">
        <v>221</v>
      </c>
      <c r="E638" s="66">
        <v>0.0</v>
      </c>
      <c r="F638" s="66" t="s">
        <v>227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2">
        <f t="shared" si="2"/>
        <v>0.7039</v>
      </c>
      <c r="L638" s="82">
        <f t="shared" si="3"/>
        <v>0.0921</v>
      </c>
    </row>
    <row r="639">
      <c r="A639" s="83">
        <v>44676.0</v>
      </c>
      <c r="B639" s="83">
        <v>44676.0</v>
      </c>
      <c r="C639" s="66">
        <v>2376.0</v>
      </c>
      <c r="D639" s="66" t="s">
        <v>226</v>
      </c>
      <c r="E639" s="66">
        <v>1.0</v>
      </c>
      <c r="F639" s="66" t="s">
        <v>227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2">
        <f t="shared" si="2"/>
        <v>0.9324</v>
      </c>
      <c r="L639" s="82">
        <f t="shared" si="3"/>
        <v>0.6878</v>
      </c>
    </row>
    <row r="640">
      <c r="A640" s="83">
        <v>44676.0</v>
      </c>
      <c r="B640" s="83">
        <v>44676.0</v>
      </c>
      <c r="C640" s="66">
        <v>2381.0</v>
      </c>
      <c r="D640" s="66" t="s">
        <v>226</v>
      </c>
      <c r="E640" s="66">
        <v>0.0</v>
      </c>
      <c r="F640" s="66" t="s">
        <v>227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2">
        <f t="shared" si="2"/>
        <v>0.3216</v>
      </c>
      <c r="L640" s="82">
        <f t="shared" si="3"/>
        <v>0.1277</v>
      </c>
    </row>
    <row r="641">
      <c r="A641" s="83">
        <v>44676.0</v>
      </c>
      <c r="B641" s="83">
        <v>44676.0</v>
      </c>
      <c r="C641" s="66">
        <v>2011.0</v>
      </c>
      <c r="D641" s="66" t="s">
        <v>226</v>
      </c>
      <c r="E641" s="66">
        <v>0.0</v>
      </c>
      <c r="F641" s="66" t="s">
        <v>228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2">
        <f t="shared" si="2"/>
        <v>5.7896</v>
      </c>
      <c r="L641" s="82">
        <f t="shared" si="3"/>
        <v>2.9066</v>
      </c>
    </row>
    <row r="642">
      <c r="A642" s="83">
        <v>44676.0</v>
      </c>
      <c r="B642" s="83">
        <v>44676.0</v>
      </c>
      <c r="C642" s="66">
        <v>2377.0</v>
      </c>
      <c r="D642" s="66" t="s">
        <v>226</v>
      </c>
      <c r="E642" s="66">
        <v>1.0</v>
      </c>
      <c r="F642" s="66" t="s">
        <v>228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2">
        <f t="shared" si="2"/>
        <v>1.0658</v>
      </c>
      <c r="L642" s="82">
        <f t="shared" si="3"/>
        <v>0.8166</v>
      </c>
    </row>
    <row r="643">
      <c r="A643" s="83">
        <v>44676.0</v>
      </c>
      <c r="B643" s="83">
        <v>44676.0</v>
      </c>
      <c r="C643" s="66">
        <v>2382.0</v>
      </c>
      <c r="D643" s="66" t="s">
        <v>221</v>
      </c>
      <c r="E643" s="66">
        <v>0.0</v>
      </c>
      <c r="F643" s="66" t="s">
        <v>228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2">
        <f t="shared" si="2"/>
        <v>4.1206</v>
      </c>
      <c r="L643" s="82">
        <f t="shared" si="3"/>
        <v>2.1962</v>
      </c>
    </row>
    <row r="644">
      <c r="A644" s="83">
        <v>44676.0</v>
      </c>
      <c r="B644" s="83">
        <v>44676.0</v>
      </c>
      <c r="C644" s="66">
        <v>2372.0</v>
      </c>
      <c r="D644" s="66" t="s">
        <v>221</v>
      </c>
      <c r="E644" s="66">
        <v>0.0</v>
      </c>
      <c r="F644" s="66" t="s">
        <v>228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2">
        <f t="shared" si="2"/>
        <v>3.775</v>
      </c>
      <c r="L644" s="82">
        <f t="shared" si="3"/>
        <v>1.9088</v>
      </c>
    </row>
    <row r="645">
      <c r="A645" s="83">
        <v>44676.0</v>
      </c>
      <c r="B645" s="83">
        <v>44676.0</v>
      </c>
      <c r="C645" s="66">
        <v>2010.0</v>
      </c>
      <c r="D645" s="66" t="s">
        <v>221</v>
      </c>
      <c r="E645" s="66">
        <v>0.0</v>
      </c>
      <c r="F645" s="66" t="s">
        <v>227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2">
        <f t="shared" si="2"/>
        <v>0.8269</v>
      </c>
      <c r="L645" s="82">
        <f t="shared" si="3"/>
        <v>0.1652</v>
      </c>
    </row>
    <row r="646">
      <c r="A646" s="83">
        <v>44676.0</v>
      </c>
      <c r="B646" s="83">
        <v>44676.0</v>
      </c>
      <c r="C646" s="66">
        <v>2354.0</v>
      </c>
      <c r="D646" s="66" t="s">
        <v>226</v>
      </c>
      <c r="E646" s="66">
        <v>0.0</v>
      </c>
      <c r="F646" s="66" t="s">
        <v>228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2">
        <f t="shared" si="2"/>
        <v>1.7719</v>
      </c>
      <c r="L646" s="82">
        <f t="shared" si="3"/>
        <v>0.6636</v>
      </c>
    </row>
    <row r="647">
      <c r="A647" s="83">
        <v>44676.0</v>
      </c>
      <c r="B647" s="83">
        <v>44676.0</v>
      </c>
      <c r="C647" s="66">
        <v>2343.0</v>
      </c>
      <c r="D647" s="66" t="s">
        <v>221</v>
      </c>
      <c r="E647" s="66">
        <v>0.0</v>
      </c>
      <c r="F647" s="66" t="s">
        <v>228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2">
        <f t="shared" si="2"/>
        <v>3.1684</v>
      </c>
      <c r="L647" s="82">
        <f t="shared" si="3"/>
        <v>1.5685</v>
      </c>
    </row>
    <row r="648">
      <c r="A648" s="83">
        <v>44676.0</v>
      </c>
      <c r="B648" s="83">
        <v>44676.0</v>
      </c>
      <c r="C648" s="66">
        <v>2331.0</v>
      </c>
      <c r="D648" s="66" t="s">
        <v>221</v>
      </c>
      <c r="E648" s="66">
        <v>1.0</v>
      </c>
      <c r="F648" s="66" t="s">
        <v>227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2">
        <f t="shared" si="2"/>
        <v>1.5333</v>
      </c>
      <c r="L648" s="82">
        <f t="shared" si="3"/>
        <v>0.9081</v>
      </c>
    </row>
    <row r="649">
      <c r="A649" s="83">
        <v>44676.0</v>
      </c>
      <c r="B649" s="83">
        <v>44676.0</v>
      </c>
      <c r="C649" s="66">
        <v>2384.0</v>
      </c>
      <c r="D649" s="66" t="s">
        <v>221</v>
      </c>
      <c r="E649" s="66">
        <v>0.0</v>
      </c>
      <c r="F649" s="66" t="s">
        <v>228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2">
        <f t="shared" si="2"/>
        <v>2.1446</v>
      </c>
      <c r="L649" s="82">
        <f t="shared" si="3"/>
        <v>1.1093</v>
      </c>
    </row>
    <row r="650">
      <c r="A650" s="83">
        <v>44676.0</v>
      </c>
      <c r="B650" s="83">
        <v>44676.0</v>
      </c>
      <c r="C650" s="66">
        <v>2346.0</v>
      </c>
      <c r="D650" s="66" t="s">
        <v>221</v>
      </c>
      <c r="E650" s="66">
        <v>0.0</v>
      </c>
      <c r="F650" s="66" t="s">
        <v>228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2">
        <f t="shared" si="2"/>
        <v>1.8138</v>
      </c>
      <c r="L650" s="82">
        <f t="shared" si="3"/>
        <v>0.9003</v>
      </c>
    </row>
    <row r="651">
      <c r="A651" s="83">
        <v>44676.0</v>
      </c>
      <c r="B651" s="83">
        <v>44676.0</v>
      </c>
      <c r="C651" s="66">
        <v>2377.0</v>
      </c>
      <c r="D651" s="66" t="s">
        <v>226</v>
      </c>
      <c r="E651" s="66">
        <v>0.0</v>
      </c>
      <c r="F651" s="66" t="s">
        <v>227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2">
        <f t="shared" si="2"/>
        <v>0.2051</v>
      </c>
      <c r="L651" s="82">
        <f t="shared" si="3"/>
        <v>0.0576</v>
      </c>
    </row>
    <row r="652">
      <c r="A652" s="83">
        <v>44676.0</v>
      </c>
      <c r="B652" s="83">
        <v>44676.0</v>
      </c>
      <c r="C652" s="66">
        <v>2371.0</v>
      </c>
      <c r="D652" s="66" t="s">
        <v>221</v>
      </c>
      <c r="E652" s="66">
        <v>0.0</v>
      </c>
      <c r="F652" s="66" t="s">
        <v>228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2">
        <f t="shared" si="2"/>
        <v>5.4747</v>
      </c>
      <c r="L652" s="82">
        <f t="shared" si="3"/>
        <v>2.4619</v>
      </c>
    </row>
    <row r="653">
      <c r="A653" s="83">
        <v>44676.0</v>
      </c>
      <c r="B653" s="83">
        <v>44676.0</v>
      </c>
      <c r="C653" s="66">
        <v>2345.0</v>
      </c>
      <c r="D653" s="66" t="s">
        <v>226</v>
      </c>
      <c r="E653" s="66">
        <v>1.0</v>
      </c>
      <c r="F653" s="66" t="s">
        <v>228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2">
        <f t="shared" si="2"/>
        <v>6.4025</v>
      </c>
      <c r="L653" s="82">
        <f t="shared" si="3"/>
        <v>3.4204</v>
      </c>
    </row>
    <row r="654">
      <c r="A654" s="83">
        <v>44676.0</v>
      </c>
      <c r="B654" s="83">
        <v>44676.0</v>
      </c>
      <c r="C654" s="66">
        <v>2354.0</v>
      </c>
      <c r="D654" s="66" t="s">
        <v>226</v>
      </c>
      <c r="E654" s="66">
        <v>1.0</v>
      </c>
      <c r="F654" s="66" t="s">
        <v>227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2">
        <f t="shared" si="2"/>
        <v>1.3886</v>
      </c>
      <c r="L654" s="82">
        <f t="shared" si="3"/>
        <v>0.5646</v>
      </c>
    </row>
    <row r="655">
      <c r="A655" s="83">
        <v>44676.0</v>
      </c>
      <c r="B655" s="83">
        <v>44676.0</v>
      </c>
      <c r="C655" s="66">
        <v>2370.0</v>
      </c>
      <c r="D655" s="66" t="s">
        <v>226</v>
      </c>
      <c r="E655" s="66">
        <v>0.0</v>
      </c>
      <c r="F655" s="66" t="s">
        <v>228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2">
        <f t="shared" si="2"/>
        <v>3.6379</v>
      </c>
      <c r="L655" s="82">
        <f t="shared" si="3"/>
        <v>1.7577</v>
      </c>
    </row>
    <row r="656">
      <c r="A656" s="83">
        <v>44676.0</v>
      </c>
      <c r="B656" s="83">
        <v>44676.0</v>
      </c>
      <c r="C656" s="66">
        <v>2383.0</v>
      </c>
      <c r="D656" s="66" t="s">
        <v>221</v>
      </c>
      <c r="E656" s="66">
        <v>0.0</v>
      </c>
      <c r="F656" s="66" t="s">
        <v>227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2">
        <f t="shared" si="2"/>
        <v>0.2273</v>
      </c>
      <c r="L656" s="82">
        <f t="shared" si="3"/>
        <v>0.1538</v>
      </c>
    </row>
    <row r="657">
      <c r="A657" s="83">
        <v>44676.0</v>
      </c>
      <c r="B657" s="83">
        <v>44676.0</v>
      </c>
      <c r="C657" s="66">
        <v>2380.0</v>
      </c>
      <c r="D657" s="66" t="s">
        <v>221</v>
      </c>
      <c r="E657" s="66">
        <v>1.0</v>
      </c>
      <c r="F657" s="66" t="s">
        <v>227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2">
        <f t="shared" si="2"/>
        <v>1.263</v>
      </c>
      <c r="L657" s="82">
        <f t="shared" si="3"/>
        <v>0.4883</v>
      </c>
    </row>
    <row r="658">
      <c r="A658" s="83">
        <v>44676.0</v>
      </c>
      <c r="B658" s="83">
        <v>44676.0</v>
      </c>
      <c r="C658" s="66">
        <v>2354.0</v>
      </c>
      <c r="D658" s="66" t="s">
        <v>226</v>
      </c>
      <c r="E658" s="66">
        <v>1.0</v>
      </c>
      <c r="F658" s="66" t="s">
        <v>228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2">
        <f t="shared" si="2"/>
        <v>5.6269</v>
      </c>
      <c r="L658" s="82">
        <f t="shared" si="3"/>
        <v>3.3242</v>
      </c>
    </row>
    <row r="659">
      <c r="A659" s="83">
        <v>44676.0</v>
      </c>
      <c r="B659" s="83">
        <v>44676.0</v>
      </c>
      <c r="C659" s="66">
        <v>2369.0</v>
      </c>
      <c r="D659" s="66" t="s">
        <v>221</v>
      </c>
      <c r="E659" s="66">
        <v>0.0</v>
      </c>
      <c r="F659" s="66" t="s">
        <v>227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2">
        <f t="shared" si="2"/>
        <v>0.4962</v>
      </c>
      <c r="L659" s="82">
        <f t="shared" si="3"/>
        <v>0.0184</v>
      </c>
    </row>
    <row r="660">
      <c r="A660" s="83">
        <v>44676.0</v>
      </c>
      <c r="B660" s="83">
        <v>44676.0</v>
      </c>
      <c r="C660" s="66">
        <v>2371.0</v>
      </c>
      <c r="D660" s="66" t="s">
        <v>226</v>
      </c>
      <c r="E660" s="66">
        <v>0.0</v>
      </c>
      <c r="F660" s="66" t="s">
        <v>227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2">
        <f t="shared" si="2"/>
        <v>0.8652</v>
      </c>
      <c r="L660" s="82">
        <f t="shared" si="3"/>
        <v>0.4054</v>
      </c>
    </row>
    <row r="661">
      <c r="A661" s="83">
        <v>44676.0</v>
      </c>
      <c r="B661" s="83">
        <v>44676.0</v>
      </c>
      <c r="C661" s="66">
        <v>2375.0</v>
      </c>
      <c r="D661" s="66" t="s">
        <v>226</v>
      </c>
      <c r="E661" s="66">
        <v>0.0</v>
      </c>
      <c r="F661" s="66" t="s">
        <v>227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2">
        <f t="shared" si="2"/>
        <v>0.5752</v>
      </c>
      <c r="L661" s="82">
        <f t="shared" si="3"/>
        <v>0.2421</v>
      </c>
    </row>
    <row r="662">
      <c r="A662" s="83">
        <v>44676.0</v>
      </c>
      <c r="B662" s="83">
        <v>44676.0</v>
      </c>
      <c r="C662" s="66">
        <v>2010.0</v>
      </c>
      <c r="D662" s="66" t="s">
        <v>221</v>
      </c>
      <c r="E662" s="66">
        <v>0.0</v>
      </c>
      <c r="F662" s="66" t="s">
        <v>228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2">
        <f t="shared" si="2"/>
        <v>3.5525</v>
      </c>
      <c r="L662" s="82">
        <f t="shared" si="3"/>
        <v>1.556</v>
      </c>
    </row>
    <row r="663">
      <c r="A663" s="83">
        <v>44676.0</v>
      </c>
      <c r="B663" s="83">
        <v>44676.0</v>
      </c>
      <c r="C663" s="66">
        <v>2346.0</v>
      </c>
      <c r="D663" s="66" t="s">
        <v>226</v>
      </c>
      <c r="E663" s="66">
        <v>0.0</v>
      </c>
      <c r="F663" s="66" t="s">
        <v>228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2">
        <f t="shared" si="2"/>
        <v>3.1501</v>
      </c>
      <c r="L663" s="82">
        <f t="shared" si="3"/>
        <v>1.6027</v>
      </c>
    </row>
    <row r="664">
      <c r="A664" s="83">
        <v>44676.0</v>
      </c>
      <c r="B664" s="83">
        <v>44676.0</v>
      </c>
      <c r="C664" s="66">
        <v>2370.0</v>
      </c>
      <c r="D664" s="66" t="s">
        <v>226</v>
      </c>
      <c r="E664" s="66">
        <v>0.0</v>
      </c>
      <c r="F664" s="66" t="s">
        <v>227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2">
        <f t="shared" si="2"/>
        <v>0.6561</v>
      </c>
      <c r="L664" s="82">
        <f t="shared" si="3"/>
        <v>0.1153</v>
      </c>
    </row>
    <row r="665">
      <c r="A665" s="83">
        <v>44676.0</v>
      </c>
      <c r="B665" s="83">
        <v>44676.0</v>
      </c>
      <c r="C665" s="66">
        <v>2347.0</v>
      </c>
      <c r="D665" s="66" t="s">
        <v>226</v>
      </c>
      <c r="E665" s="66">
        <v>0.0</v>
      </c>
      <c r="F665" s="66" t="s">
        <v>227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2">
        <f t="shared" si="2"/>
        <v>0.3437</v>
      </c>
      <c r="L665" s="82">
        <f t="shared" si="3"/>
        <v>0.1661</v>
      </c>
    </row>
    <row r="666">
      <c r="A666" s="83">
        <v>44676.0</v>
      </c>
      <c r="B666" s="83">
        <v>44676.0</v>
      </c>
      <c r="C666" s="66">
        <v>2379.0</v>
      </c>
      <c r="D666" s="66" t="s">
        <v>221</v>
      </c>
      <c r="E666" s="66">
        <v>0.0</v>
      </c>
      <c r="F666" s="66" t="s">
        <v>227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2">
        <f t="shared" si="2"/>
        <v>0.5134</v>
      </c>
      <c r="L666" s="82">
        <f t="shared" si="3"/>
        <v>0.036</v>
      </c>
    </row>
    <row r="667">
      <c r="A667" s="83">
        <v>44676.0</v>
      </c>
      <c r="B667" s="83">
        <v>44676.0</v>
      </c>
      <c r="C667" s="66">
        <v>2011.0</v>
      </c>
      <c r="D667" s="66" t="s">
        <v>226</v>
      </c>
      <c r="E667" s="66">
        <v>1.0</v>
      </c>
      <c r="F667" s="66" t="s">
        <v>227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2">
        <f t="shared" si="2"/>
        <v>1.3176</v>
      </c>
      <c r="L667" s="82">
        <f t="shared" si="3"/>
        <v>0.7173</v>
      </c>
    </row>
    <row r="668">
      <c r="A668" s="83">
        <v>44676.0</v>
      </c>
      <c r="B668" s="83">
        <v>44676.0</v>
      </c>
      <c r="C668" s="66">
        <v>2345.0</v>
      </c>
      <c r="D668" s="66" t="s">
        <v>226</v>
      </c>
      <c r="E668" s="66">
        <v>1.0</v>
      </c>
      <c r="F668" s="66" t="s">
        <v>227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2">
        <f t="shared" si="2"/>
        <v>1.2627</v>
      </c>
      <c r="L668" s="82">
        <f t="shared" si="3"/>
        <v>0.4959</v>
      </c>
    </row>
    <row r="669">
      <c r="A669" s="83">
        <v>44676.0</v>
      </c>
      <c r="B669" s="83">
        <v>44676.0</v>
      </c>
      <c r="C669" s="66">
        <v>2372.0</v>
      </c>
      <c r="D669" s="66" t="s">
        <v>221</v>
      </c>
      <c r="E669" s="66">
        <v>0.0</v>
      </c>
      <c r="F669" s="66" t="s">
        <v>227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2">
        <f t="shared" si="2"/>
        <v>0.316</v>
      </c>
      <c r="L669" s="82">
        <f t="shared" si="3"/>
        <v>0.1039</v>
      </c>
    </row>
    <row r="670">
      <c r="A670" s="83">
        <v>44676.0</v>
      </c>
      <c r="B670" s="83">
        <v>44676.0</v>
      </c>
      <c r="C670" s="66">
        <v>2380.0</v>
      </c>
      <c r="D670" s="66" t="s">
        <v>226</v>
      </c>
      <c r="E670" s="66">
        <v>0.0</v>
      </c>
      <c r="F670" s="66" t="s">
        <v>227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2">
        <f t="shared" si="2"/>
        <v>0.1705</v>
      </c>
      <c r="L670" s="82">
        <f t="shared" si="3"/>
        <v>0.1299</v>
      </c>
    </row>
    <row r="671">
      <c r="A671" s="83">
        <v>44676.0</v>
      </c>
      <c r="B671" s="83">
        <v>44676.0</v>
      </c>
      <c r="C671" s="66">
        <v>2378.0</v>
      </c>
      <c r="D671" s="66" t="s">
        <v>226</v>
      </c>
      <c r="E671" s="66">
        <v>0.0</v>
      </c>
      <c r="F671" s="66" t="s">
        <v>228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2">
        <f t="shared" si="2"/>
        <v>4.4</v>
      </c>
      <c r="L671" s="82">
        <f t="shared" si="3"/>
        <v>2.1808</v>
      </c>
    </row>
    <row r="672">
      <c r="A672" s="83">
        <v>44676.0</v>
      </c>
      <c r="B672" s="83">
        <v>44676.0</v>
      </c>
      <c r="C672" s="66">
        <v>2382.0</v>
      </c>
      <c r="D672" s="66" t="s">
        <v>226</v>
      </c>
      <c r="E672" s="66">
        <v>0.0</v>
      </c>
      <c r="F672" s="66" t="s">
        <v>227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2">
        <f t="shared" si="2"/>
        <v>0.4897</v>
      </c>
      <c r="L672" s="82">
        <f t="shared" si="3"/>
        <v>0.1962</v>
      </c>
    </row>
    <row r="673">
      <c r="A673" s="83">
        <v>44676.0</v>
      </c>
      <c r="B673" s="83">
        <v>44676.0</v>
      </c>
      <c r="C673" s="66">
        <v>2380.0</v>
      </c>
      <c r="D673" s="66" t="s">
        <v>226</v>
      </c>
      <c r="E673" s="66">
        <v>0.0</v>
      </c>
      <c r="F673" s="66" t="s">
        <v>228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2">
        <f t="shared" si="2"/>
        <v>2.7848</v>
      </c>
      <c r="L673" s="82">
        <f t="shared" si="3"/>
        <v>1.4761</v>
      </c>
    </row>
    <row r="674">
      <c r="A674" s="83">
        <v>44676.0</v>
      </c>
      <c r="B674" s="83">
        <v>44676.0</v>
      </c>
      <c r="C674" s="66">
        <v>2378.0</v>
      </c>
      <c r="D674" s="66" t="s">
        <v>226</v>
      </c>
      <c r="E674" s="66">
        <v>0.0</v>
      </c>
      <c r="F674" s="66" t="s">
        <v>227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2">
        <f t="shared" si="2"/>
        <v>0.4647</v>
      </c>
      <c r="L674" s="82">
        <f t="shared" si="3"/>
        <v>0.2149</v>
      </c>
    </row>
    <row r="675">
      <c r="A675" s="83">
        <v>44676.0</v>
      </c>
      <c r="B675" s="83">
        <v>44676.0</v>
      </c>
      <c r="C675" s="66">
        <v>2378.0</v>
      </c>
      <c r="D675" s="66" t="s">
        <v>226</v>
      </c>
      <c r="E675" s="66">
        <v>1.0</v>
      </c>
      <c r="F675" s="66" t="s">
        <v>227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2">
        <f t="shared" si="2"/>
        <v>0.3437</v>
      </c>
      <c r="L675" s="82">
        <f t="shared" si="3"/>
        <v>0.4017</v>
      </c>
    </row>
    <row r="676">
      <c r="A676" s="83">
        <v>44676.0</v>
      </c>
      <c r="B676" s="83">
        <v>44676.0</v>
      </c>
      <c r="C676" s="66">
        <v>2360.0</v>
      </c>
      <c r="D676" s="66" t="s">
        <v>226</v>
      </c>
      <c r="E676" s="66">
        <v>0.0</v>
      </c>
      <c r="F676" s="66" t="s">
        <v>227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2">
        <f t="shared" si="2"/>
        <v>0.7366</v>
      </c>
      <c r="L676" s="82">
        <f t="shared" si="3"/>
        <v>0.1966</v>
      </c>
    </row>
    <row r="677">
      <c r="A677" s="83">
        <v>44676.0</v>
      </c>
      <c r="B677" s="83">
        <v>44676.0</v>
      </c>
      <c r="C677" s="66">
        <v>2381.0</v>
      </c>
      <c r="D677" s="66" t="s">
        <v>226</v>
      </c>
      <c r="E677" s="66">
        <v>1.0</v>
      </c>
      <c r="F677" s="66" t="s">
        <v>227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2">
        <f t="shared" si="2"/>
        <v>0.1017</v>
      </c>
      <c r="L677" s="82">
        <f t="shared" si="3"/>
        <v>0.2347</v>
      </c>
    </row>
    <row r="678">
      <c r="A678" s="83">
        <v>44676.0</v>
      </c>
      <c r="B678" s="83">
        <v>44676.0</v>
      </c>
      <c r="C678" s="66">
        <v>2367.0</v>
      </c>
      <c r="D678" s="66" t="s">
        <v>226</v>
      </c>
      <c r="E678" s="66">
        <v>0.0</v>
      </c>
      <c r="F678" s="66" t="s">
        <v>228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2">
        <f t="shared" si="2"/>
        <v>5.9576</v>
      </c>
      <c r="L678" s="82">
        <f t="shared" si="3"/>
        <v>2.7161</v>
      </c>
    </row>
    <row r="679">
      <c r="A679" s="83">
        <v>44676.0</v>
      </c>
      <c r="B679" s="83">
        <v>44676.0</v>
      </c>
      <c r="C679" s="66">
        <v>2375.0</v>
      </c>
      <c r="D679" s="66" t="s">
        <v>226</v>
      </c>
      <c r="E679" s="66">
        <v>0.0</v>
      </c>
      <c r="F679" s="66" t="s">
        <v>228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2">
        <f t="shared" si="2"/>
        <v>4.9173</v>
      </c>
      <c r="L679" s="82">
        <f t="shared" si="3"/>
        <v>2.575</v>
      </c>
    </row>
    <row r="680">
      <c r="A680" s="83">
        <v>44676.0</v>
      </c>
      <c r="B680" s="83">
        <v>44676.0</v>
      </c>
      <c r="C680" s="66">
        <v>2369.0</v>
      </c>
      <c r="D680" s="66" t="s">
        <v>226</v>
      </c>
      <c r="E680" s="66">
        <v>0.0</v>
      </c>
      <c r="F680" s="66" t="s">
        <v>227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2">
        <f t="shared" si="2"/>
        <v>0.5523</v>
      </c>
      <c r="L680" s="82">
        <f t="shared" si="3"/>
        <v>0.2554</v>
      </c>
    </row>
    <row r="681">
      <c r="A681" s="83">
        <v>44676.0</v>
      </c>
      <c r="B681" s="83">
        <v>44676.0</v>
      </c>
      <c r="C681" s="66">
        <v>2343.0</v>
      </c>
      <c r="D681" s="66" t="s">
        <v>226</v>
      </c>
      <c r="E681" s="66">
        <v>0.0</v>
      </c>
      <c r="F681" s="66" t="s">
        <v>227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2">
        <f t="shared" si="2"/>
        <v>0.588</v>
      </c>
      <c r="L681" s="82">
        <f t="shared" si="3"/>
        <v>0.2165</v>
      </c>
    </row>
    <row r="682">
      <c r="A682" s="83">
        <v>44676.0</v>
      </c>
      <c r="B682" s="83">
        <v>44676.0</v>
      </c>
      <c r="C682" s="66">
        <v>2375.0</v>
      </c>
      <c r="D682" s="66" t="s">
        <v>221</v>
      </c>
      <c r="E682" s="66">
        <v>0.0</v>
      </c>
      <c r="F682" s="66" t="s">
        <v>227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2">
        <f t="shared" si="2"/>
        <v>0.2541</v>
      </c>
      <c r="L682" s="82">
        <f t="shared" si="3"/>
        <v>0.0938</v>
      </c>
    </row>
    <row r="683">
      <c r="A683" s="83">
        <v>44676.0</v>
      </c>
      <c r="B683" s="83">
        <v>44676.0</v>
      </c>
      <c r="C683" s="66">
        <v>2381.0</v>
      </c>
      <c r="D683" s="66" t="s">
        <v>226</v>
      </c>
      <c r="E683" s="66">
        <v>0.0</v>
      </c>
      <c r="F683" s="66" t="s">
        <v>228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2">
        <f t="shared" si="2"/>
        <v>4.9728</v>
      </c>
      <c r="L683" s="82">
        <f t="shared" si="3"/>
        <v>2.4645</v>
      </c>
    </row>
    <row r="684">
      <c r="A684" s="83">
        <v>44676.0</v>
      </c>
      <c r="B684" s="83">
        <v>44676.0</v>
      </c>
      <c r="C684" s="66">
        <v>2378.0</v>
      </c>
      <c r="D684" s="66" t="s">
        <v>221</v>
      </c>
      <c r="E684" s="66">
        <v>0.0</v>
      </c>
      <c r="F684" s="66" t="s">
        <v>228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2">
        <f t="shared" si="2"/>
        <v>4.418</v>
      </c>
      <c r="L684" s="82">
        <f t="shared" si="3"/>
        <v>2.0102</v>
      </c>
    </row>
    <row r="685">
      <c r="A685" s="83">
        <v>44676.0</v>
      </c>
      <c r="B685" s="83">
        <v>44676.0</v>
      </c>
      <c r="C685" s="66">
        <v>2346.0</v>
      </c>
      <c r="D685" s="66" t="s">
        <v>221</v>
      </c>
      <c r="E685" s="66">
        <v>0.0</v>
      </c>
      <c r="F685" s="66" t="s">
        <v>227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2">
        <f t="shared" si="2"/>
        <v>0.0872</v>
      </c>
      <c r="L685" s="82">
        <f t="shared" si="3"/>
        <v>0.0223</v>
      </c>
    </row>
    <row r="686">
      <c r="A686" s="83">
        <v>44676.0</v>
      </c>
      <c r="B686" s="83">
        <v>44676.0</v>
      </c>
      <c r="C686" s="66">
        <v>2382.0</v>
      </c>
      <c r="D686" s="66" t="s">
        <v>226</v>
      </c>
      <c r="E686" s="66">
        <v>1.0</v>
      </c>
      <c r="F686" s="66" t="s">
        <v>227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2">
        <f t="shared" si="2"/>
        <v>1.5483</v>
      </c>
      <c r="L686" s="82">
        <f t="shared" si="3"/>
        <v>1.0383</v>
      </c>
    </row>
    <row r="687">
      <c r="A687" s="83">
        <v>44676.0</v>
      </c>
      <c r="B687" s="83">
        <v>44676.0</v>
      </c>
      <c r="C687" s="66">
        <v>2376.0</v>
      </c>
      <c r="D687" s="66" t="s">
        <v>226</v>
      </c>
      <c r="E687" s="66">
        <v>1.0</v>
      </c>
      <c r="F687" s="66" t="s">
        <v>228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2">
        <f t="shared" si="2"/>
        <v>10.0375</v>
      </c>
      <c r="L687" s="82">
        <f t="shared" si="3"/>
        <v>5.1945</v>
      </c>
    </row>
    <row r="688">
      <c r="A688" s="83">
        <v>44676.0</v>
      </c>
      <c r="B688" s="83">
        <v>44676.0</v>
      </c>
      <c r="C688" s="66">
        <v>2371.0</v>
      </c>
      <c r="D688" s="66" t="s">
        <v>226</v>
      </c>
      <c r="E688" s="66">
        <v>0.0</v>
      </c>
      <c r="F688" s="66" t="s">
        <v>228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2">
        <f t="shared" si="2"/>
        <v>6.61</v>
      </c>
      <c r="L688" s="82">
        <f t="shared" si="3"/>
        <v>3.3662</v>
      </c>
    </row>
    <row r="689">
      <c r="A689" s="83">
        <v>44676.0</v>
      </c>
      <c r="B689" s="83">
        <v>44676.0</v>
      </c>
      <c r="C689" s="66">
        <v>2382.0</v>
      </c>
      <c r="D689" s="66" t="s">
        <v>226</v>
      </c>
      <c r="E689" s="66">
        <v>0.0</v>
      </c>
      <c r="F689" s="66" t="s">
        <v>228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2">
        <f t="shared" si="2"/>
        <v>5.5289</v>
      </c>
      <c r="L689" s="82">
        <f t="shared" si="3"/>
        <v>2.8687</v>
      </c>
    </row>
    <row r="690">
      <c r="A690" s="83">
        <v>44676.0</v>
      </c>
      <c r="B690" s="83">
        <v>44676.0</v>
      </c>
      <c r="C690" s="66">
        <v>2010.0</v>
      </c>
      <c r="D690" s="66" t="s">
        <v>226</v>
      </c>
      <c r="E690" s="66">
        <v>0.0</v>
      </c>
      <c r="F690" s="66" t="s">
        <v>228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2">
        <f t="shared" si="2"/>
        <v>7.0206</v>
      </c>
      <c r="L690" s="82">
        <f t="shared" si="3"/>
        <v>3.5446</v>
      </c>
    </row>
    <row r="691">
      <c r="A691" s="83">
        <v>44676.0</v>
      </c>
      <c r="B691" s="83">
        <v>44676.0</v>
      </c>
      <c r="C691" s="66">
        <v>2365.0</v>
      </c>
      <c r="D691" s="66" t="s">
        <v>221</v>
      </c>
      <c r="E691" s="66">
        <v>0.0</v>
      </c>
      <c r="F691" s="66" t="s">
        <v>228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2">
        <f t="shared" si="2"/>
        <v>2.4097</v>
      </c>
      <c r="L691" s="82">
        <f t="shared" si="3"/>
        <v>1.1164</v>
      </c>
    </row>
    <row r="692">
      <c r="A692" s="83">
        <v>44677.0</v>
      </c>
      <c r="B692" s="83">
        <v>44677.0</v>
      </c>
      <c r="C692" s="66" t="s">
        <v>95</v>
      </c>
      <c r="D692" s="66" t="s">
        <v>221</v>
      </c>
      <c r="E692" s="66">
        <v>0.0</v>
      </c>
      <c r="F692" s="66" t="s">
        <v>227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2">
        <f t="shared" si="2"/>
        <v>2.0548</v>
      </c>
      <c r="L692" s="82">
        <f t="shared" si="3"/>
        <v>0.6354</v>
      </c>
    </row>
    <row r="693">
      <c r="A693" s="83">
        <v>44677.0</v>
      </c>
      <c r="B693" s="83">
        <v>44677.0</v>
      </c>
      <c r="C693" s="66" t="s">
        <v>95</v>
      </c>
      <c r="D693" s="66" t="s">
        <v>221</v>
      </c>
      <c r="E693" s="66">
        <v>0.0</v>
      </c>
      <c r="F693" s="66" t="s">
        <v>227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2">
        <f t="shared" si="2"/>
        <v>1.2125</v>
      </c>
      <c r="L693" s="82">
        <f t="shared" si="3"/>
        <v>0.415</v>
      </c>
    </row>
    <row r="694">
      <c r="A694" s="83">
        <v>44677.0</v>
      </c>
      <c r="B694" s="83">
        <v>44677.0</v>
      </c>
      <c r="C694" s="66" t="s">
        <v>95</v>
      </c>
      <c r="D694" s="66" t="s">
        <v>221</v>
      </c>
      <c r="E694" s="66">
        <v>0.0</v>
      </c>
      <c r="F694" s="66" t="s">
        <v>227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2">
        <f t="shared" si="2"/>
        <v>1.3852</v>
      </c>
      <c r="L694" s="82">
        <f t="shared" si="3"/>
        <v>0.3912</v>
      </c>
    </row>
    <row r="695">
      <c r="A695" s="83">
        <v>44677.0</v>
      </c>
      <c r="B695" s="83">
        <v>44677.0</v>
      </c>
      <c r="C695" s="66" t="s">
        <v>236</v>
      </c>
      <c r="D695" s="66" t="s">
        <v>221</v>
      </c>
      <c r="E695" s="66">
        <v>0.0</v>
      </c>
      <c r="F695" s="66" t="s">
        <v>228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2">
        <f t="shared" si="2"/>
        <v>11.9594</v>
      </c>
      <c r="L695" s="82">
        <f t="shared" si="3"/>
        <v>2.9258</v>
      </c>
    </row>
    <row r="696">
      <c r="A696" s="83">
        <v>44677.0</v>
      </c>
      <c r="B696" s="83">
        <v>44677.0</v>
      </c>
      <c r="C696" s="66" t="s">
        <v>95</v>
      </c>
      <c r="D696" s="66" t="s">
        <v>221</v>
      </c>
      <c r="E696" s="66">
        <v>0.0</v>
      </c>
      <c r="F696" s="66" t="s">
        <v>227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2">
        <f t="shared" si="2"/>
        <v>1.1039</v>
      </c>
      <c r="L696" s="82">
        <f t="shared" si="3"/>
        <v>0.4148</v>
      </c>
    </row>
    <row r="697">
      <c r="A697" s="83">
        <v>44677.0</v>
      </c>
      <c r="B697" s="83">
        <v>44677.0</v>
      </c>
      <c r="C697" s="66" t="s">
        <v>236</v>
      </c>
      <c r="D697" s="66" t="s">
        <v>221</v>
      </c>
      <c r="E697" s="66">
        <v>0.0</v>
      </c>
      <c r="F697" s="66" t="s">
        <v>228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2">
        <f t="shared" si="2"/>
        <v>6.1416</v>
      </c>
      <c r="L697" s="82">
        <f t="shared" si="3"/>
        <v>1.5193</v>
      </c>
    </row>
    <row r="698">
      <c r="A698" s="83">
        <v>44677.0</v>
      </c>
      <c r="B698" s="83">
        <v>44677.0</v>
      </c>
      <c r="C698" s="66" t="s">
        <v>235</v>
      </c>
      <c r="D698" s="66" t="s">
        <v>221</v>
      </c>
      <c r="E698" s="66">
        <v>0.0</v>
      </c>
      <c r="F698" s="66" t="s">
        <v>228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2">
        <f t="shared" si="2"/>
        <v>7.8177</v>
      </c>
      <c r="L698" s="82">
        <f t="shared" si="3"/>
        <v>2.2786</v>
      </c>
    </row>
    <row r="699">
      <c r="A699" s="83">
        <v>44677.0</v>
      </c>
      <c r="B699" s="83">
        <v>44677.0</v>
      </c>
      <c r="C699" s="66" t="s">
        <v>236</v>
      </c>
      <c r="D699" s="66" t="s">
        <v>221</v>
      </c>
      <c r="E699" s="66">
        <v>0.0</v>
      </c>
      <c r="F699" s="66" t="s">
        <v>228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2">
        <f t="shared" si="2"/>
        <v>9.1336</v>
      </c>
      <c r="L699" s="82">
        <f t="shared" si="3"/>
        <v>1.9264</v>
      </c>
    </row>
    <row r="700">
      <c r="A700" s="83">
        <v>44677.0</v>
      </c>
      <c r="B700" s="83">
        <v>44677.0</v>
      </c>
      <c r="C700" s="66" t="s">
        <v>236</v>
      </c>
      <c r="D700" s="66" t="s">
        <v>221</v>
      </c>
      <c r="E700" s="66">
        <v>0.0</v>
      </c>
      <c r="F700" s="66" t="s">
        <v>228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2">
        <f t="shared" si="2"/>
        <v>10.7587</v>
      </c>
      <c r="L700" s="82">
        <f t="shared" si="3"/>
        <v>2.3316</v>
      </c>
    </row>
    <row r="701">
      <c r="A701" s="83">
        <v>44677.0</v>
      </c>
      <c r="B701" s="83">
        <v>44677.0</v>
      </c>
      <c r="C701" s="66" t="s">
        <v>235</v>
      </c>
      <c r="D701" s="66" t="s">
        <v>221</v>
      </c>
      <c r="E701" s="66">
        <v>0.0</v>
      </c>
      <c r="F701" s="66" t="s">
        <v>228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2">
        <f t="shared" si="2"/>
        <v>5.6731</v>
      </c>
      <c r="L701" s="82">
        <f t="shared" si="3"/>
        <v>1.8518</v>
      </c>
    </row>
    <row r="702">
      <c r="A702" s="83">
        <v>44677.0</v>
      </c>
      <c r="B702" s="83">
        <v>44677.0</v>
      </c>
      <c r="C702" s="66" t="s">
        <v>235</v>
      </c>
      <c r="D702" s="66" t="s">
        <v>221</v>
      </c>
      <c r="E702" s="66">
        <v>0.0</v>
      </c>
      <c r="F702" s="66" t="s">
        <v>228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2">
        <f t="shared" si="2"/>
        <v>3.7957</v>
      </c>
      <c r="L702" s="82">
        <f t="shared" si="3"/>
        <v>1.3811</v>
      </c>
    </row>
    <row r="703">
      <c r="A703" s="83">
        <v>44677.0</v>
      </c>
      <c r="B703" s="83">
        <v>44677.0</v>
      </c>
      <c r="C703" s="66" t="s">
        <v>95</v>
      </c>
      <c r="D703" s="66" t="s">
        <v>221</v>
      </c>
      <c r="E703" s="66">
        <v>0.0</v>
      </c>
      <c r="F703" s="66" t="s">
        <v>228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2">
        <f t="shared" si="2"/>
        <v>6.6026</v>
      </c>
      <c r="L703" s="82">
        <f t="shared" si="3"/>
        <v>1.9923</v>
      </c>
    </row>
    <row r="704">
      <c r="A704" s="83">
        <v>44677.0</v>
      </c>
      <c r="B704" s="83">
        <v>44677.0</v>
      </c>
      <c r="C704" s="66" t="s">
        <v>95</v>
      </c>
      <c r="D704" s="66" t="s">
        <v>221</v>
      </c>
      <c r="E704" s="66">
        <v>0.0</v>
      </c>
      <c r="F704" s="66" t="s">
        <v>228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2">
        <f t="shared" si="2"/>
        <v>4.0334</v>
      </c>
      <c r="L704" s="82">
        <f t="shared" si="3"/>
        <v>1.3861</v>
      </c>
    </row>
    <row r="705">
      <c r="A705" s="83">
        <v>44677.0</v>
      </c>
      <c r="B705" s="83">
        <v>44677.0</v>
      </c>
      <c r="C705" s="66" t="s">
        <v>95</v>
      </c>
      <c r="D705" s="66" t="s">
        <v>221</v>
      </c>
      <c r="E705" s="66">
        <v>0.0</v>
      </c>
      <c r="F705" s="66" t="s">
        <v>228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2">
        <f t="shared" si="2"/>
        <v>4.7655</v>
      </c>
      <c r="L705" s="82">
        <f t="shared" si="3"/>
        <v>1.4431</v>
      </c>
    </row>
    <row r="706">
      <c r="A706" s="83">
        <v>44677.0</v>
      </c>
      <c r="B706" s="83">
        <v>44677.0</v>
      </c>
      <c r="C706" s="66" t="s">
        <v>95</v>
      </c>
      <c r="D706" s="66" t="s">
        <v>221</v>
      </c>
      <c r="E706" s="66">
        <v>0.0</v>
      </c>
      <c r="F706" s="66" t="s">
        <v>228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2">
        <f t="shared" si="2"/>
        <v>3.3915</v>
      </c>
      <c r="L706" s="82">
        <f t="shared" si="3"/>
        <v>1.3639</v>
      </c>
    </row>
    <row r="707">
      <c r="A707" s="83">
        <v>44677.0</v>
      </c>
      <c r="B707" s="83">
        <v>44677.0</v>
      </c>
      <c r="C707" s="66" t="s">
        <v>235</v>
      </c>
      <c r="D707" s="66" t="s">
        <v>221</v>
      </c>
      <c r="E707" s="66">
        <v>0.0</v>
      </c>
      <c r="F707" s="66" t="s">
        <v>227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2">
        <f t="shared" si="2"/>
        <v>1.6395</v>
      </c>
      <c r="L707" s="82">
        <f t="shared" si="3"/>
        <v>0.5213</v>
      </c>
    </row>
    <row r="708">
      <c r="A708" s="83">
        <v>44677.0</v>
      </c>
      <c r="B708" s="83">
        <v>44677.0</v>
      </c>
      <c r="C708" s="66" t="s">
        <v>236</v>
      </c>
      <c r="D708" s="66" t="s">
        <v>221</v>
      </c>
      <c r="E708" s="66">
        <v>0.0</v>
      </c>
      <c r="F708" s="66" t="s">
        <v>227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2">
        <f t="shared" si="2"/>
        <v>2.4358</v>
      </c>
      <c r="L708" s="82">
        <f t="shared" si="3"/>
        <v>0.4493</v>
      </c>
    </row>
    <row r="709">
      <c r="A709" s="83">
        <v>44677.0</v>
      </c>
      <c r="B709" s="83">
        <v>44677.0</v>
      </c>
      <c r="C709" s="66" t="s">
        <v>236</v>
      </c>
      <c r="D709" s="66" t="s">
        <v>221</v>
      </c>
      <c r="E709" s="66">
        <v>0.0</v>
      </c>
      <c r="F709" s="66" t="s">
        <v>227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2">
        <f t="shared" si="2"/>
        <v>2.4156</v>
      </c>
      <c r="L709" s="82">
        <f t="shared" si="3"/>
        <v>0.523</v>
      </c>
    </row>
    <row r="710">
      <c r="A710" s="83">
        <v>44677.0</v>
      </c>
      <c r="B710" s="83">
        <v>44677.0</v>
      </c>
      <c r="C710" s="66" t="s">
        <v>236</v>
      </c>
      <c r="D710" s="66" t="s">
        <v>221</v>
      </c>
      <c r="E710" s="66">
        <v>0.0</v>
      </c>
      <c r="F710" s="66" t="s">
        <v>227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2">
        <f t="shared" si="2"/>
        <v>2.1499</v>
      </c>
      <c r="L710" s="82">
        <f t="shared" si="3"/>
        <v>0.5064</v>
      </c>
    </row>
    <row r="711">
      <c r="A711" s="83">
        <v>44677.0</v>
      </c>
      <c r="B711" s="83">
        <v>44677.0</v>
      </c>
      <c r="C711" s="66" t="s">
        <v>235</v>
      </c>
      <c r="D711" s="66" t="s">
        <v>221</v>
      </c>
      <c r="E711" s="66">
        <v>0.0</v>
      </c>
      <c r="F711" s="66" t="s">
        <v>227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2">
        <f t="shared" si="2"/>
        <v>1.1603</v>
      </c>
      <c r="L711" s="82">
        <f t="shared" si="3"/>
        <v>0.3604</v>
      </c>
    </row>
    <row r="712">
      <c r="A712" s="83">
        <v>44677.0</v>
      </c>
      <c r="B712" s="83">
        <v>44677.0</v>
      </c>
      <c r="C712" s="66" t="s">
        <v>235</v>
      </c>
      <c r="D712" s="66" t="s">
        <v>221</v>
      </c>
      <c r="E712" s="66">
        <v>0.0</v>
      </c>
      <c r="F712" s="66" t="s">
        <v>227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2">
        <f t="shared" si="2"/>
        <v>1.4354</v>
      </c>
      <c r="L712" s="82">
        <f t="shared" si="3"/>
        <v>0.4485</v>
      </c>
    </row>
    <row r="713">
      <c r="A713" s="83">
        <v>44677.0</v>
      </c>
      <c r="B713" s="83">
        <v>44677.0</v>
      </c>
      <c r="C713" s="66" t="s">
        <v>236</v>
      </c>
      <c r="D713" s="66" t="s">
        <v>221</v>
      </c>
      <c r="E713" s="66">
        <v>0.0</v>
      </c>
      <c r="F713" s="66" t="s">
        <v>227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2">
        <f t="shared" si="2"/>
        <v>2.8809</v>
      </c>
      <c r="L713" s="82">
        <f t="shared" si="3"/>
        <v>0.6472</v>
      </c>
    </row>
    <row r="714">
      <c r="A714" s="83">
        <v>44678.0</v>
      </c>
      <c r="B714" s="83">
        <v>44678.0</v>
      </c>
      <c r="C714" s="66">
        <v>2029.0</v>
      </c>
      <c r="D714" s="66" t="s">
        <v>226</v>
      </c>
      <c r="E714" s="66">
        <v>0.0</v>
      </c>
      <c r="F714" s="66" t="s">
        <v>228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2">
        <f t="shared" si="2"/>
        <v>8.191</v>
      </c>
      <c r="L714" s="82">
        <f t="shared" si="3"/>
        <v>4.606</v>
      </c>
    </row>
    <row r="715">
      <c r="A715" s="83">
        <v>44678.0</v>
      </c>
      <c r="B715" s="83">
        <v>44678.0</v>
      </c>
      <c r="C715" s="66">
        <v>2032.0</v>
      </c>
      <c r="D715" s="66" t="s">
        <v>226</v>
      </c>
      <c r="E715" s="66">
        <v>0.0</v>
      </c>
      <c r="F715" s="66" t="s">
        <v>228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2">
        <f t="shared" si="2"/>
        <v>3.213</v>
      </c>
      <c r="L715" s="82">
        <f t="shared" si="3"/>
        <v>1.76</v>
      </c>
    </row>
    <row r="716">
      <c r="A716" s="83">
        <v>44678.0</v>
      </c>
      <c r="B716" s="83">
        <v>44678.0</v>
      </c>
      <c r="C716" s="66">
        <v>2092.0</v>
      </c>
      <c r="D716" s="66" t="s">
        <v>226</v>
      </c>
      <c r="E716" s="66">
        <v>0.0</v>
      </c>
      <c r="F716" s="66" t="s">
        <v>227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2">
        <f t="shared" si="2"/>
        <v>0.102</v>
      </c>
      <c r="L716" s="82">
        <f t="shared" si="3"/>
        <v>0.0472</v>
      </c>
    </row>
    <row r="717">
      <c r="A717" s="83">
        <v>44678.0</v>
      </c>
      <c r="B717" s="83">
        <v>44678.0</v>
      </c>
      <c r="C717" s="66">
        <v>1478.0</v>
      </c>
      <c r="D717" s="66" t="s">
        <v>226</v>
      </c>
      <c r="E717" s="66">
        <v>0.0</v>
      </c>
      <c r="F717" s="66" t="s">
        <v>227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2">
        <f t="shared" si="2"/>
        <v>0.567</v>
      </c>
      <c r="L717" s="82">
        <f t="shared" si="3"/>
        <v>0.257</v>
      </c>
      <c r="N717" s="66" t="s">
        <v>237</v>
      </c>
    </row>
    <row r="718">
      <c r="A718" s="83">
        <v>44678.0</v>
      </c>
      <c r="B718" s="83">
        <v>44678.0</v>
      </c>
      <c r="C718" s="66">
        <v>2032.0</v>
      </c>
      <c r="D718" s="66" t="s">
        <v>226</v>
      </c>
      <c r="E718" s="66">
        <v>0.0</v>
      </c>
      <c r="F718" s="66" t="s">
        <v>227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2">
        <f t="shared" si="2"/>
        <v>0.331</v>
      </c>
      <c r="L718" s="82">
        <f t="shared" si="3"/>
        <v>0.181</v>
      </c>
    </row>
    <row r="719">
      <c r="A719" s="83">
        <v>44678.0</v>
      </c>
      <c r="B719" s="83">
        <v>44678.0</v>
      </c>
      <c r="C719" s="66">
        <v>2088.0</v>
      </c>
      <c r="D719" s="66" t="s">
        <v>226</v>
      </c>
      <c r="E719" s="66">
        <v>0.0</v>
      </c>
      <c r="F719" s="66" t="s">
        <v>228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2">
        <f t="shared" si="2"/>
        <v>2.55</v>
      </c>
      <c r="L719" s="82">
        <f t="shared" si="3"/>
        <v>1.284</v>
      </c>
    </row>
    <row r="720">
      <c r="A720" s="83">
        <v>44678.0</v>
      </c>
      <c r="B720" s="83">
        <v>44678.0</v>
      </c>
      <c r="C720" s="66">
        <v>2092.0</v>
      </c>
      <c r="D720" s="66" t="s">
        <v>226</v>
      </c>
      <c r="E720" s="66">
        <v>0.0</v>
      </c>
      <c r="F720" s="66" t="s">
        <v>228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2">
        <f t="shared" si="2"/>
        <v>2.118</v>
      </c>
      <c r="L720" s="82">
        <f t="shared" si="3"/>
        <v>0.983</v>
      </c>
    </row>
    <row r="721">
      <c r="A721" s="83">
        <v>44678.0</v>
      </c>
      <c r="B721" s="83">
        <v>44678.0</v>
      </c>
      <c r="C721" s="66">
        <v>2015.0</v>
      </c>
      <c r="D721" s="66" t="s">
        <v>226</v>
      </c>
      <c r="E721" s="66">
        <v>0.0</v>
      </c>
      <c r="F721" s="66" t="s">
        <v>227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2">
        <f t="shared" si="2"/>
        <v>0.555</v>
      </c>
      <c r="L721" s="82">
        <f t="shared" si="3"/>
        <v>0.2754</v>
      </c>
    </row>
    <row r="722">
      <c r="A722" s="83">
        <v>44678.0</v>
      </c>
      <c r="B722" s="83">
        <v>44678.0</v>
      </c>
      <c r="C722" s="66">
        <v>2028.0</v>
      </c>
      <c r="D722" s="66" t="s">
        <v>226</v>
      </c>
      <c r="E722" s="66">
        <v>0.0</v>
      </c>
      <c r="F722" s="66" t="s">
        <v>227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2">
        <f t="shared" si="2"/>
        <v>0.274</v>
      </c>
      <c r="L722" s="82">
        <f t="shared" si="3"/>
        <v>0.146</v>
      </c>
    </row>
    <row r="723">
      <c r="A723" s="83">
        <v>44678.0</v>
      </c>
      <c r="B723" s="83">
        <v>44678.0</v>
      </c>
      <c r="C723" s="66">
        <v>2029.0</v>
      </c>
      <c r="D723" s="66" t="s">
        <v>226</v>
      </c>
      <c r="E723" s="66">
        <v>0.0</v>
      </c>
      <c r="F723" s="66" t="s">
        <v>227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2">
        <f t="shared" si="2"/>
        <v>0.538</v>
      </c>
      <c r="L723" s="82">
        <f t="shared" si="3"/>
        <v>0.302</v>
      </c>
    </row>
    <row r="724">
      <c r="A724" s="83">
        <v>44678.0</v>
      </c>
      <c r="B724" s="83">
        <v>44678.0</v>
      </c>
      <c r="C724" s="66">
        <v>2385.0</v>
      </c>
      <c r="D724" s="66" t="s">
        <v>226</v>
      </c>
      <c r="E724" s="66">
        <v>0.0</v>
      </c>
      <c r="F724" s="66" t="s">
        <v>228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2">
        <f t="shared" si="2"/>
        <v>4.126</v>
      </c>
      <c r="L724" s="82">
        <f t="shared" si="3"/>
        <v>2.073</v>
      </c>
    </row>
    <row r="725">
      <c r="A725" s="83">
        <v>44678.0</v>
      </c>
      <c r="B725" s="83">
        <v>44678.0</v>
      </c>
      <c r="C725" s="66">
        <v>2092.0</v>
      </c>
      <c r="D725" s="66" t="s">
        <v>226</v>
      </c>
      <c r="E725" s="66">
        <v>1.0</v>
      </c>
      <c r="F725" s="66" t="s">
        <v>227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2">
        <f t="shared" si="2"/>
        <v>1.106</v>
      </c>
      <c r="L725" s="82">
        <f t="shared" si="3"/>
        <v>0.596</v>
      </c>
    </row>
    <row r="726">
      <c r="A726" s="83">
        <v>44678.0</v>
      </c>
      <c r="B726" s="83">
        <v>44678.0</v>
      </c>
      <c r="C726" s="66">
        <v>2088.0</v>
      </c>
      <c r="D726" s="66" t="s">
        <v>226</v>
      </c>
      <c r="E726" s="66">
        <v>0.0</v>
      </c>
      <c r="F726" s="66" t="s">
        <v>227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2">
        <f t="shared" si="2"/>
        <v>0.171</v>
      </c>
      <c r="L726" s="82">
        <f t="shared" si="3"/>
        <v>0.0852</v>
      </c>
    </row>
    <row r="727">
      <c r="A727" s="83">
        <v>44678.0</v>
      </c>
      <c r="B727" s="83">
        <v>44678.0</v>
      </c>
      <c r="C727" s="66">
        <v>2015.0</v>
      </c>
      <c r="D727" s="66" t="s">
        <v>226</v>
      </c>
      <c r="E727" s="66">
        <v>0.0</v>
      </c>
      <c r="F727" s="66" t="s">
        <v>228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2">
        <f t="shared" si="2"/>
        <v>3.208</v>
      </c>
      <c r="L727" s="82">
        <f t="shared" si="3"/>
        <v>1.711</v>
      </c>
    </row>
    <row r="728">
      <c r="A728" s="83">
        <v>44678.0</v>
      </c>
      <c r="B728" s="83">
        <v>44678.0</v>
      </c>
      <c r="C728" s="66">
        <v>2086.0</v>
      </c>
      <c r="D728" s="66" t="s">
        <v>226</v>
      </c>
      <c r="E728" s="66">
        <v>0.0</v>
      </c>
      <c r="F728" s="66" t="s">
        <v>227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2">
        <f t="shared" si="2"/>
        <v>0.19</v>
      </c>
      <c r="L728" s="82">
        <f t="shared" si="3"/>
        <v>0.09</v>
      </c>
    </row>
    <row r="729">
      <c r="A729" s="83">
        <v>44678.0</v>
      </c>
      <c r="B729" s="83">
        <v>44678.0</v>
      </c>
      <c r="C729" s="66">
        <v>2004.0</v>
      </c>
      <c r="D729" s="66" t="s">
        <v>226</v>
      </c>
      <c r="E729" s="66">
        <v>0.0</v>
      </c>
      <c r="F729" s="66" t="s">
        <v>227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2">
        <f t="shared" si="2"/>
        <v>0.686</v>
      </c>
      <c r="L729" s="82">
        <f t="shared" si="3"/>
        <v>0.34</v>
      </c>
    </row>
    <row r="730">
      <c r="A730" s="83">
        <v>44678.0</v>
      </c>
      <c r="B730" s="83">
        <v>44678.0</v>
      </c>
      <c r="C730" s="66">
        <v>2385.0</v>
      </c>
      <c r="D730" s="66" t="s">
        <v>226</v>
      </c>
      <c r="E730" s="66">
        <v>0.0</v>
      </c>
      <c r="F730" s="66" t="s">
        <v>227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2">
        <f t="shared" si="2"/>
        <v>0.956</v>
      </c>
      <c r="L730" s="82">
        <f t="shared" si="3"/>
        <v>0.444</v>
      </c>
    </row>
    <row r="731">
      <c r="A731" s="83">
        <v>44678.0</v>
      </c>
      <c r="B731" s="83">
        <v>44678.0</v>
      </c>
      <c r="C731" s="66">
        <v>1472.0</v>
      </c>
      <c r="D731" s="66" t="s">
        <v>226</v>
      </c>
      <c r="E731" s="66">
        <v>0.0</v>
      </c>
      <c r="F731" s="66" t="s">
        <v>228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2">
        <f t="shared" si="2"/>
        <v>3.044</v>
      </c>
      <c r="L731" s="82">
        <f t="shared" si="3"/>
        <v>1.527</v>
      </c>
    </row>
    <row r="732">
      <c r="A732" s="83">
        <v>44678.0</v>
      </c>
      <c r="B732" s="83">
        <v>44678.0</v>
      </c>
      <c r="C732" s="66">
        <v>2007.0</v>
      </c>
      <c r="D732" s="66" t="s">
        <v>226</v>
      </c>
      <c r="E732" s="66">
        <v>0.0</v>
      </c>
      <c r="F732" s="66" t="s">
        <v>227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2">
        <f t="shared" si="2"/>
        <v>0.552</v>
      </c>
      <c r="L732" s="82">
        <f t="shared" si="3"/>
        <v>0.286</v>
      </c>
    </row>
    <row r="733">
      <c r="A733" s="83">
        <v>44678.0</v>
      </c>
      <c r="B733" s="83">
        <v>44678.0</v>
      </c>
      <c r="C733" s="66">
        <v>2007.0</v>
      </c>
      <c r="D733" s="66" t="s">
        <v>226</v>
      </c>
      <c r="E733" s="66">
        <v>0.0</v>
      </c>
      <c r="F733" s="66" t="s">
        <v>228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2">
        <f t="shared" si="2"/>
        <v>3.577</v>
      </c>
      <c r="L733" s="82">
        <f t="shared" si="3"/>
        <v>1.923</v>
      </c>
    </row>
    <row r="734">
      <c r="A734" s="83">
        <v>44678.0</v>
      </c>
      <c r="B734" s="83">
        <v>44678.0</v>
      </c>
      <c r="C734" s="66">
        <v>2086.0</v>
      </c>
      <c r="D734" s="66" t="s">
        <v>226</v>
      </c>
      <c r="E734" s="66">
        <v>0.0</v>
      </c>
      <c r="F734" s="66" t="s">
        <v>228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2">
        <f t="shared" si="2"/>
        <v>2.211</v>
      </c>
      <c r="L734" s="82">
        <f t="shared" si="3"/>
        <v>1.097</v>
      </c>
    </row>
    <row r="735">
      <c r="A735" s="83">
        <v>44678.0</v>
      </c>
      <c r="B735" s="83">
        <v>44678.0</v>
      </c>
      <c r="C735" s="66">
        <v>2029.0</v>
      </c>
      <c r="D735" s="66" t="s">
        <v>226</v>
      </c>
      <c r="E735" s="66">
        <v>1.0</v>
      </c>
      <c r="F735" s="66" t="s">
        <v>227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2">
        <f t="shared" si="2"/>
        <v>1.344</v>
      </c>
      <c r="L735" s="82">
        <f t="shared" si="3"/>
        <v>0.812</v>
      </c>
    </row>
    <row r="736">
      <c r="A736" s="83">
        <v>44678.0</v>
      </c>
      <c r="B736" s="83">
        <v>44678.0</v>
      </c>
      <c r="C736" s="66">
        <v>2092.0</v>
      </c>
      <c r="D736" s="66" t="s">
        <v>226</v>
      </c>
      <c r="E736" s="66">
        <v>1.0</v>
      </c>
      <c r="F736" s="66" t="s">
        <v>228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2">
        <f t="shared" si="2"/>
        <v>1.988</v>
      </c>
      <c r="L736" s="82">
        <f t="shared" si="3"/>
        <v>1.253</v>
      </c>
    </row>
    <row r="737">
      <c r="A737" s="83">
        <v>44678.0</v>
      </c>
      <c r="B737" s="83">
        <v>44678.0</v>
      </c>
      <c r="C737" s="66">
        <v>2028.0</v>
      </c>
      <c r="D737" s="66" t="s">
        <v>226</v>
      </c>
      <c r="E737" s="66">
        <v>0.0</v>
      </c>
      <c r="F737" s="66" t="s">
        <v>228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2">
        <f t="shared" si="2"/>
        <v>3.688</v>
      </c>
      <c r="L737" s="82">
        <f t="shared" si="3"/>
        <v>2.141</v>
      </c>
    </row>
    <row r="738">
      <c r="A738" s="83">
        <v>44678.0</v>
      </c>
      <c r="B738" s="83">
        <v>44678.0</v>
      </c>
      <c r="C738" s="66">
        <v>2029.0</v>
      </c>
      <c r="D738" s="66" t="s">
        <v>226</v>
      </c>
      <c r="E738" s="66">
        <v>1.0</v>
      </c>
      <c r="F738" s="66" t="s">
        <v>228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2">
        <f t="shared" si="2"/>
        <v>3.872</v>
      </c>
      <c r="L738" s="82">
        <f t="shared" si="3"/>
        <v>2.449</v>
      </c>
    </row>
    <row r="739">
      <c r="A739" s="83">
        <v>44678.0</v>
      </c>
      <c r="B739" s="83">
        <v>44678.0</v>
      </c>
      <c r="C739" s="66">
        <v>2004.0</v>
      </c>
      <c r="D739" s="66" t="s">
        <v>226</v>
      </c>
      <c r="E739" s="66">
        <v>0.0</v>
      </c>
      <c r="F739" s="66" t="s">
        <v>228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2">
        <f t="shared" si="2"/>
        <v>4.623</v>
      </c>
      <c r="L739" s="82">
        <f t="shared" si="3"/>
        <v>2.554</v>
      </c>
      <c r="N739" s="66" t="s">
        <v>233</v>
      </c>
    </row>
    <row r="740">
      <c r="A740" s="83">
        <v>44678.0</v>
      </c>
      <c r="B740" s="83">
        <v>44678.0</v>
      </c>
      <c r="C740" s="66">
        <v>2023.0</v>
      </c>
      <c r="D740" s="66" t="s">
        <v>221</v>
      </c>
      <c r="E740" s="66">
        <v>0.0</v>
      </c>
      <c r="F740" s="66" t="s">
        <v>228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2">
        <f t="shared" si="2"/>
        <v>5.449</v>
      </c>
      <c r="L740" s="82">
        <f t="shared" si="3"/>
        <v>3.0508</v>
      </c>
    </row>
    <row r="741">
      <c r="A741" s="83">
        <v>44678.0</v>
      </c>
      <c r="B741" s="83">
        <v>44678.0</v>
      </c>
      <c r="C741" s="66">
        <v>2091.0</v>
      </c>
      <c r="D741" s="66" t="s">
        <v>221</v>
      </c>
      <c r="E741" s="66">
        <v>0.0</v>
      </c>
      <c r="F741" s="66" t="s">
        <v>227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2">
        <f t="shared" si="2"/>
        <v>0.57</v>
      </c>
      <c r="L741" s="82">
        <f t="shared" si="3"/>
        <v>0.2418</v>
      </c>
    </row>
    <row r="742">
      <c r="A742" s="83">
        <v>44678.0</v>
      </c>
      <c r="B742" s="83">
        <v>44678.0</v>
      </c>
      <c r="C742" s="66">
        <v>2004.0</v>
      </c>
      <c r="D742" s="66" t="s">
        <v>221</v>
      </c>
      <c r="E742" s="66">
        <v>1.0</v>
      </c>
      <c r="F742" s="66" t="s">
        <v>228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2">
        <f t="shared" si="2"/>
        <v>8.6991</v>
      </c>
      <c r="L742" s="82">
        <f t="shared" si="3"/>
        <v>4.8098</v>
      </c>
    </row>
    <row r="743">
      <c r="A743" s="83">
        <v>44678.0</v>
      </c>
      <c r="B743" s="83">
        <v>44678.0</v>
      </c>
      <c r="C743" s="66">
        <v>2091.0</v>
      </c>
      <c r="D743" s="66" t="s">
        <v>221</v>
      </c>
      <c r="E743" s="66">
        <v>1.0</v>
      </c>
      <c r="F743" s="66" t="s">
        <v>227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2">
        <f t="shared" si="2"/>
        <v>1.104</v>
      </c>
      <c r="L743" s="82">
        <f t="shared" si="3"/>
        <v>0.6092</v>
      </c>
    </row>
    <row r="744">
      <c r="A744" s="83">
        <v>44678.0</v>
      </c>
      <c r="B744" s="83">
        <v>44678.0</v>
      </c>
      <c r="C744" s="66">
        <v>2089.0</v>
      </c>
      <c r="D744" s="66" t="s">
        <v>221</v>
      </c>
      <c r="E744" s="66">
        <v>1.0</v>
      </c>
      <c r="F744" s="66" t="s">
        <v>228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2">
        <f t="shared" si="2"/>
        <v>4.466</v>
      </c>
      <c r="L744" s="82">
        <f t="shared" si="3"/>
        <v>2.662</v>
      </c>
    </row>
    <row r="745">
      <c r="A745" s="83">
        <v>44678.0</v>
      </c>
      <c r="B745" s="83">
        <v>44678.0</v>
      </c>
      <c r="C745" s="66">
        <v>2004.0</v>
      </c>
      <c r="D745" s="66" t="s">
        <v>221</v>
      </c>
      <c r="E745" s="66">
        <v>0.0</v>
      </c>
      <c r="F745" s="66" t="s">
        <v>227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2">
        <f t="shared" si="2"/>
        <v>1.5017</v>
      </c>
      <c r="L745" s="82">
        <f t="shared" si="3"/>
        <v>0.7525</v>
      </c>
    </row>
    <row r="746">
      <c r="A746" s="83">
        <v>44678.0</v>
      </c>
      <c r="B746" s="83">
        <v>44678.0</v>
      </c>
      <c r="C746" s="66">
        <v>2029.0</v>
      </c>
      <c r="D746" s="66" t="s">
        <v>221</v>
      </c>
      <c r="E746" s="66">
        <v>0.0</v>
      </c>
      <c r="F746" s="66" t="s">
        <v>228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2">
        <f t="shared" si="2"/>
        <v>5.05</v>
      </c>
      <c r="L746" s="82">
        <f t="shared" si="3"/>
        <v>2.8392</v>
      </c>
    </row>
    <row r="747">
      <c r="A747" s="83">
        <v>44678.0</v>
      </c>
      <c r="B747" s="83">
        <v>44678.0</v>
      </c>
      <c r="C747" s="66">
        <v>2092.0</v>
      </c>
      <c r="D747" s="66" t="s">
        <v>221</v>
      </c>
      <c r="E747" s="66">
        <v>1.0</v>
      </c>
      <c r="F747" s="66" t="s">
        <v>228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2">
        <f t="shared" si="2"/>
        <v>9.5756</v>
      </c>
      <c r="L747" s="82">
        <f t="shared" si="3"/>
        <v>5.8114</v>
      </c>
      <c r="N747" s="66" t="s">
        <v>233</v>
      </c>
    </row>
    <row r="748">
      <c r="A748" s="83">
        <v>44678.0</v>
      </c>
      <c r="B748" s="83">
        <v>44678.0</v>
      </c>
      <c r="C748" s="66">
        <v>2091.0</v>
      </c>
      <c r="D748" s="66" t="s">
        <v>221</v>
      </c>
      <c r="E748" s="66">
        <v>0.0</v>
      </c>
      <c r="F748" s="66" t="s">
        <v>228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2">
        <f t="shared" si="2"/>
        <v>4.026</v>
      </c>
      <c r="L748" s="82">
        <f t="shared" si="3"/>
        <v>1.834</v>
      </c>
    </row>
    <row r="749">
      <c r="A749" s="83">
        <v>44678.0</v>
      </c>
      <c r="B749" s="83">
        <v>44678.0</v>
      </c>
      <c r="C749" s="66">
        <v>2090.0</v>
      </c>
      <c r="D749" s="66" t="s">
        <v>221</v>
      </c>
      <c r="E749" s="66">
        <v>1.0</v>
      </c>
      <c r="F749" s="66" t="s">
        <v>227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2">
        <f t="shared" si="2"/>
        <v>1.4486</v>
      </c>
      <c r="L749" s="82">
        <f t="shared" si="3"/>
        <v>0.7866</v>
      </c>
    </row>
    <row r="750">
      <c r="A750" s="83">
        <v>44678.0</v>
      </c>
      <c r="B750" s="83">
        <v>44678.0</v>
      </c>
      <c r="C750" s="66">
        <v>2088.0</v>
      </c>
      <c r="D750" s="66" t="s">
        <v>221</v>
      </c>
      <c r="E750" s="66">
        <v>0.0</v>
      </c>
      <c r="F750" s="66" t="s">
        <v>228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2">
        <f t="shared" si="2"/>
        <v>6.7886</v>
      </c>
      <c r="L750" s="82">
        <f t="shared" si="3"/>
        <v>3.4679</v>
      </c>
    </row>
    <row r="751">
      <c r="A751" s="83">
        <v>44678.0</v>
      </c>
      <c r="B751" s="83">
        <v>44678.0</v>
      </c>
      <c r="C751" s="66">
        <v>2087.0</v>
      </c>
      <c r="D751" s="66" t="s">
        <v>221</v>
      </c>
      <c r="E751" s="66">
        <v>1.0</v>
      </c>
      <c r="F751" s="66" t="s">
        <v>227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2">
        <f t="shared" si="2"/>
        <v>3.2059</v>
      </c>
      <c r="L751" s="82">
        <f t="shared" si="3"/>
        <v>1.7342</v>
      </c>
    </row>
    <row r="752">
      <c r="A752" s="83">
        <v>44678.0</v>
      </c>
      <c r="B752" s="83">
        <v>44678.0</v>
      </c>
      <c r="C752" s="66">
        <v>2020.0</v>
      </c>
      <c r="D752" s="66" t="s">
        <v>221</v>
      </c>
      <c r="E752" s="66">
        <v>0.0</v>
      </c>
      <c r="F752" s="66" t="s">
        <v>228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2">
        <f t="shared" si="2"/>
        <v>5.879</v>
      </c>
      <c r="L752" s="82">
        <f t="shared" si="3"/>
        <v>3.2193</v>
      </c>
    </row>
    <row r="753">
      <c r="A753" s="83">
        <v>44678.0</v>
      </c>
      <c r="B753" s="83">
        <v>44678.0</v>
      </c>
      <c r="C753" s="66">
        <v>2085.0</v>
      </c>
      <c r="D753" s="66" t="s">
        <v>221</v>
      </c>
      <c r="E753" s="66">
        <v>0.0</v>
      </c>
      <c r="F753" s="66" t="s">
        <v>228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2">
        <f t="shared" si="2"/>
        <v>5.999</v>
      </c>
      <c r="L753" s="82">
        <f t="shared" si="3"/>
        <v>5.263</v>
      </c>
    </row>
    <row r="754">
      <c r="A754" s="83">
        <v>44678.0</v>
      </c>
      <c r="B754" s="83">
        <v>44678.0</v>
      </c>
      <c r="C754" s="66" t="s">
        <v>238</v>
      </c>
      <c r="D754" s="66" t="s">
        <v>221</v>
      </c>
      <c r="E754" s="66">
        <v>0.0</v>
      </c>
      <c r="F754" s="66" t="s">
        <v>222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2">
        <f t="shared" si="2"/>
        <v>0.6169</v>
      </c>
      <c r="L754" s="82">
        <f t="shared" si="3"/>
        <v>0.3071</v>
      </c>
    </row>
    <row r="755">
      <c r="A755" s="83">
        <v>44678.0</v>
      </c>
      <c r="B755" s="83">
        <v>44678.0</v>
      </c>
      <c r="C755" s="66">
        <v>2086.0</v>
      </c>
      <c r="D755" s="66" t="s">
        <v>221</v>
      </c>
      <c r="E755" s="66">
        <v>0.0</v>
      </c>
      <c r="F755" s="66" t="s">
        <v>228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2">
        <f t="shared" si="2"/>
        <v>6.6059</v>
      </c>
      <c r="L755" s="82">
        <f t="shared" si="3"/>
        <v>2.9093</v>
      </c>
    </row>
    <row r="756">
      <c r="A756" s="83">
        <v>44678.0</v>
      </c>
      <c r="B756" s="83">
        <v>44678.0</v>
      </c>
      <c r="C756" s="66">
        <v>2020.0</v>
      </c>
      <c r="D756" s="66" t="s">
        <v>221</v>
      </c>
      <c r="E756" s="66">
        <v>0.0</v>
      </c>
      <c r="F756" s="66" t="s">
        <v>227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2">
        <f t="shared" si="2"/>
        <v>0.601</v>
      </c>
      <c r="L756" s="82">
        <f t="shared" si="3"/>
        <v>0.3039</v>
      </c>
    </row>
    <row r="757">
      <c r="A757" s="83">
        <v>44678.0</v>
      </c>
      <c r="B757" s="83">
        <v>44678.0</v>
      </c>
      <c r="C757" s="66">
        <v>2087.0</v>
      </c>
      <c r="D757" s="66" t="s">
        <v>221</v>
      </c>
      <c r="E757" s="66">
        <v>0.0</v>
      </c>
      <c r="F757" s="66" t="s">
        <v>227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2">
        <f t="shared" si="2"/>
        <v>2.1071</v>
      </c>
      <c r="L757" s="82">
        <f t="shared" si="3"/>
        <v>0.9552</v>
      </c>
    </row>
    <row r="758">
      <c r="A758" s="83">
        <v>44678.0</v>
      </c>
      <c r="B758" s="83">
        <v>44678.0</v>
      </c>
      <c r="C758" s="66">
        <v>2030.0</v>
      </c>
      <c r="D758" s="66" t="s">
        <v>221</v>
      </c>
      <c r="E758" s="66">
        <v>0.0</v>
      </c>
      <c r="F758" s="66" t="s">
        <v>228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2">
        <f t="shared" si="2"/>
        <v>3.002</v>
      </c>
      <c r="L758" s="82">
        <f t="shared" si="3"/>
        <v>1.698</v>
      </c>
    </row>
    <row r="759">
      <c r="A759" s="83">
        <v>44678.0</v>
      </c>
      <c r="B759" s="83">
        <v>44678.0</v>
      </c>
      <c r="C759" s="66">
        <v>2092.0</v>
      </c>
      <c r="D759" s="66" t="s">
        <v>221</v>
      </c>
      <c r="E759" s="66">
        <v>0.0</v>
      </c>
      <c r="F759" s="66" t="s">
        <v>228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2">
        <f t="shared" si="2"/>
        <v>1.2072</v>
      </c>
      <c r="L759" s="82">
        <f t="shared" si="3"/>
        <v>0.5212</v>
      </c>
    </row>
    <row r="760">
      <c r="A760" s="83">
        <v>44678.0</v>
      </c>
      <c r="B760" s="83">
        <v>44678.0</v>
      </c>
      <c r="C760" s="66">
        <v>2090.0</v>
      </c>
      <c r="D760" s="66" t="s">
        <v>221</v>
      </c>
      <c r="E760" s="66">
        <v>0.0</v>
      </c>
      <c r="F760" s="66" t="s">
        <v>227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2">
        <f t="shared" si="2"/>
        <v>0.6778</v>
      </c>
      <c r="L760" s="82">
        <f t="shared" si="3"/>
        <v>0.3299</v>
      </c>
    </row>
    <row r="761">
      <c r="A761" s="83">
        <v>44678.0</v>
      </c>
      <c r="B761" s="83">
        <v>44678.0</v>
      </c>
      <c r="C761" s="66">
        <v>2090.0</v>
      </c>
      <c r="D761" s="66" t="s">
        <v>221</v>
      </c>
      <c r="E761" s="66">
        <v>0.0</v>
      </c>
      <c r="F761" s="66" t="s">
        <v>228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2">
        <f t="shared" si="2"/>
        <v>6.7417</v>
      </c>
      <c r="L761" s="82">
        <f t="shared" si="3"/>
        <v>5.5394</v>
      </c>
    </row>
    <row r="762">
      <c r="A762" s="83">
        <v>44678.0</v>
      </c>
      <c r="B762" s="83">
        <v>44678.0</v>
      </c>
      <c r="C762" s="66">
        <v>2085.0</v>
      </c>
      <c r="D762" s="66" t="s">
        <v>221</v>
      </c>
      <c r="E762" s="66">
        <v>0.0</v>
      </c>
      <c r="F762" s="66" t="s">
        <v>227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2">
        <f t="shared" si="2"/>
        <v>1.024</v>
      </c>
      <c r="L762" s="82">
        <f t="shared" si="3"/>
        <v>0.4951</v>
      </c>
    </row>
    <row r="763">
      <c r="A763" s="83">
        <v>44678.0</v>
      </c>
      <c r="B763" s="83">
        <v>44678.0</v>
      </c>
      <c r="C763" s="66">
        <v>2026.0</v>
      </c>
      <c r="D763" s="66" t="s">
        <v>221</v>
      </c>
      <c r="E763" s="66">
        <v>0.0</v>
      </c>
      <c r="F763" s="66" t="s">
        <v>227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2">
        <f t="shared" si="2"/>
        <v>0.746</v>
      </c>
      <c r="L763" s="82">
        <f t="shared" si="3"/>
        <v>0.4139</v>
      </c>
    </row>
    <row r="764">
      <c r="A764" s="83">
        <v>44678.0</v>
      </c>
      <c r="B764" s="83">
        <v>44678.0</v>
      </c>
      <c r="C764" s="66">
        <v>2088.0</v>
      </c>
      <c r="D764" s="66" t="s">
        <v>221</v>
      </c>
      <c r="E764" s="66">
        <v>0.0</v>
      </c>
      <c r="F764" s="66" t="s">
        <v>227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2">
        <f t="shared" si="2"/>
        <v>0.9856</v>
      </c>
      <c r="L764" s="82">
        <f t="shared" si="3"/>
        <v>0.4717</v>
      </c>
    </row>
    <row r="765">
      <c r="A765" s="83">
        <v>44678.0</v>
      </c>
      <c r="B765" s="83">
        <v>44678.0</v>
      </c>
      <c r="C765" s="66">
        <v>2030.0</v>
      </c>
      <c r="D765" s="66" t="s">
        <v>221</v>
      </c>
      <c r="E765" s="66">
        <v>0.0</v>
      </c>
      <c r="F765" s="66" t="s">
        <v>227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2">
        <f t="shared" si="2"/>
        <v>0.297</v>
      </c>
      <c r="L765" s="82">
        <f t="shared" si="3"/>
        <v>0.1634</v>
      </c>
    </row>
    <row r="766">
      <c r="A766" s="83">
        <v>44678.0</v>
      </c>
      <c r="B766" s="83">
        <v>44678.0</v>
      </c>
      <c r="C766" s="66">
        <v>2093.0</v>
      </c>
      <c r="D766" s="66" t="s">
        <v>221</v>
      </c>
      <c r="E766" s="66">
        <v>0.0</v>
      </c>
      <c r="F766" s="66" t="s">
        <v>228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2">
        <f t="shared" si="2"/>
        <v>6.3935</v>
      </c>
      <c r="L766" s="82">
        <f t="shared" si="3"/>
        <v>2.583</v>
      </c>
    </row>
    <row r="767">
      <c r="A767" s="83">
        <v>44678.0</v>
      </c>
      <c r="B767" s="83">
        <v>44678.0</v>
      </c>
      <c r="C767" s="66">
        <v>2029.0</v>
      </c>
      <c r="D767" s="66" t="s">
        <v>221</v>
      </c>
      <c r="E767" s="66">
        <v>0.0</v>
      </c>
      <c r="F767" s="66" t="s">
        <v>227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2">
        <f t="shared" si="2"/>
        <v>0.21</v>
      </c>
      <c r="L767" s="82">
        <f t="shared" si="3"/>
        <v>0.1165</v>
      </c>
      <c r="N767" s="66" t="s">
        <v>239</v>
      </c>
    </row>
    <row r="768">
      <c r="A768" s="83">
        <v>44678.0</v>
      </c>
      <c r="B768" s="83">
        <v>44678.0</v>
      </c>
      <c r="C768" s="66">
        <v>2028.0</v>
      </c>
      <c r="D768" s="66" t="s">
        <v>221</v>
      </c>
      <c r="E768" s="66">
        <v>0.0</v>
      </c>
      <c r="F768" s="66" t="s">
        <v>227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2">
        <f t="shared" si="2"/>
        <v>0.348</v>
      </c>
      <c r="L768" s="82">
        <f t="shared" si="3"/>
        <v>0.1871</v>
      </c>
    </row>
    <row r="769">
      <c r="A769" s="83">
        <v>44678.0</v>
      </c>
      <c r="B769" s="83">
        <v>44678.0</v>
      </c>
      <c r="C769" s="66">
        <v>2006.0</v>
      </c>
      <c r="D769" s="66" t="s">
        <v>221</v>
      </c>
      <c r="E769" s="66">
        <v>0.0</v>
      </c>
      <c r="F769" s="66" t="s">
        <v>228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2">
        <f t="shared" si="2"/>
        <v>6.339</v>
      </c>
      <c r="L769" s="82">
        <f t="shared" si="3"/>
        <v>3.5353</v>
      </c>
    </row>
    <row r="770">
      <c r="A770" s="83">
        <v>44678.0</v>
      </c>
      <c r="B770" s="83">
        <v>44678.0</v>
      </c>
      <c r="C770" s="66">
        <v>2086.0</v>
      </c>
      <c r="D770" s="66" t="s">
        <v>221</v>
      </c>
      <c r="E770" s="66">
        <v>0.0</v>
      </c>
      <c r="F770" s="66" t="s">
        <v>227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2">
        <f t="shared" si="2"/>
        <v>0.5302</v>
      </c>
      <c r="L770" s="82">
        <f t="shared" si="3"/>
        <v>0.2599</v>
      </c>
    </row>
    <row r="771">
      <c r="A771" s="83">
        <v>44678.0</v>
      </c>
      <c r="B771" s="83">
        <v>44678.0</v>
      </c>
      <c r="C771" s="66">
        <v>2092.0</v>
      </c>
      <c r="D771" s="66" t="s">
        <v>221</v>
      </c>
      <c r="E771" s="66">
        <v>1.0</v>
      </c>
      <c r="F771" s="66" t="s">
        <v>227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2">
        <f t="shared" si="2"/>
        <v>1.9468</v>
      </c>
      <c r="L771" s="82">
        <f t="shared" si="3"/>
        <v>1.0978</v>
      </c>
    </row>
    <row r="772">
      <c r="A772" s="83">
        <v>44678.0</v>
      </c>
      <c r="B772" s="83">
        <v>44678.0</v>
      </c>
      <c r="C772" s="66">
        <v>2025.0</v>
      </c>
      <c r="D772" s="66" t="s">
        <v>221</v>
      </c>
      <c r="E772" s="66">
        <v>0.0</v>
      </c>
      <c r="F772" s="66" t="s">
        <v>227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2">
        <f t="shared" si="2"/>
        <v>0.567</v>
      </c>
      <c r="L772" s="82">
        <f t="shared" si="3"/>
        <v>0.3084</v>
      </c>
    </row>
    <row r="773">
      <c r="A773" s="83">
        <v>44678.0</v>
      </c>
      <c r="B773" s="83">
        <v>44678.0</v>
      </c>
      <c r="C773" s="66">
        <v>2029.0</v>
      </c>
      <c r="D773" s="66" t="s">
        <v>221</v>
      </c>
      <c r="E773" s="66">
        <v>1.0</v>
      </c>
      <c r="F773" s="66" t="s">
        <v>227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2">
        <f t="shared" si="2"/>
        <v>1.022</v>
      </c>
      <c r="L773" s="82">
        <f t="shared" si="3"/>
        <v>0.6242</v>
      </c>
      <c r="M773" s="66">
        <v>5.0</v>
      </c>
    </row>
    <row r="774">
      <c r="A774" s="83">
        <v>44678.0</v>
      </c>
      <c r="B774" s="83">
        <v>44678.0</v>
      </c>
      <c r="C774" s="66">
        <v>2088.0</v>
      </c>
      <c r="D774" s="66" t="s">
        <v>221</v>
      </c>
      <c r="E774" s="66">
        <v>1.0</v>
      </c>
      <c r="F774" s="66" t="s">
        <v>227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2">
        <f t="shared" si="2"/>
        <v>1.6178</v>
      </c>
      <c r="L774" s="82">
        <f t="shared" si="3"/>
        <v>0.8862</v>
      </c>
      <c r="M774" s="66">
        <v>2.1</v>
      </c>
    </row>
    <row r="775">
      <c r="A775" s="83">
        <v>44678.0</v>
      </c>
      <c r="B775" s="83">
        <v>44678.0</v>
      </c>
      <c r="C775" s="66">
        <v>2089.0</v>
      </c>
      <c r="D775" s="66" t="s">
        <v>221</v>
      </c>
      <c r="E775" s="66">
        <v>1.0</v>
      </c>
      <c r="F775" s="66" t="s">
        <v>227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2">
        <f t="shared" si="2"/>
        <v>1.599</v>
      </c>
      <c r="L775" s="82">
        <f t="shared" si="3"/>
        <v>0.922</v>
      </c>
      <c r="M775" s="66">
        <v>3.0</v>
      </c>
    </row>
    <row r="776">
      <c r="A776" s="83">
        <v>44678.0</v>
      </c>
      <c r="B776" s="83">
        <v>44678.0</v>
      </c>
      <c r="C776" s="66" t="s">
        <v>240</v>
      </c>
      <c r="D776" s="66" t="s">
        <v>221</v>
      </c>
      <c r="E776" s="66">
        <v>0.0</v>
      </c>
      <c r="F776" s="66" t="s">
        <v>222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2">
        <f t="shared" si="2"/>
        <v>3.23</v>
      </c>
      <c r="L776" s="82">
        <f t="shared" si="3"/>
        <v>1.6227</v>
      </c>
      <c r="M776" s="66">
        <v>5.0</v>
      </c>
    </row>
    <row r="777">
      <c r="A777" s="83">
        <v>44678.0</v>
      </c>
      <c r="B777" s="83">
        <v>44678.0</v>
      </c>
      <c r="C777" s="66" t="s">
        <v>241</v>
      </c>
      <c r="D777" s="66" t="s">
        <v>221</v>
      </c>
      <c r="E777" s="66">
        <v>0.0</v>
      </c>
      <c r="F777" s="66" t="s">
        <v>222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2">
        <f t="shared" si="2"/>
        <v>2.5066</v>
      </c>
      <c r="L777" s="82">
        <f t="shared" si="3"/>
        <v>1.1612</v>
      </c>
      <c r="M777" s="66">
        <v>3.0</v>
      </c>
    </row>
    <row r="778">
      <c r="A778" s="83">
        <v>44678.0</v>
      </c>
      <c r="B778" s="83">
        <v>44678.0</v>
      </c>
      <c r="C778" s="66">
        <v>2089.0</v>
      </c>
      <c r="D778" s="66" t="s">
        <v>221</v>
      </c>
      <c r="E778" s="66">
        <v>0.0</v>
      </c>
      <c r="F778" s="66" t="s">
        <v>227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2">
        <f t="shared" si="2"/>
        <v>0.102</v>
      </c>
      <c r="L778" s="82">
        <f t="shared" si="3"/>
        <v>0.0407</v>
      </c>
      <c r="M778" s="66">
        <v>4.0</v>
      </c>
    </row>
    <row r="779">
      <c r="A779" s="83">
        <v>44678.0</v>
      </c>
      <c r="B779" s="83">
        <v>44678.0</v>
      </c>
      <c r="C779" s="66">
        <v>2092.0</v>
      </c>
      <c r="D779" s="66" t="s">
        <v>221</v>
      </c>
      <c r="E779" s="66">
        <v>0.0</v>
      </c>
      <c r="F779" s="66" t="s">
        <v>227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2">
        <f t="shared" si="2"/>
        <v>0.1469</v>
      </c>
      <c r="L779" s="82">
        <f t="shared" si="3"/>
        <v>0.0662</v>
      </c>
      <c r="M779" s="66">
        <v>4.0</v>
      </c>
    </row>
    <row r="780">
      <c r="A780" s="83">
        <v>44678.0</v>
      </c>
      <c r="B780" s="83">
        <v>44678.0</v>
      </c>
      <c r="C780" s="66">
        <v>2091.0</v>
      </c>
      <c r="D780" s="66" t="s">
        <v>221</v>
      </c>
      <c r="E780" s="66">
        <v>1.0</v>
      </c>
      <c r="F780" s="66" t="s">
        <v>228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2">
        <f t="shared" si="2"/>
        <v>4.104</v>
      </c>
      <c r="L780" s="82">
        <f t="shared" si="3"/>
        <v>2.509</v>
      </c>
      <c r="M780" s="66">
        <v>5.0</v>
      </c>
    </row>
    <row r="781">
      <c r="A781" s="83">
        <v>44678.0</v>
      </c>
      <c r="B781" s="83">
        <v>44678.0</v>
      </c>
      <c r="C781" s="66">
        <v>2022.0</v>
      </c>
      <c r="D781" s="66" t="s">
        <v>221</v>
      </c>
      <c r="E781" s="66">
        <v>0.0</v>
      </c>
      <c r="F781" s="66" t="s">
        <v>227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2">
        <f t="shared" si="2"/>
        <v>0.18</v>
      </c>
      <c r="L781" s="82">
        <f t="shared" si="3"/>
        <v>0.0959</v>
      </c>
      <c r="M781" s="66">
        <v>2.2</v>
      </c>
    </row>
    <row r="782">
      <c r="A782" s="83">
        <v>44678.0</v>
      </c>
      <c r="B782" s="83">
        <v>44678.0</v>
      </c>
      <c r="C782" s="66">
        <v>2027.0</v>
      </c>
      <c r="D782" s="66" t="s">
        <v>221</v>
      </c>
      <c r="E782" s="66">
        <v>0.0</v>
      </c>
      <c r="F782" s="66" t="s">
        <v>227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2">
        <f t="shared" si="2"/>
        <v>0.154</v>
      </c>
      <c r="L782" s="82">
        <f t="shared" si="3"/>
        <v>0.0808</v>
      </c>
      <c r="M782" s="66">
        <v>1.0</v>
      </c>
    </row>
    <row r="783">
      <c r="A783" s="83">
        <v>44678.0</v>
      </c>
      <c r="B783" s="83">
        <v>44678.0</v>
      </c>
      <c r="C783" s="66">
        <v>2022.0</v>
      </c>
      <c r="D783" s="66" t="s">
        <v>221</v>
      </c>
      <c r="E783" s="66">
        <v>1.0</v>
      </c>
      <c r="F783" s="66" t="s">
        <v>227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2">
        <f t="shared" si="2"/>
        <v>1.203</v>
      </c>
      <c r="L783" s="82">
        <f t="shared" si="3"/>
        <v>0.7201</v>
      </c>
      <c r="M783" s="66">
        <v>1.0</v>
      </c>
    </row>
    <row r="784">
      <c r="A784" s="83">
        <v>44678.0</v>
      </c>
      <c r="B784" s="83">
        <v>44678.0</v>
      </c>
      <c r="C784" s="66">
        <v>2005.0</v>
      </c>
      <c r="D784" s="66" t="s">
        <v>221</v>
      </c>
      <c r="E784" s="66">
        <v>0.0</v>
      </c>
      <c r="F784" s="66" t="s">
        <v>228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2">
        <f t="shared" si="2"/>
        <v>8.86</v>
      </c>
      <c r="L784" s="82">
        <f t="shared" si="3"/>
        <v>4.798</v>
      </c>
      <c r="N784" s="66" t="s">
        <v>242</v>
      </c>
    </row>
    <row r="785">
      <c r="A785" s="83">
        <v>44678.0</v>
      </c>
      <c r="B785" s="83">
        <v>44678.0</v>
      </c>
      <c r="C785" s="66">
        <v>2025.0</v>
      </c>
      <c r="D785" s="66" t="s">
        <v>221</v>
      </c>
      <c r="E785" s="66">
        <v>0.0</v>
      </c>
      <c r="F785" s="66" t="s">
        <v>228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2">
        <f t="shared" si="2"/>
        <v>5.77</v>
      </c>
      <c r="L785" s="82">
        <f t="shared" si="3"/>
        <v>3.0751</v>
      </c>
    </row>
    <row r="786">
      <c r="A786" s="83">
        <v>44678.0</v>
      </c>
      <c r="B786" s="83">
        <v>44678.0</v>
      </c>
      <c r="C786" s="66">
        <v>2029.0</v>
      </c>
      <c r="D786" s="66" t="s">
        <v>221</v>
      </c>
      <c r="E786" s="66">
        <v>1.0</v>
      </c>
      <c r="F786" s="66" t="s">
        <v>228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2">
        <f t="shared" si="2"/>
        <v>4.022</v>
      </c>
      <c r="L786" s="82">
        <f t="shared" si="3"/>
        <v>2.5216</v>
      </c>
    </row>
    <row r="787">
      <c r="A787" s="83">
        <v>44678.0</v>
      </c>
      <c r="B787" s="83">
        <v>44678.0</v>
      </c>
      <c r="C787" s="66">
        <v>2021.0</v>
      </c>
      <c r="D787" s="66" t="s">
        <v>221</v>
      </c>
      <c r="E787" s="66">
        <v>0.0</v>
      </c>
      <c r="F787" s="66" t="s">
        <v>227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2">
        <f t="shared" si="2"/>
        <v>0.33</v>
      </c>
      <c r="L787" s="82">
        <f t="shared" si="3"/>
        <v>0.175</v>
      </c>
    </row>
    <row r="788">
      <c r="A788" s="83">
        <v>44678.0</v>
      </c>
      <c r="B788" s="83">
        <v>44678.0</v>
      </c>
      <c r="C788" s="66">
        <v>2030.0</v>
      </c>
      <c r="D788" s="66" t="s">
        <v>221</v>
      </c>
      <c r="E788" s="66">
        <v>1.0</v>
      </c>
      <c r="F788" s="66" t="s">
        <v>227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2">
        <f t="shared" si="2"/>
        <v>0.988</v>
      </c>
      <c r="L788" s="82">
        <f t="shared" si="3"/>
        <v>0.5886</v>
      </c>
    </row>
    <row r="789">
      <c r="A789" s="83">
        <v>44678.0</v>
      </c>
      <c r="B789" s="83">
        <v>44678.0</v>
      </c>
      <c r="C789" s="66">
        <v>2006.0</v>
      </c>
      <c r="D789" s="66" t="s">
        <v>221</v>
      </c>
      <c r="E789" s="66">
        <v>0.0</v>
      </c>
      <c r="F789" s="66" t="s">
        <v>227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2">
        <f t="shared" si="2"/>
        <v>0.625</v>
      </c>
      <c r="L789" s="82">
        <f t="shared" si="3"/>
        <v>0.3236</v>
      </c>
    </row>
    <row r="790">
      <c r="A790" s="83">
        <v>44678.0</v>
      </c>
      <c r="B790" s="83">
        <v>44678.0</v>
      </c>
      <c r="C790" s="66">
        <v>2032.0</v>
      </c>
      <c r="D790" s="66" t="s">
        <v>221</v>
      </c>
      <c r="E790" s="66">
        <v>0.0</v>
      </c>
      <c r="F790" s="66" t="s">
        <v>228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2">
        <f t="shared" si="2"/>
        <v>5.627</v>
      </c>
      <c r="L790" s="82">
        <f t="shared" si="3"/>
        <v>3.1096</v>
      </c>
    </row>
    <row r="791">
      <c r="A791" s="83">
        <v>44678.0</v>
      </c>
      <c r="B791" s="83">
        <v>44678.0</v>
      </c>
      <c r="C791" s="66">
        <v>2024.0</v>
      </c>
      <c r="D791" s="66" t="s">
        <v>221</v>
      </c>
      <c r="E791" s="66">
        <v>0.0</v>
      </c>
      <c r="F791" s="66" t="s">
        <v>227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2">
        <f t="shared" si="2"/>
        <v>0.612</v>
      </c>
      <c r="L791" s="82">
        <f t="shared" si="3"/>
        <v>0.3201</v>
      </c>
    </row>
    <row r="792">
      <c r="A792" s="83">
        <v>44678.0</v>
      </c>
      <c r="B792" s="83">
        <v>44678.0</v>
      </c>
      <c r="C792" s="66">
        <v>2027.0</v>
      </c>
      <c r="D792" s="66" t="s">
        <v>221</v>
      </c>
      <c r="E792" s="66">
        <v>0.0</v>
      </c>
      <c r="F792" s="66" t="s">
        <v>228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2">
        <f t="shared" si="2"/>
        <v>3.467</v>
      </c>
      <c r="L792" s="82">
        <f t="shared" si="3"/>
        <v>1.931</v>
      </c>
    </row>
    <row r="793">
      <c r="A793" s="83">
        <v>44678.0</v>
      </c>
      <c r="B793" s="83">
        <v>44678.0</v>
      </c>
      <c r="C793" s="66">
        <v>2022.0</v>
      </c>
      <c r="D793" s="66" t="s">
        <v>221</v>
      </c>
      <c r="E793" s="66">
        <v>1.0</v>
      </c>
      <c r="F793" s="66" t="s">
        <v>228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2">
        <f t="shared" si="2"/>
        <v>2.189</v>
      </c>
      <c r="L793" s="82">
        <f t="shared" si="3"/>
        <v>1.381</v>
      </c>
    </row>
    <row r="794">
      <c r="A794" s="83">
        <v>44678.0</v>
      </c>
      <c r="B794" s="83">
        <v>44678.0</v>
      </c>
      <c r="C794" s="66">
        <v>2030.0</v>
      </c>
      <c r="D794" s="66" t="s">
        <v>221</v>
      </c>
      <c r="E794" s="66">
        <v>1.0</v>
      </c>
      <c r="F794" s="66" t="s">
        <v>228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2">
        <f t="shared" si="2"/>
        <v>4.023</v>
      </c>
      <c r="L794" s="82">
        <f t="shared" si="3"/>
        <v>2.4566</v>
      </c>
    </row>
    <row r="795">
      <c r="A795" s="83">
        <v>44678.0</v>
      </c>
      <c r="B795" s="83">
        <v>44678.0</v>
      </c>
      <c r="C795" s="66">
        <v>2028.0</v>
      </c>
      <c r="D795" s="66" t="s">
        <v>221</v>
      </c>
      <c r="E795" s="66">
        <v>0.0</v>
      </c>
      <c r="F795" s="66" t="s">
        <v>228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2">
        <f t="shared" si="2"/>
        <v>5.515</v>
      </c>
      <c r="L795" s="82">
        <f t="shared" si="3"/>
        <v>3.182</v>
      </c>
    </row>
    <row r="796">
      <c r="A796" s="83">
        <v>44678.0</v>
      </c>
      <c r="B796" s="83">
        <v>44678.0</v>
      </c>
      <c r="C796" s="66">
        <v>2012.0</v>
      </c>
      <c r="D796" s="66" t="s">
        <v>221</v>
      </c>
      <c r="E796" s="66">
        <v>1.0</v>
      </c>
      <c r="F796" s="66" t="s">
        <v>227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2">
        <f t="shared" si="2"/>
        <v>1.73</v>
      </c>
      <c r="L796" s="82">
        <f t="shared" si="3"/>
        <v>1.017</v>
      </c>
    </row>
    <row r="797">
      <c r="A797" s="83">
        <v>44678.0</v>
      </c>
      <c r="B797" s="83">
        <v>44678.0</v>
      </c>
      <c r="C797" s="66">
        <v>2015.0</v>
      </c>
      <c r="D797" s="66" t="s">
        <v>221</v>
      </c>
      <c r="E797" s="66">
        <v>0.0</v>
      </c>
      <c r="F797" s="66" t="s">
        <v>228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2">
        <f t="shared" si="2"/>
        <v>5.76</v>
      </c>
      <c r="L797" s="82">
        <f t="shared" si="3"/>
        <v>3.137</v>
      </c>
    </row>
    <row r="798">
      <c r="A798" s="83">
        <v>44678.0</v>
      </c>
      <c r="B798" s="83">
        <v>44678.0</v>
      </c>
      <c r="C798" s="66">
        <v>2026.0</v>
      </c>
      <c r="D798" s="66" t="s">
        <v>221</v>
      </c>
      <c r="E798" s="66">
        <v>0.0</v>
      </c>
      <c r="F798" s="66" t="s">
        <v>228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2">
        <f t="shared" si="2"/>
        <v>4.887</v>
      </c>
      <c r="L798" s="82">
        <f t="shared" si="3"/>
        <v>2.718</v>
      </c>
    </row>
    <row r="799">
      <c r="A799" s="83">
        <v>44678.0</v>
      </c>
      <c r="B799" s="83">
        <v>44678.0</v>
      </c>
      <c r="C799" s="66">
        <v>2022.0</v>
      </c>
      <c r="D799" s="66" t="s">
        <v>221</v>
      </c>
      <c r="E799" s="66">
        <v>0.0</v>
      </c>
      <c r="F799" s="66" t="s">
        <v>228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2">
        <f t="shared" si="2"/>
        <v>3.618</v>
      </c>
      <c r="L799" s="82">
        <f t="shared" si="3"/>
        <v>2.038</v>
      </c>
    </row>
    <row r="800">
      <c r="A800" s="83">
        <v>44678.0</v>
      </c>
      <c r="B800" s="83">
        <v>44678.0</v>
      </c>
      <c r="C800" s="66">
        <v>2087.0</v>
      </c>
      <c r="D800" s="66" t="s">
        <v>221</v>
      </c>
      <c r="E800" s="66">
        <v>0.0</v>
      </c>
      <c r="F800" s="66" t="s">
        <v>228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2">
        <f t="shared" si="2"/>
        <v>8.2303</v>
      </c>
      <c r="L800" s="82">
        <f t="shared" si="3"/>
        <v>4.1843</v>
      </c>
    </row>
    <row r="801">
      <c r="A801" s="83">
        <v>44678.0</v>
      </c>
      <c r="B801" s="83">
        <v>44678.0</v>
      </c>
      <c r="C801" s="66">
        <v>2021.0</v>
      </c>
      <c r="D801" s="66" t="s">
        <v>221</v>
      </c>
      <c r="E801" s="66">
        <v>0.0</v>
      </c>
      <c r="F801" s="66" t="s">
        <v>228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2">
        <f t="shared" si="2"/>
        <v>4.756</v>
      </c>
      <c r="L801" s="82">
        <f t="shared" si="3"/>
        <v>2.6147</v>
      </c>
    </row>
    <row r="802">
      <c r="A802" s="83">
        <v>44678.0</v>
      </c>
      <c r="B802" s="83">
        <v>44678.0</v>
      </c>
      <c r="C802" s="66">
        <v>2032.0</v>
      </c>
      <c r="D802" s="66" t="s">
        <v>221</v>
      </c>
      <c r="E802" s="66">
        <v>0.0</v>
      </c>
      <c r="F802" s="66" t="s">
        <v>227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2">
        <f t="shared" si="2"/>
        <v>0.529</v>
      </c>
      <c r="L802" s="82">
        <f t="shared" si="3"/>
        <v>0.2773</v>
      </c>
    </row>
    <row r="803">
      <c r="A803" s="83">
        <v>44678.0</v>
      </c>
      <c r="B803" s="83">
        <v>44678.0</v>
      </c>
      <c r="C803" s="66">
        <v>2023.0</v>
      </c>
      <c r="D803" s="66" t="s">
        <v>221</v>
      </c>
      <c r="E803" s="66">
        <v>0.0</v>
      </c>
      <c r="F803" s="66" t="s">
        <v>227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2">
        <f t="shared" si="2"/>
        <v>0.681</v>
      </c>
      <c r="L803" s="82">
        <f t="shared" si="3"/>
        <v>0.3742</v>
      </c>
    </row>
    <row r="804">
      <c r="A804" s="83">
        <v>44678.0</v>
      </c>
      <c r="B804" s="83">
        <v>44678.0</v>
      </c>
      <c r="C804" s="66">
        <v>2023.0</v>
      </c>
      <c r="D804" s="66" t="s">
        <v>221</v>
      </c>
      <c r="E804" s="66">
        <v>1.0</v>
      </c>
      <c r="F804" s="66" t="s">
        <v>228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2">
        <f t="shared" si="2"/>
        <v>3.128</v>
      </c>
      <c r="L804" s="82">
        <f t="shared" si="3"/>
        <v>1.8907</v>
      </c>
    </row>
    <row r="805">
      <c r="A805" s="83">
        <v>44678.0</v>
      </c>
      <c r="B805" s="83">
        <v>44678.0</v>
      </c>
      <c r="C805" s="66">
        <v>2089.0</v>
      </c>
      <c r="D805" s="66" t="s">
        <v>221</v>
      </c>
      <c r="E805" s="66">
        <v>0.0</v>
      </c>
      <c r="F805" s="66" t="s">
        <v>228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2">
        <f t="shared" si="2"/>
        <v>1.372</v>
      </c>
      <c r="L805" s="82">
        <f t="shared" si="3"/>
        <v>0.5064</v>
      </c>
    </row>
    <row r="806">
      <c r="A806" s="83">
        <v>44678.0</v>
      </c>
      <c r="B806" s="83">
        <v>44678.0</v>
      </c>
      <c r="C806" s="66">
        <v>2024.0</v>
      </c>
      <c r="D806" s="66" t="s">
        <v>221</v>
      </c>
      <c r="E806" s="66">
        <v>0.0</v>
      </c>
      <c r="F806" s="66" t="s">
        <v>228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2">
        <f t="shared" si="2"/>
        <v>5.952</v>
      </c>
      <c r="L806" s="82">
        <f t="shared" si="3"/>
        <v>3.1904</v>
      </c>
    </row>
    <row r="807">
      <c r="A807" s="83">
        <v>44678.0</v>
      </c>
      <c r="B807" s="83">
        <v>44678.0</v>
      </c>
      <c r="C807" s="66">
        <v>2005.0</v>
      </c>
      <c r="D807" s="66" t="s">
        <v>221</v>
      </c>
      <c r="E807" s="66">
        <v>0.0</v>
      </c>
      <c r="F807" s="66" t="s">
        <v>227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2">
        <f t="shared" si="2"/>
        <v>0.635</v>
      </c>
      <c r="L807" s="82">
        <f t="shared" si="3"/>
        <v>0.3405</v>
      </c>
      <c r="N807" s="66" t="s">
        <v>243</v>
      </c>
    </row>
    <row r="808">
      <c r="A808" s="83">
        <v>44678.0</v>
      </c>
      <c r="B808" s="83">
        <v>44678.0</v>
      </c>
      <c r="C808" s="66">
        <v>2093.0</v>
      </c>
      <c r="D808" s="66" t="s">
        <v>221</v>
      </c>
      <c r="E808" s="66">
        <v>1.0</v>
      </c>
      <c r="F808" s="66" t="s">
        <v>228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2">
        <f t="shared" si="2"/>
        <v>1.8246</v>
      </c>
      <c r="L808" s="82">
        <f t="shared" si="3"/>
        <v>1.1341</v>
      </c>
    </row>
    <row r="809">
      <c r="A809" s="83">
        <v>44678.0</v>
      </c>
      <c r="B809" s="83">
        <v>44678.0</v>
      </c>
      <c r="C809" s="66">
        <v>2093.0</v>
      </c>
      <c r="D809" s="66" t="s">
        <v>221</v>
      </c>
      <c r="E809" s="66">
        <v>0.0</v>
      </c>
      <c r="F809" s="66" t="s">
        <v>227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2">
        <f t="shared" si="2"/>
        <v>0.6707</v>
      </c>
      <c r="L809" s="82">
        <f t="shared" si="3"/>
        <v>0.283</v>
      </c>
    </row>
    <row r="810">
      <c r="A810" s="83">
        <v>44678.0</v>
      </c>
      <c r="B810" s="83">
        <v>44678.0</v>
      </c>
      <c r="C810" s="66">
        <v>2015.0</v>
      </c>
      <c r="D810" s="66" t="s">
        <v>221</v>
      </c>
      <c r="E810" s="66">
        <v>0.0</v>
      </c>
      <c r="F810" s="66" t="s">
        <v>227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2">
        <f t="shared" si="2"/>
        <v>0.589</v>
      </c>
      <c r="L810" s="82">
        <f t="shared" si="3"/>
        <v>0.3044</v>
      </c>
    </row>
    <row r="811">
      <c r="A811" s="83">
        <v>44678.0</v>
      </c>
      <c r="B811" s="83">
        <v>44678.0</v>
      </c>
      <c r="C811" s="66">
        <v>1478.0</v>
      </c>
      <c r="D811" s="66" t="s">
        <v>221</v>
      </c>
      <c r="E811" s="66">
        <v>0.0</v>
      </c>
      <c r="F811" s="66" t="s">
        <v>228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2">
        <f t="shared" si="2"/>
        <v>7.06</v>
      </c>
      <c r="L811" s="82">
        <f t="shared" si="3"/>
        <v>5.89</v>
      </c>
    </row>
    <row r="812">
      <c r="A812" s="83">
        <v>44678.0</v>
      </c>
      <c r="B812" s="83">
        <v>44678.0</v>
      </c>
      <c r="C812" s="66">
        <v>2012.0</v>
      </c>
      <c r="D812" s="66" t="s">
        <v>221</v>
      </c>
      <c r="E812" s="66">
        <v>0.0</v>
      </c>
      <c r="F812" s="66" t="s">
        <v>228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2">
        <f t="shared" si="2"/>
        <v>5.07</v>
      </c>
      <c r="L812" s="82">
        <f t="shared" si="3"/>
        <v>2.7726</v>
      </c>
    </row>
    <row r="813">
      <c r="A813" s="83">
        <v>44678.0</v>
      </c>
      <c r="B813" s="83">
        <v>44678.0</v>
      </c>
      <c r="C813" s="66">
        <v>2013.0</v>
      </c>
      <c r="D813" s="66" t="s">
        <v>221</v>
      </c>
      <c r="E813" s="66">
        <v>1.0</v>
      </c>
      <c r="F813" s="66" t="s">
        <v>227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2">
        <f t="shared" si="2"/>
        <v>1.12</v>
      </c>
      <c r="L813" s="82">
        <f t="shared" si="3"/>
        <v>0.6027</v>
      </c>
    </row>
    <row r="814">
      <c r="A814" s="83">
        <v>44678.0</v>
      </c>
      <c r="B814" s="83">
        <v>44678.0</v>
      </c>
      <c r="C814" s="66">
        <v>2015.0</v>
      </c>
      <c r="D814" s="66" t="s">
        <v>221</v>
      </c>
      <c r="E814" s="66">
        <v>1.0</v>
      </c>
      <c r="F814" s="66" t="s">
        <v>227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2">
        <f t="shared" si="2"/>
        <v>1.79</v>
      </c>
      <c r="L814" s="82">
        <f t="shared" si="3"/>
        <v>1.0174</v>
      </c>
    </row>
    <row r="815">
      <c r="A815" s="83">
        <v>44678.0</v>
      </c>
      <c r="B815" s="83">
        <v>44678.0</v>
      </c>
      <c r="C815" s="66">
        <v>2007.0</v>
      </c>
      <c r="D815" s="66" t="s">
        <v>221</v>
      </c>
      <c r="E815" s="66">
        <v>0.0</v>
      </c>
      <c r="F815" s="66" t="s">
        <v>228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2">
        <f t="shared" si="2"/>
        <v>7.68</v>
      </c>
      <c r="L815" s="82">
        <f t="shared" si="3"/>
        <v>4.2926</v>
      </c>
    </row>
    <row r="816">
      <c r="A816" s="83">
        <v>44678.0</v>
      </c>
      <c r="B816" s="83">
        <v>44678.0</v>
      </c>
      <c r="C816" s="66">
        <v>2005.0</v>
      </c>
      <c r="D816" s="66" t="s">
        <v>221</v>
      </c>
      <c r="E816" s="66">
        <v>0.0</v>
      </c>
      <c r="F816" s="66" t="s">
        <v>228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2">
        <f t="shared" si="2"/>
        <v>2.25</v>
      </c>
      <c r="L816" s="82">
        <f t="shared" si="3"/>
        <v>1.307</v>
      </c>
    </row>
    <row r="817">
      <c r="A817" s="83">
        <v>44678.0</v>
      </c>
      <c r="B817" s="83">
        <v>44678.0</v>
      </c>
      <c r="C817" s="66">
        <v>2013.0</v>
      </c>
      <c r="D817" s="66" t="s">
        <v>221</v>
      </c>
      <c r="E817" s="66">
        <v>0.0</v>
      </c>
      <c r="F817" s="66" t="s">
        <v>227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2">
        <f t="shared" si="2"/>
        <v>0.866</v>
      </c>
      <c r="L817" s="82">
        <f t="shared" si="3"/>
        <v>0.4082</v>
      </c>
    </row>
    <row r="818">
      <c r="A818" s="83">
        <v>44678.0</v>
      </c>
      <c r="B818" s="83">
        <v>44678.0</v>
      </c>
      <c r="C818" s="66">
        <v>2007.0</v>
      </c>
      <c r="D818" s="66" t="s">
        <v>221</v>
      </c>
      <c r="E818" s="66">
        <v>0.0</v>
      </c>
      <c r="F818" s="66" t="s">
        <v>227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2">
        <f t="shared" si="2"/>
        <v>0.797</v>
      </c>
      <c r="L818" s="82">
        <f t="shared" si="3"/>
        <v>0.4243</v>
      </c>
    </row>
    <row r="819">
      <c r="A819" s="83">
        <v>44678.0</v>
      </c>
      <c r="B819" s="83">
        <v>44678.0</v>
      </c>
      <c r="C819" s="66">
        <v>2012.0</v>
      </c>
      <c r="D819" s="66" t="s">
        <v>221</v>
      </c>
      <c r="E819" s="66">
        <v>0.0</v>
      </c>
      <c r="F819" s="66" t="s">
        <v>227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2">
        <f t="shared" si="2"/>
        <v>0.442</v>
      </c>
      <c r="L819" s="82">
        <f t="shared" si="3"/>
        <v>0.2316</v>
      </c>
    </row>
    <row r="820">
      <c r="A820" s="83">
        <v>44678.0</v>
      </c>
      <c r="B820" s="83">
        <v>44678.0</v>
      </c>
      <c r="C820" s="66">
        <v>1478.0</v>
      </c>
      <c r="D820" s="66" t="s">
        <v>221</v>
      </c>
      <c r="E820" s="66">
        <v>0.0</v>
      </c>
      <c r="F820" s="66" t="s">
        <v>227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2">
        <f t="shared" si="2"/>
        <v>1.13</v>
      </c>
      <c r="L820" s="82">
        <f t="shared" si="3"/>
        <v>0.5387</v>
      </c>
    </row>
    <row r="821">
      <c r="A821" s="83">
        <v>44678.0</v>
      </c>
      <c r="B821" s="83">
        <v>44678.0</v>
      </c>
      <c r="C821" s="66">
        <v>2007.0</v>
      </c>
      <c r="D821" s="66" t="s">
        <v>221</v>
      </c>
      <c r="E821" s="66">
        <v>1.0</v>
      </c>
      <c r="F821" s="66" t="s">
        <v>227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2">
        <f t="shared" si="2"/>
        <v>2.214</v>
      </c>
      <c r="L821" s="82">
        <f t="shared" si="3"/>
        <v>1.3093</v>
      </c>
    </row>
    <row r="822">
      <c r="A822" s="83">
        <v>44678.0</v>
      </c>
      <c r="B822" s="83">
        <v>44678.0</v>
      </c>
      <c r="C822" s="66">
        <v>1478.0</v>
      </c>
      <c r="D822" s="66" t="s">
        <v>221</v>
      </c>
      <c r="E822" s="66">
        <v>1.0</v>
      </c>
      <c r="F822" s="66" t="s">
        <v>227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2">
        <f t="shared" si="2"/>
        <v>2.1</v>
      </c>
      <c r="L822" s="82">
        <f t="shared" si="3"/>
        <v>1.1228</v>
      </c>
    </row>
    <row r="823">
      <c r="A823" s="83">
        <v>44678.0</v>
      </c>
      <c r="B823" s="83">
        <v>44678.0</v>
      </c>
      <c r="C823" s="66">
        <v>2093.0</v>
      </c>
      <c r="D823" s="66" t="s">
        <v>221</v>
      </c>
      <c r="E823" s="66">
        <v>1.0</v>
      </c>
      <c r="F823" s="66" t="s">
        <v>227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2">
        <f t="shared" si="2"/>
        <v>0.9382</v>
      </c>
      <c r="L823" s="82">
        <f t="shared" si="3"/>
        <v>0.3337</v>
      </c>
    </row>
    <row r="824">
      <c r="A824" s="83">
        <v>44678.0</v>
      </c>
      <c r="B824" s="83">
        <v>44678.0</v>
      </c>
      <c r="C824" s="66">
        <v>2013.0</v>
      </c>
      <c r="D824" s="66" t="s">
        <v>221</v>
      </c>
      <c r="E824" s="66">
        <v>0.0</v>
      </c>
      <c r="F824" s="66" t="s">
        <v>228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2">
        <f t="shared" si="2"/>
        <v>5.68</v>
      </c>
      <c r="L824" s="82">
        <f t="shared" si="3"/>
        <v>2.873</v>
      </c>
    </row>
    <row r="825">
      <c r="A825" s="83">
        <v>44678.0</v>
      </c>
      <c r="B825" s="83">
        <v>44678.0</v>
      </c>
      <c r="C825" s="66">
        <v>2004.0</v>
      </c>
      <c r="D825" s="66" t="s">
        <v>221</v>
      </c>
      <c r="E825" s="66">
        <v>1.0</v>
      </c>
      <c r="F825" s="66" t="s">
        <v>227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2">
        <f t="shared" si="2"/>
        <v>2.0521</v>
      </c>
      <c r="L825" s="82">
        <f t="shared" si="3"/>
        <v>1.1672</v>
      </c>
    </row>
    <row r="826">
      <c r="A826" s="83">
        <v>44678.0</v>
      </c>
      <c r="B826" s="83">
        <v>44678.0</v>
      </c>
      <c r="C826" s="66">
        <v>2023.0</v>
      </c>
      <c r="D826" s="66" t="s">
        <v>221</v>
      </c>
      <c r="E826" s="66">
        <v>1.0</v>
      </c>
      <c r="F826" s="66" t="s">
        <v>227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2">
        <f t="shared" si="2"/>
        <v>0.921</v>
      </c>
      <c r="L826" s="82">
        <f t="shared" si="3"/>
        <v>0.547</v>
      </c>
    </row>
    <row r="827">
      <c r="A827" s="83">
        <v>44678.0</v>
      </c>
      <c r="B827" s="83">
        <v>44678.0</v>
      </c>
      <c r="C827" s="66">
        <v>2086.0</v>
      </c>
      <c r="D827" s="66" t="s">
        <v>221</v>
      </c>
      <c r="E827" s="66">
        <v>1.0</v>
      </c>
      <c r="F827" s="66" t="s">
        <v>227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2">
        <f t="shared" si="2"/>
        <v>0.9163</v>
      </c>
      <c r="L827" s="82">
        <f t="shared" si="3"/>
        <v>0.495</v>
      </c>
    </row>
    <row r="828">
      <c r="A828" s="83">
        <v>44678.0</v>
      </c>
      <c r="B828" s="83">
        <v>44678.0</v>
      </c>
      <c r="C828" s="66">
        <v>2090.0</v>
      </c>
      <c r="D828" s="66" t="s">
        <v>226</v>
      </c>
      <c r="E828" s="66">
        <v>0.0</v>
      </c>
      <c r="F828" s="66" t="s">
        <v>228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2">
        <f t="shared" si="2"/>
        <v>7.963</v>
      </c>
      <c r="L828" s="82">
        <f t="shared" si="3"/>
        <v>3.5938</v>
      </c>
    </row>
    <row r="829">
      <c r="A829" s="83">
        <v>44678.0</v>
      </c>
      <c r="B829" s="83">
        <v>44678.0</v>
      </c>
      <c r="C829" s="66">
        <v>2021.0</v>
      </c>
      <c r="D829" s="66" t="s">
        <v>226</v>
      </c>
      <c r="E829" s="66">
        <v>0.0</v>
      </c>
      <c r="F829" s="66" t="s">
        <v>228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2">
        <f t="shared" si="2"/>
        <v>5.017</v>
      </c>
      <c r="L829" s="82">
        <f t="shared" si="3"/>
        <v>2.4896</v>
      </c>
    </row>
    <row r="830">
      <c r="A830" s="83">
        <v>44678.0</v>
      </c>
      <c r="B830" s="83">
        <v>44678.0</v>
      </c>
      <c r="C830" s="66">
        <v>2086.0</v>
      </c>
      <c r="D830" s="66" t="s">
        <v>226</v>
      </c>
      <c r="E830" s="66">
        <v>0.0</v>
      </c>
      <c r="F830" s="66" t="s">
        <v>228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2">
        <f t="shared" si="2"/>
        <v>5.449</v>
      </c>
      <c r="L830" s="82">
        <f t="shared" si="3"/>
        <v>2.4597</v>
      </c>
    </row>
    <row r="831">
      <c r="A831" s="83">
        <v>44678.0</v>
      </c>
      <c r="B831" s="83">
        <v>44678.0</v>
      </c>
      <c r="C831" s="66">
        <v>2021.0</v>
      </c>
      <c r="D831" s="66" t="s">
        <v>226</v>
      </c>
      <c r="E831" s="66">
        <v>0.0</v>
      </c>
      <c r="F831" s="66" t="s">
        <v>227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2">
        <f t="shared" si="2"/>
        <v>0.034</v>
      </c>
      <c r="L831" s="82">
        <f t="shared" si="3"/>
        <v>0.1902</v>
      </c>
    </row>
    <row r="832">
      <c r="A832" s="83">
        <v>44678.0</v>
      </c>
      <c r="B832" s="83">
        <v>44678.0</v>
      </c>
      <c r="C832" s="66">
        <v>2093.0</v>
      </c>
      <c r="D832" s="66" t="s">
        <v>226</v>
      </c>
      <c r="E832" s="66">
        <v>1.0</v>
      </c>
      <c r="F832" s="66" t="s">
        <v>228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2">
        <f t="shared" si="2"/>
        <v>4.456</v>
      </c>
      <c r="L832" s="82">
        <f t="shared" si="3"/>
        <v>2.587</v>
      </c>
    </row>
    <row r="833">
      <c r="A833" s="83">
        <v>44678.0</v>
      </c>
      <c r="B833" s="83">
        <v>44678.0</v>
      </c>
      <c r="C833" s="66">
        <v>2023.0</v>
      </c>
      <c r="D833" s="66" t="s">
        <v>226</v>
      </c>
      <c r="E833" s="66">
        <v>0.0</v>
      </c>
      <c r="F833" s="66" t="s">
        <v>228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2">
        <f t="shared" si="2"/>
        <v>3.98</v>
      </c>
      <c r="L833" s="82">
        <f t="shared" si="3"/>
        <v>2.0549</v>
      </c>
      <c r="N833" s="66" t="s">
        <v>233</v>
      </c>
    </row>
    <row r="834">
      <c r="A834" s="83">
        <v>44678.0</v>
      </c>
      <c r="B834" s="83">
        <v>44678.0</v>
      </c>
      <c r="C834" s="66">
        <v>2025.0</v>
      </c>
      <c r="D834" s="66" t="s">
        <v>226</v>
      </c>
      <c r="E834" s="66">
        <v>1.0</v>
      </c>
      <c r="F834" s="66" t="s">
        <v>227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2">
        <f t="shared" si="2"/>
        <v>1.281</v>
      </c>
      <c r="L834" s="82">
        <f t="shared" si="3"/>
        <v>0.6942</v>
      </c>
    </row>
    <row r="835">
      <c r="A835" s="83">
        <v>44678.0</v>
      </c>
      <c r="B835" s="83">
        <v>44678.0</v>
      </c>
      <c r="C835" s="66">
        <v>2093.0</v>
      </c>
      <c r="D835" s="66" t="s">
        <v>226</v>
      </c>
      <c r="E835" s="66">
        <v>0.0</v>
      </c>
      <c r="F835" s="66" t="s">
        <v>228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2">
        <f t="shared" si="2"/>
        <v>5.503</v>
      </c>
      <c r="L835" s="82">
        <f t="shared" si="3"/>
        <v>1.8393</v>
      </c>
    </row>
    <row r="836">
      <c r="A836" s="83">
        <v>44678.0</v>
      </c>
      <c r="B836" s="83">
        <v>44678.0</v>
      </c>
      <c r="C836" s="66">
        <v>2027.0</v>
      </c>
      <c r="D836" s="66" t="s">
        <v>226</v>
      </c>
      <c r="E836" s="66">
        <v>1.0</v>
      </c>
      <c r="F836" s="66" t="s">
        <v>227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2">
        <f t="shared" si="2"/>
        <v>1.107</v>
      </c>
      <c r="L836" s="82">
        <f t="shared" si="3"/>
        <v>0.8073</v>
      </c>
    </row>
    <row r="837">
      <c r="A837" s="83">
        <v>44678.0</v>
      </c>
      <c r="B837" s="83">
        <v>44678.0</v>
      </c>
      <c r="C837" s="66">
        <v>2012.0</v>
      </c>
      <c r="D837" s="66" t="s">
        <v>226</v>
      </c>
      <c r="E837" s="66">
        <v>1.0</v>
      </c>
      <c r="F837" s="66" t="s">
        <v>227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2">
        <f t="shared" si="2"/>
        <v>0.857</v>
      </c>
      <c r="L837" s="82">
        <f t="shared" si="3"/>
        <v>0.6424</v>
      </c>
    </row>
    <row r="838">
      <c r="A838" s="83">
        <v>44678.0</v>
      </c>
      <c r="B838" s="83">
        <v>44678.0</v>
      </c>
      <c r="C838" s="66">
        <v>2012.0</v>
      </c>
      <c r="D838" s="66" t="s">
        <v>226</v>
      </c>
      <c r="E838" s="66">
        <v>0.0</v>
      </c>
      <c r="F838" s="66" t="s">
        <v>227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2">
        <f t="shared" si="2"/>
        <v>1.434</v>
      </c>
      <c r="L838" s="82">
        <f t="shared" si="3"/>
        <v>1.1861</v>
      </c>
    </row>
    <row r="839">
      <c r="A839" s="83">
        <v>44678.0</v>
      </c>
      <c r="B839" s="83">
        <v>44678.0</v>
      </c>
      <c r="C839" s="66">
        <v>2091.0</v>
      </c>
      <c r="D839" s="66" t="s">
        <v>226</v>
      </c>
      <c r="E839" s="66">
        <v>0.0</v>
      </c>
      <c r="F839" s="66" t="s">
        <v>227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2">
        <f t="shared" si="2"/>
        <v>0.41</v>
      </c>
      <c r="L839" s="82">
        <f t="shared" si="3"/>
        <v>0.1567</v>
      </c>
    </row>
    <row r="840">
      <c r="A840" s="83">
        <v>44678.0</v>
      </c>
      <c r="B840" s="83">
        <v>44678.0</v>
      </c>
      <c r="C840" s="66">
        <v>2022.0</v>
      </c>
      <c r="D840" s="66" t="s">
        <v>226</v>
      </c>
      <c r="E840" s="66">
        <v>1.0</v>
      </c>
      <c r="F840" s="66" t="s">
        <v>227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2">
        <f t="shared" si="2"/>
        <v>1.4682</v>
      </c>
      <c r="L840" s="82">
        <f t="shared" si="3"/>
        <v>0.5762</v>
      </c>
    </row>
    <row r="841">
      <c r="A841" s="83">
        <v>44678.0</v>
      </c>
      <c r="B841" s="83">
        <v>44678.0</v>
      </c>
      <c r="C841" s="66">
        <v>2026.0</v>
      </c>
      <c r="D841" s="66" t="s">
        <v>226</v>
      </c>
      <c r="E841" s="66">
        <v>0.0</v>
      </c>
      <c r="F841" s="66" t="s">
        <v>228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2">
        <f t="shared" si="2"/>
        <v>6.1043</v>
      </c>
      <c r="L841" s="82">
        <f t="shared" si="3"/>
        <v>3.1296</v>
      </c>
    </row>
    <row r="842">
      <c r="A842" s="83">
        <v>44678.0</v>
      </c>
      <c r="B842" s="83">
        <v>44678.0</v>
      </c>
      <c r="C842" s="66">
        <v>2022.0</v>
      </c>
      <c r="D842" s="66" t="s">
        <v>226</v>
      </c>
      <c r="E842" s="66">
        <v>0.0</v>
      </c>
      <c r="F842" s="66" t="s">
        <v>228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2">
        <f t="shared" si="2"/>
        <v>6.699</v>
      </c>
      <c r="L842" s="82">
        <f t="shared" si="3"/>
        <v>4.0706</v>
      </c>
    </row>
    <row r="843">
      <c r="A843" s="83">
        <v>44678.0</v>
      </c>
      <c r="B843" s="83">
        <v>44678.0</v>
      </c>
      <c r="C843" s="66">
        <v>2086.0</v>
      </c>
      <c r="D843" s="66" t="s">
        <v>226</v>
      </c>
      <c r="E843" s="66">
        <v>0.0</v>
      </c>
      <c r="F843" s="66" t="s">
        <v>227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2">
        <f t="shared" si="2"/>
        <v>1.3126</v>
      </c>
      <c r="L843" s="82">
        <f t="shared" si="3"/>
        <v>0.5536</v>
      </c>
    </row>
    <row r="844">
      <c r="A844" s="83">
        <v>44678.0</v>
      </c>
      <c r="B844" s="83">
        <v>44678.0</v>
      </c>
      <c r="C844" s="66">
        <v>2006.0</v>
      </c>
      <c r="D844" s="66" t="s">
        <v>226</v>
      </c>
      <c r="E844" s="66">
        <v>0.0</v>
      </c>
      <c r="F844" s="66" t="s">
        <v>227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2">
        <f t="shared" si="2"/>
        <v>0.6553</v>
      </c>
      <c r="L844" s="82">
        <f t="shared" si="3"/>
        <v>0.1019</v>
      </c>
    </row>
    <row r="845">
      <c r="A845" s="83">
        <v>44678.0</v>
      </c>
      <c r="B845" s="83">
        <v>44678.0</v>
      </c>
      <c r="C845" s="66">
        <v>2027.0</v>
      </c>
      <c r="D845" s="66" t="s">
        <v>226</v>
      </c>
      <c r="E845" s="66">
        <v>0.0</v>
      </c>
      <c r="F845" s="66" t="s">
        <v>227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2">
        <f t="shared" si="2"/>
        <v>0.259</v>
      </c>
      <c r="L845" s="82">
        <f t="shared" si="3"/>
        <v>0.1348</v>
      </c>
    </row>
    <row r="846">
      <c r="A846" s="83">
        <v>44678.0</v>
      </c>
      <c r="B846" s="83">
        <v>44678.0</v>
      </c>
      <c r="C846" s="66">
        <v>2022.0</v>
      </c>
      <c r="D846" s="66" t="s">
        <v>226</v>
      </c>
      <c r="E846" s="66">
        <v>1.0</v>
      </c>
      <c r="F846" s="66" t="s">
        <v>228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2">
        <f t="shared" si="2"/>
        <v>5.866</v>
      </c>
      <c r="L846" s="82">
        <f t="shared" si="3"/>
        <v>3.2661</v>
      </c>
    </row>
    <row r="847">
      <c r="A847" s="83">
        <v>44678.0</v>
      </c>
      <c r="B847" s="83">
        <v>44678.0</v>
      </c>
      <c r="C847" s="66">
        <v>2027.0</v>
      </c>
      <c r="D847" s="66" t="s">
        <v>226</v>
      </c>
      <c r="E847" s="66">
        <v>0.0</v>
      </c>
      <c r="F847" s="66" t="s">
        <v>228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2">
        <f t="shared" si="2"/>
        <v>4.0729</v>
      </c>
      <c r="L847" s="82">
        <f t="shared" si="3"/>
        <v>2.0292</v>
      </c>
    </row>
    <row r="848">
      <c r="A848" s="83">
        <v>44678.0</v>
      </c>
      <c r="B848" s="83">
        <v>44678.0</v>
      </c>
      <c r="C848" s="66">
        <v>2089.0</v>
      </c>
      <c r="D848" s="66" t="s">
        <v>226</v>
      </c>
      <c r="E848" s="66">
        <v>0.0</v>
      </c>
      <c r="F848" s="66" t="s">
        <v>228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2">
        <f t="shared" si="2"/>
        <v>0.6314</v>
      </c>
      <c r="L848" s="82">
        <f t="shared" si="3"/>
        <v>0.119</v>
      </c>
    </row>
    <row r="849">
      <c r="A849" s="83">
        <v>44678.0</v>
      </c>
      <c r="B849" s="83">
        <v>44678.0</v>
      </c>
      <c r="C849" s="66">
        <v>2022.0</v>
      </c>
      <c r="D849" s="66" t="s">
        <v>226</v>
      </c>
      <c r="E849" s="66">
        <v>0.0</v>
      </c>
      <c r="F849" s="66" t="s">
        <v>227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2">
        <f t="shared" si="2"/>
        <v>0.5444</v>
      </c>
      <c r="L849" s="82">
        <f t="shared" si="3"/>
        <v>0.2308</v>
      </c>
    </row>
    <row r="850">
      <c r="A850" s="83">
        <v>44678.0</v>
      </c>
      <c r="B850" s="83">
        <v>44678.0</v>
      </c>
      <c r="C850" s="66">
        <v>2005.0</v>
      </c>
      <c r="D850" s="66" t="s">
        <v>226</v>
      </c>
      <c r="E850" s="66">
        <v>0.0</v>
      </c>
      <c r="F850" s="66" t="s">
        <v>228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2">
        <f t="shared" si="2"/>
        <v>8.7716</v>
      </c>
      <c r="L850" s="82">
        <f t="shared" si="3"/>
        <v>4.3469</v>
      </c>
    </row>
    <row r="851">
      <c r="A851" s="83">
        <v>44678.0</v>
      </c>
      <c r="B851" s="83">
        <v>44678.0</v>
      </c>
      <c r="C851" s="66">
        <v>2024.0</v>
      </c>
      <c r="D851" s="66" t="s">
        <v>226</v>
      </c>
      <c r="E851" s="66">
        <v>0.0</v>
      </c>
      <c r="F851" s="66" t="s">
        <v>228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2">
        <f t="shared" si="2"/>
        <v>5.3725</v>
      </c>
      <c r="L851" s="82">
        <f t="shared" si="3"/>
        <v>2.6123</v>
      </c>
    </row>
    <row r="852">
      <c r="A852" s="83">
        <v>44678.0</v>
      </c>
      <c r="B852" s="83">
        <v>44678.0</v>
      </c>
      <c r="C852" s="66">
        <v>2026.0</v>
      </c>
      <c r="D852" s="66" t="s">
        <v>226</v>
      </c>
      <c r="E852" s="66">
        <v>1.0</v>
      </c>
      <c r="F852" s="66" t="s">
        <v>227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2">
        <f t="shared" si="2"/>
        <v>0.9858</v>
      </c>
      <c r="L852" s="82">
        <f t="shared" si="3"/>
        <v>0.7326</v>
      </c>
    </row>
    <row r="853">
      <c r="A853" s="83">
        <v>44678.0</v>
      </c>
      <c r="B853" s="83">
        <v>44678.0</v>
      </c>
      <c r="C853" s="66">
        <v>2012.0</v>
      </c>
      <c r="D853" s="66" t="s">
        <v>226</v>
      </c>
      <c r="E853" s="66">
        <v>0.0</v>
      </c>
      <c r="F853" s="66" t="s">
        <v>228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2">
        <f t="shared" si="2"/>
        <v>4.129</v>
      </c>
      <c r="L853" s="82">
        <f t="shared" si="3"/>
        <v>1.8411</v>
      </c>
    </row>
    <row r="854">
      <c r="A854" s="83">
        <v>44678.0</v>
      </c>
      <c r="B854" s="83">
        <v>44678.0</v>
      </c>
      <c r="C854" s="66">
        <v>2023.0</v>
      </c>
      <c r="D854" s="66" t="s">
        <v>226</v>
      </c>
      <c r="E854" s="66">
        <v>1.0</v>
      </c>
      <c r="F854" s="66" t="s">
        <v>227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2">
        <f t="shared" si="2"/>
        <v>0.176</v>
      </c>
      <c r="L854" s="82">
        <f t="shared" si="3"/>
        <v>0.2778</v>
      </c>
    </row>
    <row r="855">
      <c r="A855" s="83">
        <v>44678.0</v>
      </c>
      <c r="B855" s="83">
        <v>44678.0</v>
      </c>
      <c r="C855" s="66">
        <v>2024.0</v>
      </c>
      <c r="D855" s="66" t="s">
        <v>226</v>
      </c>
      <c r="E855" s="66">
        <v>0.0</v>
      </c>
      <c r="F855" s="66" t="s">
        <v>227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2">
        <f t="shared" si="2"/>
        <v>0.3656</v>
      </c>
      <c r="L855" s="82">
        <f t="shared" si="3"/>
        <v>0.3542</v>
      </c>
    </row>
    <row r="856">
      <c r="A856" s="83">
        <v>44678.0</v>
      </c>
      <c r="B856" s="83">
        <v>44678.0</v>
      </c>
      <c r="C856" s="66">
        <v>2090.0</v>
      </c>
      <c r="D856" s="66" t="s">
        <v>226</v>
      </c>
      <c r="E856" s="66">
        <v>1.0</v>
      </c>
      <c r="F856" s="66" t="s">
        <v>227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2">
        <f t="shared" si="2"/>
        <v>2.0746</v>
      </c>
      <c r="L856" s="82">
        <f t="shared" si="3"/>
        <v>1.0171</v>
      </c>
    </row>
    <row r="857">
      <c r="A857" s="83">
        <v>44678.0</v>
      </c>
      <c r="B857" s="83">
        <v>44678.0</v>
      </c>
      <c r="C857" s="66">
        <v>2089.0</v>
      </c>
      <c r="D857" s="66" t="s">
        <v>226</v>
      </c>
      <c r="E857" s="66">
        <v>1.0</v>
      </c>
      <c r="F857" s="66" t="s">
        <v>228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2">
        <f t="shared" si="2"/>
        <v>4.1336</v>
      </c>
      <c r="L857" s="82">
        <f t="shared" si="3"/>
        <v>2.3695</v>
      </c>
    </row>
    <row r="858">
      <c r="A858" s="83">
        <v>44678.0</v>
      </c>
      <c r="B858" s="83">
        <v>44678.0</v>
      </c>
      <c r="C858" s="66">
        <v>2022.0</v>
      </c>
      <c r="D858" s="66" t="s">
        <v>226</v>
      </c>
      <c r="E858" s="66">
        <v>0.0</v>
      </c>
      <c r="F858" s="66" t="s">
        <v>228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2">
        <f t="shared" si="2"/>
        <v>4.5543</v>
      </c>
      <c r="L858" s="82">
        <f t="shared" si="3"/>
        <v>2.2472</v>
      </c>
    </row>
    <row r="859">
      <c r="A859" s="83">
        <v>44678.0</v>
      </c>
      <c r="B859" s="83">
        <v>44678.0</v>
      </c>
      <c r="C859" s="66">
        <v>2091.0</v>
      </c>
      <c r="D859" s="66" t="s">
        <v>226</v>
      </c>
      <c r="E859" s="66">
        <v>1.0</v>
      </c>
      <c r="F859" s="66" t="s">
        <v>227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2">
        <f t="shared" si="2"/>
        <v>0.7692</v>
      </c>
      <c r="L859" s="82">
        <f t="shared" si="3"/>
        <v>0.5679</v>
      </c>
    </row>
    <row r="860">
      <c r="A860" s="83">
        <v>44678.0</v>
      </c>
      <c r="B860" s="83">
        <v>44678.0</v>
      </c>
      <c r="C860" s="66">
        <v>2090.0</v>
      </c>
      <c r="D860" s="66" t="s">
        <v>226</v>
      </c>
      <c r="E860" s="66">
        <v>0.0</v>
      </c>
      <c r="F860" s="66" t="s">
        <v>227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2">
        <f t="shared" si="2"/>
        <v>0.7414</v>
      </c>
      <c r="L860" s="82">
        <f t="shared" si="3"/>
        <v>0.2952</v>
      </c>
    </row>
    <row r="861">
      <c r="A861" s="83">
        <v>44678.0</v>
      </c>
      <c r="B861" s="83">
        <v>44678.0</v>
      </c>
      <c r="C861" s="66">
        <v>2022.0</v>
      </c>
      <c r="D861" s="66" t="s">
        <v>226</v>
      </c>
      <c r="E861" s="66">
        <v>0.0</v>
      </c>
      <c r="F861" s="66" t="s">
        <v>227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2">
        <f t="shared" si="2"/>
        <v>0.4213</v>
      </c>
      <c r="L861" s="82">
        <f t="shared" si="3"/>
        <v>0.1363</v>
      </c>
    </row>
    <row r="862">
      <c r="A862" s="83">
        <v>44678.0</v>
      </c>
      <c r="B862" s="83">
        <v>44678.0</v>
      </c>
      <c r="C862" s="66">
        <v>2005.0</v>
      </c>
      <c r="D862" s="66" t="s">
        <v>226</v>
      </c>
      <c r="E862" s="66">
        <v>1.0</v>
      </c>
      <c r="F862" s="66" t="s">
        <v>227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2">
        <f t="shared" si="2"/>
        <v>1.7682</v>
      </c>
      <c r="L862" s="82">
        <f t="shared" si="3"/>
        <v>0.7195</v>
      </c>
    </row>
    <row r="863">
      <c r="A863" s="83">
        <v>44678.0</v>
      </c>
      <c r="B863" s="83">
        <v>44678.0</v>
      </c>
      <c r="C863" s="66">
        <v>2026.0</v>
      </c>
      <c r="D863" s="66" t="s">
        <v>226</v>
      </c>
      <c r="E863" s="66">
        <v>0.0</v>
      </c>
      <c r="F863" s="66" t="s">
        <v>227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2">
        <f t="shared" si="2"/>
        <v>0.9274</v>
      </c>
      <c r="L863" s="82">
        <f t="shared" si="3"/>
        <v>0.3944</v>
      </c>
    </row>
    <row r="864">
      <c r="A864" s="83">
        <v>44678.0</v>
      </c>
      <c r="B864" s="83">
        <v>44678.0</v>
      </c>
      <c r="C864" s="66">
        <v>2030.0</v>
      </c>
      <c r="D864" s="66" t="s">
        <v>226</v>
      </c>
      <c r="E864" s="66">
        <v>0.0</v>
      </c>
      <c r="F864" s="66" t="s">
        <v>228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2">
        <f t="shared" si="2"/>
        <v>6.0927</v>
      </c>
      <c r="L864" s="82">
        <f t="shared" si="3"/>
        <v>2.9747</v>
      </c>
    </row>
    <row r="865">
      <c r="A865" s="83">
        <v>44678.0</v>
      </c>
      <c r="B865" s="83">
        <v>44678.0</v>
      </c>
      <c r="C865" s="66">
        <v>2091.0</v>
      </c>
      <c r="D865" s="66" t="s">
        <v>226</v>
      </c>
      <c r="E865" s="66">
        <v>1.0</v>
      </c>
      <c r="F865" s="66" t="s">
        <v>228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2">
        <f t="shared" si="2"/>
        <v>3.3294</v>
      </c>
      <c r="L865" s="82">
        <f t="shared" si="3"/>
        <v>1.7052</v>
      </c>
    </row>
    <row r="866">
      <c r="A866" s="83">
        <v>44678.0</v>
      </c>
      <c r="B866" s="83">
        <v>44678.0</v>
      </c>
      <c r="C866" s="66">
        <v>2022.0</v>
      </c>
      <c r="D866" s="66" t="s">
        <v>226</v>
      </c>
      <c r="E866" s="66">
        <v>1.0</v>
      </c>
      <c r="F866" s="66" t="s">
        <v>227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2">
        <f t="shared" si="2"/>
        <v>1.8199</v>
      </c>
      <c r="L866" s="82">
        <f t="shared" si="3"/>
        <v>0.8259</v>
      </c>
    </row>
    <row r="867">
      <c r="A867" s="83">
        <v>44678.0</v>
      </c>
      <c r="B867" s="83">
        <v>44678.0</v>
      </c>
      <c r="C867" s="66">
        <v>2006.0</v>
      </c>
      <c r="D867" s="66" t="s">
        <v>226</v>
      </c>
      <c r="E867" s="66">
        <v>1.0</v>
      </c>
      <c r="F867" s="66" t="s">
        <v>227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2">
        <f t="shared" si="2"/>
        <v>0.325</v>
      </c>
      <c r="L867" s="82">
        <f t="shared" si="3"/>
        <v>0.3603</v>
      </c>
    </row>
    <row r="868">
      <c r="A868" s="83">
        <v>44678.0</v>
      </c>
      <c r="B868" s="83">
        <v>44678.0</v>
      </c>
      <c r="C868" s="66">
        <v>2025.0</v>
      </c>
      <c r="D868" s="66" t="s">
        <v>226</v>
      </c>
      <c r="E868" s="66">
        <v>0.0</v>
      </c>
      <c r="F868" s="66" t="s">
        <v>228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2">
        <f t="shared" si="2"/>
        <v>5.6571</v>
      </c>
      <c r="L868" s="82">
        <f t="shared" si="3"/>
        <v>2.7613</v>
      </c>
    </row>
    <row r="869">
      <c r="A869" s="83">
        <v>44678.0</v>
      </c>
      <c r="B869" s="83">
        <v>44678.0</v>
      </c>
      <c r="C869" s="66">
        <v>2086.0</v>
      </c>
      <c r="D869" s="66" t="s">
        <v>226</v>
      </c>
      <c r="E869" s="66">
        <v>1.0</v>
      </c>
      <c r="F869" s="66" t="s">
        <v>227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2">
        <f t="shared" si="2"/>
        <v>10.8882</v>
      </c>
      <c r="L869" s="82">
        <f t="shared" si="3"/>
        <v>0.4201</v>
      </c>
    </row>
    <row r="870">
      <c r="A870" s="83">
        <v>44678.0</v>
      </c>
      <c r="B870" s="83">
        <v>44678.0</v>
      </c>
      <c r="C870" s="66">
        <v>2024.0</v>
      </c>
      <c r="D870" s="66" t="s">
        <v>226</v>
      </c>
      <c r="E870" s="66">
        <v>1.0</v>
      </c>
      <c r="F870" s="66" t="s">
        <v>227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2">
        <f t="shared" si="2"/>
        <v>1.4067</v>
      </c>
      <c r="L870" s="82">
        <f t="shared" si="3"/>
        <v>0.5209</v>
      </c>
    </row>
    <row r="871">
      <c r="A871" s="83">
        <v>44678.0</v>
      </c>
      <c r="B871" s="83">
        <v>44678.0</v>
      </c>
      <c r="C871" s="66">
        <v>2021.0</v>
      </c>
      <c r="D871" s="66" t="s">
        <v>226</v>
      </c>
      <c r="E871" s="66">
        <v>1.0</v>
      </c>
      <c r="F871" s="66" t="s">
        <v>227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2">
        <f t="shared" si="2"/>
        <v>1.5151</v>
      </c>
      <c r="L871" s="82">
        <f t="shared" si="3"/>
        <v>0.7819</v>
      </c>
    </row>
    <row r="872">
      <c r="A872" s="83">
        <v>44678.0</v>
      </c>
      <c r="B872" s="83">
        <v>44678.0</v>
      </c>
      <c r="C872" s="66">
        <v>2030.0</v>
      </c>
      <c r="D872" s="66" t="s">
        <v>226</v>
      </c>
      <c r="E872" s="66">
        <v>1.0</v>
      </c>
      <c r="F872" s="66" t="s">
        <v>228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2">
        <f t="shared" si="2"/>
        <v>7.5291</v>
      </c>
      <c r="L872" s="82">
        <f t="shared" si="3"/>
        <v>1.7824</v>
      </c>
    </row>
    <row r="873">
      <c r="A873" s="83">
        <v>44678.0</v>
      </c>
      <c r="B873" s="83">
        <v>44678.0</v>
      </c>
      <c r="C873" s="66">
        <v>2023.0</v>
      </c>
      <c r="D873" s="66" t="s">
        <v>226</v>
      </c>
      <c r="E873" s="66">
        <v>1.0</v>
      </c>
      <c r="F873" s="66" t="s">
        <v>228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2">
        <f t="shared" si="2"/>
        <v>3.6511</v>
      </c>
      <c r="L873" s="82">
        <f t="shared" si="3"/>
        <v>1.8752</v>
      </c>
    </row>
    <row r="874">
      <c r="A874" s="83">
        <v>44678.0</v>
      </c>
      <c r="B874" s="83">
        <v>44678.0</v>
      </c>
      <c r="C874" s="66">
        <v>2013.0</v>
      </c>
      <c r="D874" s="66" t="s">
        <v>226</v>
      </c>
      <c r="E874" s="66">
        <v>0.0</v>
      </c>
      <c r="F874" s="66" t="s">
        <v>228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2">
        <f t="shared" si="2"/>
        <v>11.5451</v>
      </c>
      <c r="L874" s="82">
        <f t="shared" si="3"/>
        <v>5.1457</v>
      </c>
    </row>
    <row r="875">
      <c r="A875" s="83">
        <v>44678.0</v>
      </c>
      <c r="B875" s="83">
        <v>44678.0</v>
      </c>
      <c r="C875" s="66">
        <v>2091.0</v>
      </c>
      <c r="D875" s="66" t="s">
        <v>226</v>
      </c>
      <c r="E875" s="66">
        <v>0.0</v>
      </c>
      <c r="F875" s="66" t="s">
        <v>228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2">
        <f t="shared" si="2"/>
        <v>4.6493</v>
      </c>
      <c r="L875" s="82">
        <f t="shared" si="3"/>
        <v>1.6966</v>
      </c>
    </row>
    <row r="876">
      <c r="A876" s="83">
        <v>44678.0</v>
      </c>
      <c r="B876" s="83">
        <v>44678.0</v>
      </c>
      <c r="C876" s="66">
        <v>2006.0</v>
      </c>
      <c r="D876" s="66" t="s">
        <v>226</v>
      </c>
      <c r="E876" s="66">
        <v>0.0</v>
      </c>
      <c r="F876" s="66" t="s">
        <v>228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2">
        <f t="shared" si="2"/>
        <v>4.6406</v>
      </c>
      <c r="L876" s="82">
        <f t="shared" si="3"/>
        <v>2.1488</v>
      </c>
    </row>
    <row r="877">
      <c r="A877" s="83">
        <v>44678.0</v>
      </c>
      <c r="B877" s="83">
        <v>44678.0</v>
      </c>
      <c r="C877" s="66">
        <v>2030.0</v>
      </c>
      <c r="D877" s="66" t="s">
        <v>226</v>
      </c>
      <c r="E877" s="66">
        <v>1.0</v>
      </c>
      <c r="F877" s="66" t="s">
        <v>227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2">
        <f t="shared" si="2"/>
        <v>1.3236</v>
      </c>
      <c r="L877" s="82">
        <f t="shared" si="3"/>
        <v>0.7896</v>
      </c>
    </row>
    <row r="878">
      <c r="A878" s="83">
        <v>44678.0</v>
      </c>
      <c r="B878" s="83">
        <v>44678.0</v>
      </c>
      <c r="C878" s="66">
        <v>2093.0</v>
      </c>
      <c r="D878" s="66" t="s">
        <v>226</v>
      </c>
      <c r="E878" s="66">
        <v>1.0</v>
      </c>
      <c r="F878" s="66" t="s">
        <v>227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2">
        <f t="shared" si="2"/>
        <v>1.0221</v>
      </c>
      <c r="L878" s="82">
        <f t="shared" si="3"/>
        <v>0.5561</v>
      </c>
    </row>
    <row r="879">
      <c r="A879" s="83">
        <v>44678.0</v>
      </c>
      <c r="B879" s="83">
        <v>44678.0</v>
      </c>
      <c r="C879" s="66">
        <v>2089.0</v>
      </c>
      <c r="D879" s="66" t="s">
        <v>226</v>
      </c>
      <c r="E879" s="66">
        <v>1.0</v>
      </c>
      <c r="F879" s="66" t="s">
        <v>227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2">
        <f t="shared" si="2"/>
        <v>0.9825</v>
      </c>
      <c r="L879" s="82">
        <f t="shared" si="3"/>
        <v>0.5675</v>
      </c>
    </row>
    <row r="880">
      <c r="A880" s="83">
        <v>44678.0</v>
      </c>
      <c r="B880" s="83">
        <v>44678.0</v>
      </c>
      <c r="C880" s="66">
        <v>2025.0</v>
      </c>
      <c r="D880" s="66" t="s">
        <v>226</v>
      </c>
      <c r="E880" s="66">
        <v>0.0</v>
      </c>
      <c r="F880" s="66" t="s">
        <v>227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2">
        <f t="shared" si="2"/>
        <v>0.419</v>
      </c>
      <c r="L880" s="82">
        <f t="shared" si="3"/>
        <v>0.237</v>
      </c>
    </row>
    <row r="881">
      <c r="A881" s="83">
        <v>44678.0</v>
      </c>
      <c r="B881" s="83">
        <v>44678.0</v>
      </c>
      <c r="C881" s="66">
        <v>2023.0</v>
      </c>
      <c r="D881" s="66" t="s">
        <v>226</v>
      </c>
      <c r="E881" s="66">
        <v>0.0</v>
      </c>
      <c r="F881" s="66" t="s">
        <v>227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2">
        <f t="shared" si="2"/>
        <v>0.2264</v>
      </c>
      <c r="L881" s="82">
        <f t="shared" si="3"/>
        <v>0.1629</v>
      </c>
      <c r="N881" s="66" t="s">
        <v>244</v>
      </c>
    </row>
    <row r="882">
      <c r="A882" s="83">
        <v>44678.0</v>
      </c>
      <c r="B882" s="83">
        <v>44678.0</v>
      </c>
      <c r="C882" s="66">
        <v>2013.0</v>
      </c>
      <c r="D882" s="66" t="s">
        <v>226</v>
      </c>
      <c r="E882" s="66">
        <v>1.0</v>
      </c>
      <c r="F882" s="66" t="s">
        <v>227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2">
        <f t="shared" si="2"/>
        <v>3.6372</v>
      </c>
      <c r="L882" s="82">
        <f t="shared" si="3"/>
        <v>1.9102</v>
      </c>
    </row>
    <row r="883">
      <c r="A883" s="83">
        <v>44678.0</v>
      </c>
      <c r="B883" s="83">
        <v>44678.0</v>
      </c>
      <c r="C883" s="66">
        <v>2093.0</v>
      </c>
      <c r="D883" s="66" t="s">
        <v>226</v>
      </c>
      <c r="E883" s="66">
        <v>0.0</v>
      </c>
      <c r="F883" s="66" t="s">
        <v>227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2">
        <f t="shared" si="2"/>
        <v>0.4276</v>
      </c>
      <c r="L883" s="82">
        <f t="shared" si="3"/>
        <v>0.2094</v>
      </c>
    </row>
    <row r="884">
      <c r="A884" s="83">
        <v>44678.0</v>
      </c>
      <c r="B884" s="83">
        <v>44678.0</v>
      </c>
      <c r="C884" s="66">
        <v>2089.0</v>
      </c>
      <c r="D884" s="66" t="s">
        <v>226</v>
      </c>
      <c r="E884" s="66">
        <v>0.0</v>
      </c>
      <c r="F884" s="66" t="s">
        <v>227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2">
        <f t="shared" si="2"/>
        <v>0.1137</v>
      </c>
      <c r="L884" s="82">
        <f t="shared" si="3"/>
        <v>0.0457</v>
      </c>
    </row>
    <row r="885">
      <c r="A885" s="83">
        <v>44678.0</v>
      </c>
      <c r="B885" s="83">
        <v>44678.0</v>
      </c>
      <c r="C885" s="66">
        <v>2030.0</v>
      </c>
      <c r="D885" s="66" t="s">
        <v>226</v>
      </c>
      <c r="E885" s="66">
        <v>0.0</v>
      </c>
      <c r="F885" s="66" t="s">
        <v>227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2">
        <f t="shared" si="2"/>
        <v>0.8263</v>
      </c>
      <c r="L885" s="82">
        <f t="shared" si="3"/>
        <v>0.4273</v>
      </c>
    </row>
    <row r="886">
      <c r="A886" s="83">
        <v>44678.0</v>
      </c>
      <c r="B886" s="83">
        <v>44678.0</v>
      </c>
      <c r="C886" s="66">
        <v>2013.0</v>
      </c>
      <c r="D886" s="66" t="s">
        <v>226</v>
      </c>
      <c r="E886" s="66">
        <v>0.0</v>
      </c>
      <c r="F886" s="66" t="s">
        <v>227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2">
        <f t="shared" si="2"/>
        <v>2.1977</v>
      </c>
      <c r="L886" s="82">
        <f t="shared" si="3"/>
        <v>1.0019</v>
      </c>
    </row>
    <row r="887">
      <c r="A887" s="83">
        <v>44678.0</v>
      </c>
      <c r="B887" s="83">
        <v>44678.0</v>
      </c>
      <c r="C887" s="66">
        <v>2005.0</v>
      </c>
      <c r="D887" s="66" t="s">
        <v>226</v>
      </c>
      <c r="E887" s="66">
        <v>0.0</v>
      </c>
      <c r="F887" s="66" t="s">
        <v>227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2">
        <f t="shared" si="2"/>
        <v>0.7685</v>
      </c>
      <c r="L887" s="82">
        <f t="shared" si="3"/>
        <v>0.3955</v>
      </c>
    </row>
    <row r="888">
      <c r="A888" s="83">
        <v>44684.0</v>
      </c>
      <c r="B888" s="83">
        <v>44684.0</v>
      </c>
      <c r="C888" s="66" t="s">
        <v>236</v>
      </c>
      <c r="D888" s="66" t="s">
        <v>221</v>
      </c>
      <c r="E888" s="66">
        <v>0.0</v>
      </c>
      <c r="F888" s="66" t="s">
        <v>228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2">
        <f t="shared" si="2"/>
        <v>7.1363</v>
      </c>
      <c r="L888" s="82">
        <f t="shared" si="3"/>
        <v>1.7024</v>
      </c>
    </row>
    <row r="889">
      <c r="A889" s="83">
        <v>44684.0</v>
      </c>
      <c r="B889" s="83">
        <v>44684.0</v>
      </c>
      <c r="C889" s="66" t="s">
        <v>236</v>
      </c>
      <c r="D889" s="66" t="s">
        <v>221</v>
      </c>
      <c r="E889" s="66">
        <v>0.0</v>
      </c>
      <c r="F889" s="66" t="s">
        <v>228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2">
        <f t="shared" si="2"/>
        <v>8.9071</v>
      </c>
      <c r="L889" s="82">
        <f t="shared" si="3"/>
        <v>1.8273</v>
      </c>
      <c r="M889" s="66">
        <v>2.1</v>
      </c>
    </row>
    <row r="890">
      <c r="A890" s="83">
        <v>44684.0</v>
      </c>
      <c r="B890" s="83">
        <v>44684.0</v>
      </c>
      <c r="C890" s="66" t="s">
        <v>95</v>
      </c>
      <c r="D890" s="66" t="s">
        <v>221</v>
      </c>
      <c r="E890" s="66">
        <v>0.0</v>
      </c>
      <c r="F890" s="66" t="s">
        <v>227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2">
        <f t="shared" si="2"/>
        <v>1.1784</v>
      </c>
      <c r="L890" s="82">
        <f t="shared" si="3"/>
        <v>0.2348</v>
      </c>
    </row>
    <row r="891">
      <c r="A891" s="83">
        <v>44684.0</v>
      </c>
      <c r="B891" s="83">
        <v>44684.0</v>
      </c>
      <c r="C891" s="66" t="s">
        <v>235</v>
      </c>
      <c r="D891" s="66" t="s">
        <v>221</v>
      </c>
      <c r="E891" s="66">
        <v>0.0</v>
      </c>
      <c r="F891" s="66" t="s">
        <v>228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2">
        <f t="shared" si="2"/>
        <v>4.1006</v>
      </c>
      <c r="L891" s="82">
        <f t="shared" si="3"/>
        <v>1.3086</v>
      </c>
      <c r="M891" s="66">
        <v>5.0</v>
      </c>
    </row>
    <row r="892">
      <c r="A892" s="83">
        <v>44684.0</v>
      </c>
      <c r="B892" s="83">
        <v>44684.0</v>
      </c>
      <c r="C892" s="66" t="s">
        <v>235</v>
      </c>
      <c r="D892" s="66" t="s">
        <v>221</v>
      </c>
      <c r="E892" s="66">
        <v>0.0</v>
      </c>
      <c r="F892" s="66" t="s">
        <v>228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2">
        <f t="shared" si="2"/>
        <v>3.5546</v>
      </c>
      <c r="L892" s="82">
        <f t="shared" si="3"/>
        <v>1.2692</v>
      </c>
    </row>
    <row r="893">
      <c r="A893" s="83">
        <v>44684.0</v>
      </c>
      <c r="B893" s="83">
        <v>44684.0</v>
      </c>
      <c r="C893" s="66" t="s">
        <v>95</v>
      </c>
      <c r="D893" s="66" t="s">
        <v>221</v>
      </c>
      <c r="E893" s="66">
        <v>0.0</v>
      </c>
      <c r="F893" s="66" t="s">
        <v>227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2">
        <f t="shared" si="2"/>
        <v>0.4315</v>
      </c>
      <c r="L893" s="82">
        <f t="shared" si="3"/>
        <v>0.0724</v>
      </c>
    </row>
    <row r="894">
      <c r="A894" s="83">
        <v>44684.0</v>
      </c>
      <c r="B894" s="83">
        <v>44684.0</v>
      </c>
      <c r="C894" s="66" t="s">
        <v>235</v>
      </c>
      <c r="D894" s="66" t="s">
        <v>221</v>
      </c>
      <c r="E894" s="66">
        <v>0.0</v>
      </c>
      <c r="F894" s="66" t="s">
        <v>228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2">
        <f t="shared" si="2"/>
        <v>5.1085</v>
      </c>
      <c r="L894" s="82">
        <f t="shared" si="3"/>
        <v>1.511</v>
      </c>
      <c r="M894" s="66">
        <v>1.0</v>
      </c>
    </row>
    <row r="895">
      <c r="A895" s="83">
        <v>44684.0</v>
      </c>
      <c r="B895" s="83">
        <v>44684.0</v>
      </c>
      <c r="C895" s="66" t="s">
        <v>95</v>
      </c>
      <c r="D895" s="66" t="s">
        <v>221</v>
      </c>
      <c r="E895" s="66">
        <v>0.0</v>
      </c>
      <c r="F895" s="66" t="s">
        <v>227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2">
        <f t="shared" si="2"/>
        <v>0.7684</v>
      </c>
      <c r="L895" s="82">
        <f t="shared" si="3"/>
        <v>0.1479</v>
      </c>
    </row>
    <row r="896">
      <c r="A896" s="83">
        <v>44684.0</v>
      </c>
      <c r="B896" s="83">
        <v>44684.0</v>
      </c>
      <c r="C896" s="66" t="s">
        <v>236</v>
      </c>
      <c r="D896" s="66" t="s">
        <v>221</v>
      </c>
      <c r="E896" s="66">
        <v>0.0</v>
      </c>
      <c r="F896" s="66" t="s">
        <v>228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2">
        <f t="shared" si="2"/>
        <v>7.9862</v>
      </c>
      <c r="L896" s="82">
        <f t="shared" si="3"/>
        <v>1.513</v>
      </c>
    </row>
    <row r="897">
      <c r="A897" s="83">
        <v>44684.0</v>
      </c>
      <c r="B897" s="83">
        <v>44684.0</v>
      </c>
      <c r="C897" s="66" t="s">
        <v>95</v>
      </c>
      <c r="D897" s="66" t="s">
        <v>221</v>
      </c>
      <c r="E897" s="66">
        <v>0.0</v>
      </c>
      <c r="F897" s="66" t="s">
        <v>227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2">
        <f t="shared" si="2"/>
        <v>0.6134</v>
      </c>
      <c r="L897" s="82">
        <f t="shared" si="3"/>
        <v>0.122</v>
      </c>
      <c r="M897" s="66">
        <v>5.0</v>
      </c>
    </row>
    <row r="898">
      <c r="A898" s="83">
        <v>44684.0</v>
      </c>
      <c r="B898" s="83">
        <v>44684.0</v>
      </c>
      <c r="C898" s="66" t="s">
        <v>236</v>
      </c>
      <c r="D898" s="66" t="s">
        <v>221</v>
      </c>
      <c r="E898" s="66">
        <v>0.0</v>
      </c>
      <c r="F898" s="66" t="s">
        <v>228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2">
        <f t="shared" si="2"/>
        <v>5.1645</v>
      </c>
      <c r="L898" s="82">
        <f t="shared" si="3"/>
        <v>1.3496</v>
      </c>
      <c r="M898" s="66">
        <v>4.0</v>
      </c>
    </row>
    <row r="899">
      <c r="A899" s="83">
        <v>44684.0</v>
      </c>
      <c r="B899" s="83">
        <v>44684.0</v>
      </c>
      <c r="C899" s="66" t="s">
        <v>236</v>
      </c>
      <c r="D899" s="66" t="s">
        <v>221</v>
      </c>
      <c r="E899" s="66">
        <v>0.0</v>
      </c>
      <c r="F899" s="66" t="s">
        <v>227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2">
        <f t="shared" si="2"/>
        <v>2.0884</v>
      </c>
      <c r="L899" s="82">
        <f t="shared" si="3"/>
        <v>0.4376</v>
      </c>
      <c r="M899" s="66">
        <v>1.0</v>
      </c>
    </row>
    <row r="900">
      <c r="A900" s="83">
        <v>44684.0</v>
      </c>
      <c r="B900" s="83">
        <v>44684.0</v>
      </c>
      <c r="C900" s="66" t="s">
        <v>236</v>
      </c>
      <c r="D900" s="66" t="s">
        <v>221</v>
      </c>
      <c r="E900" s="66">
        <v>0.0</v>
      </c>
      <c r="F900" s="66" t="s">
        <v>227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2">
        <f t="shared" si="2"/>
        <v>2.5277</v>
      </c>
      <c r="L900" s="82">
        <f t="shared" si="3"/>
        <v>0.5798</v>
      </c>
    </row>
    <row r="901">
      <c r="A901" s="83">
        <v>44684.0</v>
      </c>
      <c r="B901" s="83">
        <v>44684.0</v>
      </c>
      <c r="C901" s="66" t="s">
        <v>95</v>
      </c>
      <c r="D901" s="66" t="s">
        <v>221</v>
      </c>
      <c r="E901" s="66">
        <v>0.0</v>
      </c>
      <c r="F901" s="66" t="s">
        <v>228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2">
        <f t="shared" si="2"/>
        <v>2.4269</v>
      </c>
      <c r="L901" s="82">
        <f t="shared" si="3"/>
        <v>0.9802</v>
      </c>
    </row>
    <row r="902">
      <c r="A902" s="83">
        <v>44684.0</v>
      </c>
      <c r="B902" s="83">
        <v>44684.0</v>
      </c>
      <c r="C902" s="66" t="s">
        <v>95</v>
      </c>
      <c r="D902" s="66" t="s">
        <v>221</v>
      </c>
      <c r="E902" s="66">
        <v>0.0</v>
      </c>
      <c r="F902" s="66" t="s">
        <v>228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2">
        <f t="shared" si="2"/>
        <v>2.7103</v>
      </c>
      <c r="L902" s="82">
        <f t="shared" si="3"/>
        <v>1.0096</v>
      </c>
    </row>
    <row r="903">
      <c r="A903" s="83">
        <v>44684.0</v>
      </c>
      <c r="B903" s="83">
        <v>44684.0</v>
      </c>
      <c r="C903" s="66" t="s">
        <v>95</v>
      </c>
      <c r="D903" s="66" t="s">
        <v>221</v>
      </c>
      <c r="E903" s="66">
        <v>0.0</v>
      </c>
      <c r="F903" s="66" t="s">
        <v>228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2">
        <f t="shared" si="2"/>
        <v>1.977</v>
      </c>
      <c r="L903" s="82">
        <f t="shared" si="3"/>
        <v>0.7291</v>
      </c>
      <c r="M903" s="66">
        <v>4.0</v>
      </c>
    </row>
    <row r="904">
      <c r="A904" s="83">
        <v>44684.0</v>
      </c>
      <c r="B904" s="83">
        <v>44684.0</v>
      </c>
      <c r="C904" s="66" t="s">
        <v>236</v>
      </c>
      <c r="D904" s="66" t="s">
        <v>221</v>
      </c>
      <c r="E904" s="66">
        <v>0.0</v>
      </c>
      <c r="F904" s="66" t="s">
        <v>227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2">
        <f t="shared" si="2"/>
        <v>2.0167</v>
      </c>
      <c r="L904" s="82">
        <f t="shared" si="3"/>
        <v>0.5305</v>
      </c>
    </row>
    <row r="905">
      <c r="A905" s="83">
        <v>44684.0</v>
      </c>
      <c r="B905" s="83">
        <v>44684.0</v>
      </c>
      <c r="C905" s="66" t="s">
        <v>235</v>
      </c>
      <c r="D905" s="66" t="s">
        <v>221</v>
      </c>
      <c r="E905" s="66">
        <v>0.0</v>
      </c>
      <c r="F905" s="66" t="s">
        <v>227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2">
        <f t="shared" si="2"/>
        <v>0.9804</v>
      </c>
      <c r="L905" s="82">
        <f t="shared" si="3"/>
        <v>0.3311</v>
      </c>
    </row>
    <row r="906">
      <c r="A906" s="83">
        <v>44684.0</v>
      </c>
      <c r="B906" s="83">
        <v>44684.0</v>
      </c>
      <c r="C906" s="66" t="s">
        <v>235</v>
      </c>
      <c r="D906" s="66" t="s">
        <v>221</v>
      </c>
      <c r="E906" s="66">
        <v>0.0</v>
      </c>
      <c r="F906" s="66" t="s">
        <v>227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2">
        <f t="shared" si="2"/>
        <v>0.9065</v>
      </c>
      <c r="L906" s="82">
        <f t="shared" si="3"/>
        <v>0.2802</v>
      </c>
      <c r="M906" s="66">
        <v>3.0</v>
      </c>
    </row>
    <row r="907">
      <c r="A907" s="83">
        <v>44684.0</v>
      </c>
      <c r="B907" s="83">
        <v>44684.0</v>
      </c>
      <c r="C907" s="66" t="s">
        <v>235</v>
      </c>
      <c r="D907" s="66" t="s">
        <v>221</v>
      </c>
      <c r="E907" s="66">
        <v>0.0</v>
      </c>
      <c r="F907" s="66" t="s">
        <v>227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2">
        <f t="shared" si="2"/>
        <v>0.9922</v>
      </c>
      <c r="L907" s="82">
        <f t="shared" si="3"/>
        <v>0.3126</v>
      </c>
      <c r="M907" s="66">
        <v>5.0</v>
      </c>
    </row>
    <row r="908">
      <c r="A908" s="83">
        <v>44684.0</v>
      </c>
      <c r="B908" s="83">
        <v>44684.0</v>
      </c>
      <c r="C908" s="66" t="s">
        <v>236</v>
      </c>
      <c r="D908" s="66" t="s">
        <v>221</v>
      </c>
      <c r="E908" s="66">
        <v>0.0</v>
      </c>
      <c r="F908" s="66" t="s">
        <v>227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2">
        <f t="shared" si="2"/>
        <v>1.9328</v>
      </c>
      <c r="L908" s="82">
        <f t="shared" si="3"/>
        <v>0.3488</v>
      </c>
    </row>
    <row r="909">
      <c r="A909" s="83">
        <v>44684.0</v>
      </c>
      <c r="B909" s="83">
        <v>44684.0</v>
      </c>
      <c r="C909" s="66" t="s">
        <v>95</v>
      </c>
      <c r="D909" s="66" t="s">
        <v>221</v>
      </c>
      <c r="E909" s="66">
        <v>0.0</v>
      </c>
      <c r="F909" s="66" t="s">
        <v>228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2">
        <f t="shared" si="2"/>
        <v>4.1012</v>
      </c>
      <c r="L909" s="82">
        <f t="shared" si="3"/>
        <v>1.3139</v>
      </c>
      <c r="M909" s="66">
        <v>3.0</v>
      </c>
    </row>
    <row r="910">
      <c r="A910" s="83">
        <v>44691.0</v>
      </c>
      <c r="B910" s="83">
        <v>44691.0</v>
      </c>
      <c r="C910" s="66" t="s">
        <v>236</v>
      </c>
      <c r="D910" s="66" t="s">
        <v>221</v>
      </c>
      <c r="E910" s="66">
        <v>0.0</v>
      </c>
      <c r="F910" s="66" t="s">
        <v>228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2">
        <f t="shared" si="2"/>
        <v>6.7322</v>
      </c>
      <c r="L910" s="82">
        <f t="shared" si="3"/>
        <v>2.0845</v>
      </c>
    </row>
    <row r="911">
      <c r="A911" s="83">
        <v>44691.0</v>
      </c>
      <c r="B911" s="83">
        <v>44691.0</v>
      </c>
      <c r="C911" s="66" t="s">
        <v>95</v>
      </c>
      <c r="D911" s="66" t="s">
        <v>221</v>
      </c>
      <c r="E911" s="66">
        <v>0.0</v>
      </c>
      <c r="F911" s="66" t="s">
        <v>228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2">
        <f t="shared" si="2"/>
        <v>3.2919</v>
      </c>
      <c r="L911" s="82">
        <f t="shared" si="3"/>
        <v>1.2552</v>
      </c>
    </row>
    <row r="912">
      <c r="A912" s="83">
        <v>44691.0</v>
      </c>
      <c r="B912" s="83">
        <v>44691.0</v>
      </c>
      <c r="C912" s="66" t="s">
        <v>235</v>
      </c>
      <c r="D912" s="66" t="s">
        <v>221</v>
      </c>
      <c r="E912" s="66">
        <v>0.0</v>
      </c>
      <c r="F912" s="66" t="s">
        <v>228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2">
        <f t="shared" si="2"/>
        <v>4.573</v>
      </c>
      <c r="L912" s="82">
        <f t="shared" si="3"/>
        <v>1.558</v>
      </c>
    </row>
    <row r="913">
      <c r="A913" s="83">
        <v>44691.0</v>
      </c>
      <c r="B913" s="83">
        <v>44691.0</v>
      </c>
      <c r="C913" s="66" t="s">
        <v>95</v>
      </c>
      <c r="D913" s="66" t="s">
        <v>221</v>
      </c>
      <c r="E913" s="66">
        <v>0.0</v>
      </c>
      <c r="F913" s="66" t="s">
        <v>228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2">
        <f t="shared" si="2"/>
        <v>2.4066</v>
      </c>
      <c r="L913" s="82">
        <f t="shared" si="3"/>
        <v>1.0537</v>
      </c>
    </row>
    <row r="914">
      <c r="A914" s="83">
        <v>44691.0</v>
      </c>
      <c r="B914" s="83">
        <v>44691.0</v>
      </c>
      <c r="C914" s="66" t="s">
        <v>235</v>
      </c>
      <c r="D914" s="66" t="s">
        <v>221</v>
      </c>
      <c r="E914" s="66">
        <v>0.0</v>
      </c>
      <c r="F914" s="66" t="s">
        <v>228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2">
        <f t="shared" si="2"/>
        <v>5.1228</v>
      </c>
      <c r="L914" s="82">
        <f t="shared" si="3"/>
        <v>1.6551</v>
      </c>
    </row>
    <row r="915">
      <c r="A915" s="83">
        <v>44691.0</v>
      </c>
      <c r="B915" s="83">
        <v>44691.0</v>
      </c>
      <c r="C915" s="66" t="s">
        <v>236</v>
      </c>
      <c r="D915" s="66" t="s">
        <v>221</v>
      </c>
      <c r="E915" s="66">
        <v>0.0</v>
      </c>
      <c r="F915" s="66" t="s">
        <v>228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2">
        <f t="shared" si="2"/>
        <v>9.369</v>
      </c>
      <c r="L915" s="82">
        <f t="shared" si="3"/>
        <v>2.1746</v>
      </c>
    </row>
    <row r="916">
      <c r="A916" s="83">
        <v>44691.0</v>
      </c>
      <c r="B916" s="83">
        <v>44691.0</v>
      </c>
      <c r="C916" s="66" t="s">
        <v>95</v>
      </c>
      <c r="D916" s="66" t="s">
        <v>221</v>
      </c>
      <c r="E916" s="66">
        <v>0.0</v>
      </c>
      <c r="F916" s="66" t="s">
        <v>228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2">
        <f t="shared" si="2"/>
        <v>3.4763</v>
      </c>
      <c r="L916" s="82">
        <f t="shared" si="3"/>
        <v>1.1787</v>
      </c>
    </row>
    <row r="917">
      <c r="A917" s="83">
        <v>44691.0</v>
      </c>
      <c r="B917" s="83">
        <v>44691.0</v>
      </c>
      <c r="C917" s="66" t="s">
        <v>236</v>
      </c>
      <c r="D917" s="66" t="s">
        <v>221</v>
      </c>
      <c r="E917" s="66">
        <v>0.0</v>
      </c>
      <c r="F917" s="66" t="s">
        <v>228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2">
        <f t="shared" si="2"/>
        <v>4.691</v>
      </c>
      <c r="L917" s="82">
        <f t="shared" si="3"/>
        <v>1.3935</v>
      </c>
    </row>
    <row r="918">
      <c r="A918" s="83">
        <v>44691.0</v>
      </c>
      <c r="B918" s="83">
        <v>44691.0</v>
      </c>
      <c r="C918" s="66" t="s">
        <v>236</v>
      </c>
      <c r="D918" s="66" t="s">
        <v>221</v>
      </c>
      <c r="E918" s="66">
        <v>0.0</v>
      </c>
      <c r="F918" s="66" t="s">
        <v>228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2">
        <f t="shared" si="2"/>
        <v>9.468</v>
      </c>
      <c r="L918" s="82">
        <f t="shared" si="3"/>
        <v>2.5588</v>
      </c>
    </row>
    <row r="919">
      <c r="A919" s="83">
        <v>44691.0</v>
      </c>
      <c r="B919" s="83">
        <v>44691.0</v>
      </c>
      <c r="C919" s="66" t="s">
        <v>236</v>
      </c>
      <c r="D919" s="66" t="s">
        <v>221</v>
      </c>
      <c r="E919" s="66">
        <v>0.0</v>
      </c>
      <c r="F919" s="66" t="s">
        <v>227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2">
        <f t="shared" si="2"/>
        <v>1.9002</v>
      </c>
      <c r="L919" s="82">
        <f t="shared" si="3"/>
        <v>0.5064</v>
      </c>
    </row>
    <row r="920">
      <c r="A920" s="83">
        <v>44691.0</v>
      </c>
      <c r="B920" s="83">
        <v>44691.0</v>
      </c>
      <c r="C920" s="66" t="s">
        <v>95</v>
      </c>
      <c r="D920" s="66" t="s">
        <v>221</v>
      </c>
      <c r="E920" s="66">
        <v>0.0</v>
      </c>
      <c r="F920" s="66" t="s">
        <v>227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2">
        <f t="shared" si="2"/>
        <v>1.2664</v>
      </c>
      <c r="L920" s="82">
        <f t="shared" si="3"/>
        <v>0.4279</v>
      </c>
    </row>
    <row r="921">
      <c r="A921" s="83">
        <v>44691.0</v>
      </c>
      <c r="B921" s="83">
        <v>44691.0</v>
      </c>
      <c r="C921" s="66" t="s">
        <v>235</v>
      </c>
      <c r="D921" s="66" t="s">
        <v>221</v>
      </c>
      <c r="E921" s="66">
        <v>0.0</v>
      </c>
      <c r="F921" s="66" t="s">
        <v>228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2">
        <f t="shared" si="2"/>
        <v>3.8837</v>
      </c>
      <c r="L921" s="82">
        <f t="shared" si="3"/>
        <v>1.3203</v>
      </c>
    </row>
    <row r="922">
      <c r="A922" s="83">
        <v>44691.0</v>
      </c>
      <c r="B922" s="83">
        <v>44691.0</v>
      </c>
      <c r="C922" s="66" t="s">
        <v>95</v>
      </c>
      <c r="D922" s="66" t="s">
        <v>221</v>
      </c>
      <c r="E922" s="66">
        <v>0.0</v>
      </c>
      <c r="F922" s="66" t="s">
        <v>228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2">
        <f t="shared" si="2"/>
        <v>2.2393</v>
      </c>
      <c r="L922" s="82">
        <f t="shared" si="3"/>
        <v>0.9088</v>
      </c>
    </row>
    <row r="923">
      <c r="A923" s="83">
        <v>44691.0</v>
      </c>
      <c r="B923" s="83">
        <v>44691.0</v>
      </c>
      <c r="C923" s="66" t="s">
        <v>235</v>
      </c>
      <c r="D923" s="66" t="s">
        <v>221</v>
      </c>
      <c r="E923" s="66">
        <v>0.0</v>
      </c>
      <c r="F923" s="66" t="s">
        <v>227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2">
        <f t="shared" si="2"/>
        <v>1.292</v>
      </c>
      <c r="L923" s="82">
        <f t="shared" si="3"/>
        <v>0.4121</v>
      </c>
    </row>
    <row r="924">
      <c r="A924" s="83">
        <v>44691.0</v>
      </c>
      <c r="B924" s="83">
        <v>44691.0</v>
      </c>
      <c r="C924" s="66" t="s">
        <v>236</v>
      </c>
      <c r="D924" s="66" t="s">
        <v>221</v>
      </c>
      <c r="E924" s="66">
        <v>0.0</v>
      </c>
      <c r="F924" s="66" t="s">
        <v>227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2">
        <f t="shared" si="2"/>
        <v>0.6924</v>
      </c>
      <c r="L924" s="82">
        <f t="shared" si="3"/>
        <v>0.2894</v>
      </c>
    </row>
    <row r="925">
      <c r="A925" s="83">
        <v>44691.0</v>
      </c>
      <c r="B925" s="83">
        <v>44691.0</v>
      </c>
      <c r="C925" s="66" t="s">
        <v>235</v>
      </c>
      <c r="D925" s="66" t="s">
        <v>221</v>
      </c>
      <c r="E925" s="66">
        <v>0.0</v>
      </c>
      <c r="F925" s="66" t="s">
        <v>227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2">
        <f t="shared" si="2"/>
        <v>0.9668</v>
      </c>
      <c r="L925" s="82">
        <f t="shared" si="3"/>
        <v>0.334</v>
      </c>
    </row>
    <row r="926">
      <c r="A926" s="83">
        <v>44691.0</v>
      </c>
      <c r="B926" s="83">
        <v>44691.0</v>
      </c>
      <c r="C926" s="66" t="s">
        <v>236</v>
      </c>
      <c r="D926" s="66" t="s">
        <v>221</v>
      </c>
      <c r="E926" s="66">
        <v>0.0</v>
      </c>
      <c r="F926" s="66" t="s">
        <v>227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2">
        <f t="shared" si="2"/>
        <v>2.2657</v>
      </c>
      <c r="L926" s="82">
        <f t="shared" si="3"/>
        <v>0.5263</v>
      </c>
    </row>
    <row r="927">
      <c r="A927" s="83">
        <v>44691.0</v>
      </c>
      <c r="B927" s="83">
        <v>44691.0</v>
      </c>
      <c r="C927" s="66" t="s">
        <v>236</v>
      </c>
      <c r="D927" s="66" t="s">
        <v>221</v>
      </c>
      <c r="E927" s="66">
        <v>0.0</v>
      </c>
      <c r="F927" s="66" t="s">
        <v>227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2">
        <f t="shared" si="2"/>
        <v>2.1153</v>
      </c>
      <c r="L927" s="82">
        <f t="shared" si="3"/>
        <v>0.7382</v>
      </c>
    </row>
    <row r="928">
      <c r="A928" s="83">
        <v>44691.0</v>
      </c>
      <c r="B928" s="83">
        <v>44691.0</v>
      </c>
      <c r="C928" s="66" t="s">
        <v>236</v>
      </c>
      <c r="D928" s="66" t="s">
        <v>221</v>
      </c>
      <c r="E928" s="66">
        <v>0.0</v>
      </c>
      <c r="F928" s="66" t="s">
        <v>227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2">
        <f t="shared" si="2"/>
        <v>2.3826</v>
      </c>
      <c r="L928" s="82">
        <f t="shared" si="3"/>
        <v>0.5453</v>
      </c>
    </row>
    <row r="929">
      <c r="A929" s="83">
        <v>44691.0</v>
      </c>
      <c r="B929" s="83">
        <v>44691.0</v>
      </c>
      <c r="C929" s="66" t="s">
        <v>95</v>
      </c>
      <c r="D929" s="66" t="s">
        <v>221</v>
      </c>
      <c r="E929" s="66">
        <v>0.0</v>
      </c>
      <c r="F929" s="66" t="s">
        <v>227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2">
        <f t="shared" si="2"/>
        <v>0.7814</v>
      </c>
      <c r="L929" s="82">
        <f t="shared" si="3"/>
        <v>0.3596</v>
      </c>
    </row>
    <row r="930">
      <c r="A930" s="83">
        <v>44691.0</v>
      </c>
      <c r="B930" s="83">
        <v>44691.0</v>
      </c>
      <c r="C930" s="66" t="s">
        <v>235</v>
      </c>
      <c r="D930" s="66" t="s">
        <v>221</v>
      </c>
      <c r="E930" s="66">
        <v>0.0</v>
      </c>
      <c r="F930" s="66" t="s">
        <v>227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2">
        <f t="shared" si="2"/>
        <v>1.0443</v>
      </c>
      <c r="L930" s="82">
        <f t="shared" si="3"/>
        <v>0.1218</v>
      </c>
    </row>
    <row r="931">
      <c r="A931" s="83">
        <v>44691.0</v>
      </c>
      <c r="B931" s="83">
        <v>44691.0</v>
      </c>
      <c r="C931" s="66" t="s">
        <v>95</v>
      </c>
      <c r="D931" s="66" t="s">
        <v>221</v>
      </c>
      <c r="E931" s="66">
        <v>0.0</v>
      </c>
      <c r="F931" s="66" t="s">
        <v>227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2">
        <f t="shared" si="2"/>
        <v>0.8108</v>
      </c>
      <c r="L931" s="82">
        <f t="shared" si="3"/>
        <v>0.3224</v>
      </c>
    </row>
    <row r="932">
      <c r="A932" s="83">
        <v>44698.0</v>
      </c>
      <c r="B932" s="83">
        <v>44698.0</v>
      </c>
      <c r="C932" s="66" t="s">
        <v>236</v>
      </c>
      <c r="D932" s="66" t="s">
        <v>221</v>
      </c>
      <c r="E932" s="66">
        <v>0.0</v>
      </c>
      <c r="F932" s="66" t="s">
        <v>228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2">
        <f t="shared" si="2"/>
        <v>7.3909</v>
      </c>
      <c r="L932" s="82">
        <f t="shared" si="3"/>
        <v>1.9438</v>
      </c>
      <c r="N932" s="66" t="s">
        <v>233</v>
      </c>
    </row>
    <row r="933">
      <c r="A933" s="83">
        <v>44698.0</v>
      </c>
      <c r="B933" s="83">
        <v>44698.0</v>
      </c>
      <c r="C933" s="66" t="s">
        <v>235</v>
      </c>
      <c r="D933" s="66" t="s">
        <v>221</v>
      </c>
      <c r="E933" s="66">
        <v>0.0</v>
      </c>
      <c r="F933" s="66" t="s">
        <v>228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2">
        <f t="shared" si="2"/>
        <v>3.6194</v>
      </c>
      <c r="L933" s="82">
        <f t="shared" si="3"/>
        <v>1.5151</v>
      </c>
    </row>
    <row r="934">
      <c r="A934" s="83">
        <v>44698.0</v>
      </c>
      <c r="B934" s="83">
        <v>44698.0</v>
      </c>
      <c r="C934" s="66" t="s">
        <v>235</v>
      </c>
      <c r="D934" s="66" t="s">
        <v>221</v>
      </c>
      <c r="E934" s="66">
        <v>0.0</v>
      </c>
      <c r="F934" s="66" t="s">
        <v>227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2">
        <f t="shared" si="2"/>
        <v>4.9484</v>
      </c>
      <c r="L934" s="82">
        <f t="shared" si="3"/>
        <v>1.6204</v>
      </c>
      <c r="N934" s="66" t="s">
        <v>233</v>
      </c>
    </row>
    <row r="935">
      <c r="A935" s="83">
        <v>44698.0</v>
      </c>
      <c r="B935" s="83">
        <v>44698.0</v>
      </c>
      <c r="C935" s="66" t="s">
        <v>95</v>
      </c>
      <c r="D935" s="66" t="s">
        <v>221</v>
      </c>
      <c r="E935" s="66">
        <v>0.0</v>
      </c>
      <c r="F935" s="66" t="s">
        <v>228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2">
        <f t="shared" si="2"/>
        <v>2.301</v>
      </c>
      <c r="L935" s="82">
        <f t="shared" si="3"/>
        <v>0.7929</v>
      </c>
    </row>
    <row r="936">
      <c r="A936" s="83">
        <v>44698.0</v>
      </c>
      <c r="B936" s="83">
        <v>44698.0</v>
      </c>
      <c r="C936" s="66" t="s">
        <v>235</v>
      </c>
      <c r="D936" s="66" t="s">
        <v>221</v>
      </c>
      <c r="E936" s="66">
        <v>0.0</v>
      </c>
      <c r="F936" s="66" t="s">
        <v>227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2">
        <f t="shared" si="2"/>
        <v>0.8818</v>
      </c>
      <c r="L936" s="82">
        <f t="shared" si="3"/>
        <v>0.3442</v>
      </c>
    </row>
    <row r="937">
      <c r="A937" s="83">
        <v>44698.0</v>
      </c>
      <c r="B937" s="83">
        <v>44698.0</v>
      </c>
      <c r="C937" s="66" t="s">
        <v>95</v>
      </c>
      <c r="D937" s="66" t="s">
        <v>221</v>
      </c>
      <c r="E937" s="66">
        <v>0.0</v>
      </c>
      <c r="F937" s="66" t="s">
        <v>227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2">
        <f t="shared" si="2"/>
        <v>0.6242</v>
      </c>
      <c r="L937" s="82">
        <f t="shared" si="3"/>
        <v>0.2769</v>
      </c>
    </row>
    <row r="938">
      <c r="A938" s="83">
        <v>44698.0</v>
      </c>
      <c r="B938" s="83">
        <v>44698.0</v>
      </c>
      <c r="C938" s="66" t="s">
        <v>95</v>
      </c>
      <c r="D938" s="66" t="s">
        <v>221</v>
      </c>
      <c r="E938" s="66">
        <v>0.0</v>
      </c>
      <c r="F938" s="66" t="s">
        <v>227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2">
        <f t="shared" si="2"/>
        <v>0.7638</v>
      </c>
      <c r="L938" s="82">
        <f t="shared" si="3"/>
        <v>0.3726</v>
      </c>
    </row>
    <row r="939">
      <c r="A939" s="83">
        <v>44698.0</v>
      </c>
      <c r="B939" s="83">
        <v>44698.0</v>
      </c>
      <c r="C939" s="66" t="s">
        <v>95</v>
      </c>
      <c r="D939" s="66" t="s">
        <v>221</v>
      </c>
      <c r="E939" s="66">
        <v>0.0</v>
      </c>
      <c r="F939" s="66" t="s">
        <v>228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2">
        <f t="shared" si="2"/>
        <v>3.3859</v>
      </c>
      <c r="L939" s="82">
        <f t="shared" si="3"/>
        <v>1.2266</v>
      </c>
    </row>
    <row r="940">
      <c r="A940" s="83">
        <v>44698.0</v>
      </c>
      <c r="B940" s="83">
        <v>44698.0</v>
      </c>
      <c r="C940" s="66" t="s">
        <v>236</v>
      </c>
      <c r="D940" s="66" t="s">
        <v>221</v>
      </c>
      <c r="E940" s="66">
        <v>0.0</v>
      </c>
      <c r="F940" s="66" t="s">
        <v>227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2">
        <f t="shared" si="2"/>
        <v>2.2415</v>
      </c>
      <c r="L940" s="82">
        <f t="shared" si="3"/>
        <v>0.5979</v>
      </c>
    </row>
    <row r="941">
      <c r="A941" s="83">
        <v>44698.0</v>
      </c>
      <c r="B941" s="83">
        <v>44698.0</v>
      </c>
      <c r="C941" s="66" t="s">
        <v>95</v>
      </c>
      <c r="D941" s="66" t="s">
        <v>221</v>
      </c>
      <c r="E941" s="66">
        <v>0.0</v>
      </c>
      <c r="F941" s="66" t="s">
        <v>227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2">
        <f t="shared" si="2"/>
        <v>1.1097</v>
      </c>
      <c r="L941" s="82">
        <f t="shared" si="3"/>
        <v>0.4158</v>
      </c>
    </row>
    <row r="942">
      <c r="A942" s="83">
        <v>44698.0</v>
      </c>
      <c r="B942" s="83">
        <v>44698.0</v>
      </c>
      <c r="C942" s="66" t="s">
        <v>235</v>
      </c>
      <c r="D942" s="66" t="s">
        <v>221</v>
      </c>
      <c r="E942" s="66">
        <v>0.0</v>
      </c>
      <c r="F942" s="66" t="s">
        <v>227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2">
        <f t="shared" si="2"/>
        <v>0.5412</v>
      </c>
      <c r="L942" s="82">
        <f t="shared" si="3"/>
        <v>0.2195</v>
      </c>
    </row>
    <row r="943">
      <c r="A943" s="83">
        <v>44698.0</v>
      </c>
      <c r="B943" s="83">
        <v>44698.0</v>
      </c>
      <c r="C943" s="66" t="s">
        <v>235</v>
      </c>
      <c r="D943" s="66" t="s">
        <v>221</v>
      </c>
      <c r="E943" s="66">
        <v>0.0</v>
      </c>
      <c r="F943" s="66" t="s">
        <v>228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2">
        <f t="shared" si="2"/>
        <v>2.2236</v>
      </c>
      <c r="L943" s="82">
        <f t="shared" si="3"/>
        <v>0.845</v>
      </c>
    </row>
    <row r="944">
      <c r="A944" s="83">
        <v>44698.0</v>
      </c>
      <c r="B944" s="83">
        <v>44698.0</v>
      </c>
      <c r="C944" s="66" t="s">
        <v>236</v>
      </c>
      <c r="D944" s="66" t="s">
        <v>221</v>
      </c>
      <c r="E944" s="66">
        <v>0.0</v>
      </c>
      <c r="F944" s="66" t="s">
        <v>228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2">
        <f t="shared" si="2"/>
        <v>6.589</v>
      </c>
      <c r="L944" s="82">
        <f t="shared" si="3"/>
        <v>1.9934</v>
      </c>
    </row>
    <row r="945">
      <c r="A945" s="83">
        <v>44698.0</v>
      </c>
      <c r="B945" s="83">
        <v>44698.0</v>
      </c>
      <c r="C945" s="66" t="s">
        <v>236</v>
      </c>
      <c r="D945" s="66" t="s">
        <v>221</v>
      </c>
      <c r="E945" s="66">
        <v>0.0</v>
      </c>
      <c r="F945" s="66" t="s">
        <v>228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2">
        <f t="shared" si="2"/>
        <v>9.9178</v>
      </c>
      <c r="L945" s="82">
        <f t="shared" si="3"/>
        <v>2.5338</v>
      </c>
    </row>
    <row r="946">
      <c r="A946" s="83">
        <v>44698.0</v>
      </c>
      <c r="B946" s="83">
        <v>44698.0</v>
      </c>
      <c r="C946" s="66" t="s">
        <v>236</v>
      </c>
      <c r="D946" s="66" t="s">
        <v>221</v>
      </c>
      <c r="E946" s="66">
        <v>0.0</v>
      </c>
      <c r="F946" s="66" t="s">
        <v>228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2">
        <f t="shared" si="2"/>
        <v>8.7701</v>
      </c>
      <c r="L946" s="82">
        <f t="shared" si="3"/>
        <v>2.1584</v>
      </c>
    </row>
    <row r="947">
      <c r="A947" s="83">
        <v>44698.0</v>
      </c>
      <c r="B947" s="83">
        <v>44698.0</v>
      </c>
      <c r="C947" s="66" t="s">
        <v>95</v>
      </c>
      <c r="D947" s="66" t="s">
        <v>221</v>
      </c>
      <c r="E947" s="66">
        <v>0.0</v>
      </c>
      <c r="F947" s="66" t="s">
        <v>227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2">
        <f t="shared" si="2"/>
        <v>0.4703</v>
      </c>
      <c r="L947" s="82">
        <f t="shared" si="3"/>
        <v>0.2052</v>
      </c>
    </row>
    <row r="948">
      <c r="A948" s="83">
        <v>44698.0</v>
      </c>
      <c r="B948" s="83">
        <v>44698.0</v>
      </c>
      <c r="C948" s="66" t="s">
        <v>95</v>
      </c>
      <c r="D948" s="66" t="s">
        <v>221</v>
      </c>
      <c r="E948" s="66">
        <v>0.0</v>
      </c>
      <c r="F948" s="66" t="s">
        <v>228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2">
        <f t="shared" si="2"/>
        <v>2.3657</v>
      </c>
      <c r="L948" s="82">
        <f t="shared" si="3"/>
        <v>0.9232</v>
      </c>
    </row>
    <row r="949">
      <c r="A949" s="83">
        <v>44698.0</v>
      </c>
      <c r="B949" s="83">
        <v>44698.0</v>
      </c>
      <c r="C949" s="66" t="s">
        <v>236</v>
      </c>
      <c r="D949" s="66" t="s">
        <v>221</v>
      </c>
      <c r="E949" s="66">
        <v>0.0</v>
      </c>
      <c r="F949" s="66" t="s">
        <v>227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2">
        <f t="shared" si="2"/>
        <v>2.0849</v>
      </c>
      <c r="L949" s="82">
        <f t="shared" si="3"/>
        <v>0.4006</v>
      </c>
    </row>
    <row r="950">
      <c r="A950" s="83">
        <v>44698.0</v>
      </c>
      <c r="B950" s="83">
        <v>44698.0</v>
      </c>
      <c r="C950" s="66" t="s">
        <v>235</v>
      </c>
      <c r="D950" s="66" t="s">
        <v>221</v>
      </c>
      <c r="E950" s="66">
        <v>0.0</v>
      </c>
      <c r="F950" s="66" t="s">
        <v>227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2">
        <f t="shared" si="2"/>
        <v>1.0525</v>
      </c>
      <c r="L950" s="82">
        <f t="shared" si="3"/>
        <v>0.3796</v>
      </c>
    </row>
    <row r="951">
      <c r="A951" s="83">
        <v>44698.0</v>
      </c>
      <c r="B951" s="83">
        <v>44698.0</v>
      </c>
      <c r="C951" s="66" t="s">
        <v>236</v>
      </c>
      <c r="D951" s="66" t="s">
        <v>221</v>
      </c>
      <c r="E951" s="66">
        <v>0.0</v>
      </c>
      <c r="F951" s="66" t="s">
        <v>227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2">
        <f t="shared" si="2"/>
        <v>1.663</v>
      </c>
      <c r="L951" s="82">
        <f t="shared" si="3"/>
        <v>0.4403</v>
      </c>
    </row>
    <row r="952">
      <c r="A952" s="83">
        <v>44698.0</v>
      </c>
      <c r="B952" s="83">
        <v>44698.0</v>
      </c>
      <c r="C952" s="66" t="s">
        <v>236</v>
      </c>
      <c r="D952" s="66" t="s">
        <v>221</v>
      </c>
      <c r="E952" s="66">
        <v>0.0</v>
      </c>
      <c r="F952" s="66" t="s">
        <v>227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2">
        <f t="shared" si="2"/>
        <v>2.5465</v>
      </c>
      <c r="L952" s="82">
        <f t="shared" si="3"/>
        <v>0.7537</v>
      </c>
    </row>
    <row r="953">
      <c r="A953" s="83">
        <v>44698.0</v>
      </c>
      <c r="B953" s="83">
        <v>44698.0</v>
      </c>
      <c r="C953" s="66" t="s">
        <v>95</v>
      </c>
      <c r="D953" s="66" t="s">
        <v>221</v>
      </c>
      <c r="E953" s="66">
        <v>0.0</v>
      </c>
      <c r="F953" s="66" t="s">
        <v>228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2">
        <f t="shared" si="2"/>
        <v>2.7137</v>
      </c>
      <c r="L953" s="82">
        <f t="shared" si="3"/>
        <v>1.1461</v>
      </c>
    </row>
    <row r="954">
      <c r="A954" s="83">
        <v>44704.0</v>
      </c>
      <c r="B954" s="83">
        <v>44704.0</v>
      </c>
      <c r="C954" s="66">
        <v>2352.0</v>
      </c>
      <c r="D954" s="66" t="s">
        <v>226</v>
      </c>
      <c r="E954" s="66">
        <v>1.0</v>
      </c>
      <c r="F954" s="66" t="s">
        <v>228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2">
        <f t="shared" si="2"/>
        <v>1.2887</v>
      </c>
      <c r="L954" s="82">
        <f t="shared" si="3"/>
        <v>0.7002</v>
      </c>
    </row>
    <row r="955">
      <c r="A955" s="83">
        <v>44704.0</v>
      </c>
      <c r="B955" s="83">
        <v>44704.0</v>
      </c>
      <c r="C955" s="66">
        <v>2331.0</v>
      </c>
      <c r="D955" s="66" t="s">
        <v>226</v>
      </c>
      <c r="E955" s="66">
        <v>0.0</v>
      </c>
      <c r="F955" s="66" t="s">
        <v>228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2">
        <f t="shared" si="2"/>
        <v>0.4066</v>
      </c>
      <c r="L955" s="82">
        <f t="shared" si="3"/>
        <v>0.2006</v>
      </c>
    </row>
    <row r="956">
      <c r="A956" s="83">
        <v>44704.0</v>
      </c>
      <c r="B956" s="83">
        <v>44704.0</v>
      </c>
      <c r="C956" s="66">
        <v>2375.0</v>
      </c>
      <c r="D956" s="66" t="s">
        <v>226</v>
      </c>
      <c r="E956" s="66">
        <v>0.0</v>
      </c>
      <c r="F956" s="66" t="s">
        <v>228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2">
        <f t="shared" si="2"/>
        <v>1.6372</v>
      </c>
      <c r="L956" s="82">
        <f t="shared" si="3"/>
        <v>0.8239</v>
      </c>
    </row>
    <row r="957">
      <c r="A957" s="83">
        <v>44704.0</v>
      </c>
      <c r="B957" s="83">
        <v>44704.0</v>
      </c>
      <c r="C957" s="66">
        <v>2378.0</v>
      </c>
      <c r="D957" s="66" t="s">
        <v>226</v>
      </c>
      <c r="E957" s="66">
        <v>1.0</v>
      </c>
      <c r="F957" s="66" t="s">
        <v>227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2">
        <f t="shared" si="2"/>
        <v>0.2111</v>
      </c>
      <c r="L957" s="82">
        <f t="shared" si="3"/>
        <v>0.0891</v>
      </c>
    </row>
    <row r="958">
      <c r="A958" s="83">
        <v>44704.0</v>
      </c>
      <c r="B958" s="83">
        <v>44704.0</v>
      </c>
      <c r="C958" s="66">
        <v>2347.0</v>
      </c>
      <c r="D958" s="66" t="s">
        <v>226</v>
      </c>
      <c r="E958" s="66">
        <v>0.0</v>
      </c>
      <c r="F958" s="66" t="s">
        <v>228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2">
        <f t="shared" si="2"/>
        <v>1.6134</v>
      </c>
      <c r="L958" s="82">
        <f t="shared" si="3"/>
        <v>0.7665</v>
      </c>
    </row>
    <row r="959">
      <c r="A959" s="83">
        <v>44704.0</v>
      </c>
      <c r="B959" s="83">
        <v>44704.0</v>
      </c>
      <c r="C959" s="66">
        <v>2378.0</v>
      </c>
      <c r="D959" s="66" t="s">
        <v>226</v>
      </c>
      <c r="E959" s="66">
        <v>0.0</v>
      </c>
      <c r="F959" s="66" t="s">
        <v>228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2">
        <f t="shared" si="2"/>
        <v>1.2662</v>
      </c>
      <c r="L959" s="82">
        <f t="shared" si="3"/>
        <v>0.5654</v>
      </c>
    </row>
    <row r="960">
      <c r="A960" s="83">
        <v>44704.0</v>
      </c>
      <c r="B960" s="83">
        <v>44704.0</v>
      </c>
      <c r="C960" s="66">
        <v>2070.0</v>
      </c>
      <c r="D960" s="66" t="s">
        <v>226</v>
      </c>
      <c r="E960" s="66">
        <v>0.0</v>
      </c>
      <c r="F960" s="66" t="s">
        <v>228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2">
        <f t="shared" si="2"/>
        <v>0.5865</v>
      </c>
      <c r="L960" s="82">
        <f t="shared" si="3"/>
        <v>0.4531</v>
      </c>
    </row>
    <row r="961">
      <c r="A961" s="83">
        <v>44704.0</v>
      </c>
      <c r="B961" s="83">
        <v>44704.0</v>
      </c>
      <c r="C961" s="66">
        <v>2384.0</v>
      </c>
      <c r="D961" s="66" t="s">
        <v>226</v>
      </c>
      <c r="E961" s="66">
        <v>0.0</v>
      </c>
      <c r="F961" s="66" t="s">
        <v>228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2">
        <f t="shared" si="2"/>
        <v>1.208</v>
      </c>
      <c r="L961" s="82">
        <f t="shared" si="3"/>
        <v>0.5888</v>
      </c>
    </row>
    <row r="962">
      <c r="A962" s="83">
        <v>44704.0</v>
      </c>
      <c r="B962" s="83">
        <v>44704.0</v>
      </c>
      <c r="C962" s="66">
        <v>2380.0</v>
      </c>
      <c r="D962" s="66" t="s">
        <v>226</v>
      </c>
      <c r="E962" s="66">
        <v>0.0</v>
      </c>
      <c r="F962" s="66" t="s">
        <v>227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2">
        <f t="shared" si="2"/>
        <v>0.3614</v>
      </c>
      <c r="L962" s="82">
        <f t="shared" si="3"/>
        <v>0.1498</v>
      </c>
      <c r="N962" s="66" t="s">
        <v>233</v>
      </c>
    </row>
    <row r="963">
      <c r="A963" s="83">
        <v>44704.0</v>
      </c>
      <c r="B963" s="83">
        <v>44704.0</v>
      </c>
      <c r="C963" s="66">
        <v>2379.0</v>
      </c>
      <c r="D963" s="66" t="s">
        <v>226</v>
      </c>
      <c r="E963" s="66">
        <v>0.0</v>
      </c>
      <c r="F963" s="66" t="s">
        <v>228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2">
        <f t="shared" si="2"/>
        <v>1.5931</v>
      </c>
      <c r="L963" s="82">
        <f t="shared" si="3"/>
        <v>0.5879</v>
      </c>
    </row>
    <row r="964">
      <c r="A964" s="83">
        <v>44704.0</v>
      </c>
      <c r="B964" s="83">
        <v>44704.0</v>
      </c>
      <c r="C964" s="66">
        <v>2387.0</v>
      </c>
      <c r="D964" s="66" t="s">
        <v>226</v>
      </c>
      <c r="E964" s="66">
        <v>0.0</v>
      </c>
      <c r="F964" s="66" t="s">
        <v>228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2">
        <f t="shared" si="2"/>
        <v>1.8969</v>
      </c>
      <c r="L964" s="82">
        <f t="shared" si="3"/>
        <v>0.9081</v>
      </c>
    </row>
    <row r="965">
      <c r="A965" s="83">
        <v>44704.0</v>
      </c>
      <c r="B965" s="83">
        <v>44704.0</v>
      </c>
      <c r="C965" s="66">
        <v>2367.0</v>
      </c>
      <c r="D965" s="66" t="s">
        <v>226</v>
      </c>
      <c r="E965" s="66">
        <v>0.0</v>
      </c>
      <c r="F965" s="66" t="s">
        <v>228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2">
        <f t="shared" si="2"/>
        <v>0.6487</v>
      </c>
      <c r="L965" s="82">
        <f t="shared" si="3"/>
        <v>0.311</v>
      </c>
    </row>
    <row r="966">
      <c r="A966" s="83">
        <v>44704.0</v>
      </c>
      <c r="B966" s="83">
        <v>44704.0</v>
      </c>
      <c r="C966" s="66">
        <v>2380.0</v>
      </c>
      <c r="D966" s="66" t="s">
        <v>226</v>
      </c>
      <c r="E966" s="66">
        <v>0.0</v>
      </c>
      <c r="F966" s="66" t="s">
        <v>228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2">
        <f t="shared" si="2"/>
        <v>1.7825</v>
      </c>
      <c r="L966" s="82">
        <f t="shared" si="3"/>
        <v>0.9674</v>
      </c>
    </row>
    <row r="967">
      <c r="A967" s="83">
        <v>44704.0</v>
      </c>
      <c r="B967" s="83">
        <v>44704.0</v>
      </c>
      <c r="C967" s="66">
        <v>2376.0</v>
      </c>
      <c r="D967" s="66" t="s">
        <v>226</v>
      </c>
      <c r="E967" s="66">
        <v>1.0</v>
      </c>
      <c r="F967" s="66" t="s">
        <v>228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2">
        <f t="shared" si="2"/>
        <v>1.193</v>
      </c>
      <c r="L967" s="82">
        <f t="shared" si="3"/>
        <v>0.8911</v>
      </c>
    </row>
    <row r="968">
      <c r="A968" s="83">
        <v>44704.0</v>
      </c>
      <c r="B968" s="83">
        <v>44704.0</v>
      </c>
      <c r="C968" s="66">
        <v>2077.0</v>
      </c>
      <c r="D968" s="66" t="s">
        <v>226</v>
      </c>
      <c r="E968" s="66">
        <v>0.0</v>
      </c>
      <c r="F968" s="66" t="s">
        <v>227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2">
        <f t="shared" si="2"/>
        <v>0.0129</v>
      </c>
      <c r="L968" s="82">
        <f t="shared" si="3"/>
        <v>0.0003</v>
      </c>
    </row>
    <row r="969">
      <c r="A969" s="83">
        <v>44704.0</v>
      </c>
      <c r="B969" s="83">
        <v>44704.0</v>
      </c>
      <c r="C969" s="66">
        <v>2354.0</v>
      </c>
      <c r="D969" s="66" t="s">
        <v>226</v>
      </c>
      <c r="E969" s="66">
        <v>1.0</v>
      </c>
      <c r="F969" s="66" t="s">
        <v>228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2">
        <f t="shared" si="2"/>
        <v>2.4923</v>
      </c>
      <c r="L969" s="82">
        <f t="shared" si="3"/>
        <v>2</v>
      </c>
    </row>
    <row r="970">
      <c r="A970" s="83">
        <v>44704.0</v>
      </c>
      <c r="B970" s="83">
        <v>44704.0</v>
      </c>
      <c r="C970" s="66">
        <v>2382.0</v>
      </c>
      <c r="D970" s="66" t="s">
        <v>226</v>
      </c>
      <c r="E970" s="66">
        <v>1.0</v>
      </c>
      <c r="F970" s="66" t="s">
        <v>227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2">
        <f t="shared" si="2"/>
        <v>0.5574</v>
      </c>
      <c r="L970" s="82">
        <f t="shared" si="3"/>
        <v>0.1223</v>
      </c>
      <c r="N970" s="66" t="s">
        <v>233</v>
      </c>
    </row>
    <row r="971">
      <c r="A971" s="83">
        <v>44704.0</v>
      </c>
      <c r="B971" s="83">
        <v>44704.0</v>
      </c>
      <c r="C971" s="66">
        <v>2369.0</v>
      </c>
      <c r="D971" s="66" t="s">
        <v>226</v>
      </c>
      <c r="E971" s="66">
        <v>0.0</v>
      </c>
      <c r="F971" s="66" t="s">
        <v>228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2">
        <f t="shared" si="2"/>
        <v>2.111</v>
      </c>
      <c r="L971" s="82">
        <f t="shared" si="3"/>
        <v>0.8912</v>
      </c>
    </row>
    <row r="972">
      <c r="A972" s="83">
        <v>44704.0</v>
      </c>
      <c r="B972" s="83">
        <v>44704.0</v>
      </c>
      <c r="C972" s="66">
        <v>2370.0</v>
      </c>
      <c r="D972" s="66" t="s">
        <v>226</v>
      </c>
      <c r="E972" s="66">
        <v>0.0</v>
      </c>
      <c r="F972" s="66" t="s">
        <v>228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2">
        <f t="shared" si="2"/>
        <v>2.0316</v>
      </c>
      <c r="L972" s="82">
        <f t="shared" si="3"/>
        <v>1.0197</v>
      </c>
    </row>
    <row r="973">
      <c r="A973" s="83">
        <v>44704.0</v>
      </c>
      <c r="B973" s="83">
        <v>44704.0</v>
      </c>
      <c r="C973" s="66">
        <v>2383.0</v>
      </c>
      <c r="D973" s="66" t="s">
        <v>226</v>
      </c>
      <c r="E973" s="66">
        <v>1.0</v>
      </c>
      <c r="F973" s="66" t="s">
        <v>227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2">
        <f t="shared" si="2"/>
        <v>0.6271</v>
      </c>
      <c r="L973" s="82">
        <f t="shared" si="3"/>
        <v>0.0949</v>
      </c>
    </row>
    <row r="974">
      <c r="A974" s="83">
        <v>44704.0</v>
      </c>
      <c r="B974" s="83">
        <v>44704.0</v>
      </c>
      <c r="C974" s="66">
        <v>2352.0</v>
      </c>
      <c r="D974" s="66" t="s">
        <v>226</v>
      </c>
      <c r="E974" s="66">
        <v>1.0</v>
      </c>
      <c r="F974" s="66" t="s">
        <v>227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2">
        <f t="shared" si="2"/>
        <v>0.2541</v>
      </c>
      <c r="L974" s="82">
        <f t="shared" si="3"/>
        <v>0.0681</v>
      </c>
    </row>
    <row r="975">
      <c r="A975" s="83">
        <v>44704.0</v>
      </c>
      <c r="B975" s="83">
        <v>44704.0</v>
      </c>
      <c r="C975" s="66">
        <v>2009.0</v>
      </c>
      <c r="D975" s="66" t="s">
        <v>226</v>
      </c>
      <c r="E975" s="66">
        <v>1.0</v>
      </c>
      <c r="F975" s="66" t="s">
        <v>227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2">
        <f t="shared" si="2"/>
        <v>0.4677</v>
      </c>
      <c r="L975" s="82">
        <f t="shared" si="3"/>
        <v>0.2572</v>
      </c>
    </row>
    <row r="976">
      <c r="A976" s="83">
        <v>44704.0</v>
      </c>
      <c r="B976" s="83">
        <v>44704.0</v>
      </c>
      <c r="C976" s="66">
        <v>2384.0</v>
      </c>
      <c r="D976" s="66" t="s">
        <v>226</v>
      </c>
      <c r="E976" s="66">
        <v>0.0</v>
      </c>
      <c r="F976" s="66" t="s">
        <v>227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2">
        <f t="shared" si="2"/>
        <v>0.3039</v>
      </c>
      <c r="L976" s="82">
        <f t="shared" si="3"/>
        <v>0.2545</v>
      </c>
    </row>
    <row r="977">
      <c r="A977" s="83">
        <v>44704.0</v>
      </c>
      <c r="B977" s="83">
        <v>44704.0</v>
      </c>
      <c r="C977" s="66">
        <v>2343.0</v>
      </c>
      <c r="D977" s="66" t="s">
        <v>226</v>
      </c>
      <c r="E977" s="66">
        <v>1.0</v>
      </c>
      <c r="F977" s="66" t="s">
        <v>227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2">
        <f t="shared" si="2"/>
        <v>0.2009</v>
      </c>
      <c r="L977" s="82">
        <f t="shared" si="3"/>
        <v>0.1192</v>
      </c>
    </row>
    <row r="978">
      <c r="A978" s="83">
        <v>44704.0</v>
      </c>
      <c r="B978" s="83">
        <v>44704.0</v>
      </c>
      <c r="C978" s="66">
        <v>2365.0</v>
      </c>
      <c r="D978" s="66" t="s">
        <v>226</v>
      </c>
      <c r="E978" s="66">
        <v>0.0</v>
      </c>
      <c r="F978" s="66" t="s">
        <v>228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2">
        <f t="shared" si="2"/>
        <v>1.5009</v>
      </c>
      <c r="L978" s="82">
        <f t="shared" si="3"/>
        <v>0.5636</v>
      </c>
    </row>
    <row r="979">
      <c r="A979" s="83">
        <v>44704.0</v>
      </c>
      <c r="B979" s="83">
        <v>44704.0</v>
      </c>
      <c r="C979" s="66">
        <v>2369.0</v>
      </c>
      <c r="D979" s="66" t="s">
        <v>226</v>
      </c>
      <c r="E979" s="66">
        <v>0.0</v>
      </c>
      <c r="F979" s="66" t="s">
        <v>227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2">
        <f t="shared" si="2"/>
        <v>0.5606</v>
      </c>
      <c r="L979" s="82">
        <f t="shared" si="3"/>
        <v>0.082</v>
      </c>
    </row>
    <row r="980">
      <c r="A980" s="83">
        <v>44704.0</v>
      </c>
      <c r="B980" s="83">
        <v>44704.0</v>
      </c>
      <c r="C980" s="66">
        <v>2331.0</v>
      </c>
      <c r="D980" s="66" t="s">
        <v>226</v>
      </c>
      <c r="E980" s="66">
        <v>1.0</v>
      </c>
      <c r="F980" s="66" t="s">
        <v>228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2">
        <f t="shared" si="2"/>
        <v>1.1235</v>
      </c>
      <c r="L980" s="82">
        <f t="shared" si="3"/>
        <v>0.6339</v>
      </c>
    </row>
    <row r="981">
      <c r="A981" s="83">
        <v>44704.0</v>
      </c>
      <c r="B981" s="83">
        <v>44704.0</v>
      </c>
      <c r="C981" s="66">
        <v>2343.0</v>
      </c>
      <c r="D981" s="66" t="s">
        <v>226</v>
      </c>
      <c r="E981" s="66">
        <v>0.0</v>
      </c>
      <c r="F981" s="66" t="s">
        <v>227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2">
        <f t="shared" si="2"/>
        <v>0.2049</v>
      </c>
      <c r="L981" s="82">
        <f t="shared" si="3"/>
        <v>0.1256</v>
      </c>
    </row>
    <row r="982">
      <c r="A982" s="83">
        <v>44704.0</v>
      </c>
      <c r="B982" s="83">
        <v>44704.0</v>
      </c>
      <c r="C982" s="66">
        <v>2382.0</v>
      </c>
      <c r="D982" s="66" t="s">
        <v>226</v>
      </c>
      <c r="E982" s="66">
        <v>0.0</v>
      </c>
      <c r="F982" s="66" t="s">
        <v>227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2">
        <f t="shared" si="2"/>
        <v>0.2279</v>
      </c>
      <c r="L982" s="82">
        <f t="shared" si="3"/>
        <v>0.1169</v>
      </c>
    </row>
    <row r="983">
      <c r="A983" s="83">
        <v>44704.0</v>
      </c>
      <c r="B983" s="83">
        <v>44704.0</v>
      </c>
      <c r="C983" s="66">
        <v>2380.0</v>
      </c>
      <c r="D983" s="66" t="s">
        <v>226</v>
      </c>
      <c r="E983" s="66">
        <v>1.0</v>
      </c>
      <c r="F983" s="66" t="s">
        <v>228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2">
        <f t="shared" si="2"/>
        <v>1.0436</v>
      </c>
      <c r="L983" s="82">
        <f t="shared" si="3"/>
        <v>0.3815</v>
      </c>
    </row>
    <row r="984">
      <c r="A984" s="83">
        <v>44704.0</v>
      </c>
      <c r="B984" s="83">
        <v>44704.0</v>
      </c>
      <c r="C984" s="66">
        <v>2070.0</v>
      </c>
      <c r="D984" s="66" t="s">
        <v>226</v>
      </c>
      <c r="E984" s="66">
        <v>0.0</v>
      </c>
      <c r="F984" s="66" t="s">
        <v>227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2">
        <f t="shared" si="2"/>
        <v>0.5465</v>
      </c>
      <c r="L984" s="82">
        <f t="shared" si="3"/>
        <v>0.0618</v>
      </c>
    </row>
    <row r="985">
      <c r="A985" s="83">
        <v>44704.0</v>
      </c>
      <c r="B985" s="83">
        <v>44704.0</v>
      </c>
      <c r="C985" s="66">
        <v>2382.0</v>
      </c>
      <c r="D985" s="66" t="s">
        <v>226</v>
      </c>
      <c r="E985" s="66">
        <v>0.0</v>
      </c>
      <c r="F985" s="66" t="s">
        <v>228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2">
        <f t="shared" si="2"/>
        <v>2.2275</v>
      </c>
      <c r="L985" s="82">
        <f t="shared" si="3"/>
        <v>1.1233</v>
      </c>
    </row>
    <row r="986">
      <c r="A986" s="83">
        <v>44704.0</v>
      </c>
      <c r="B986" s="83">
        <v>44704.0</v>
      </c>
      <c r="C986" s="66">
        <v>2077.0</v>
      </c>
      <c r="D986" s="66" t="s">
        <v>226</v>
      </c>
      <c r="E986" s="66">
        <v>0.0</v>
      </c>
      <c r="F986" s="66" t="s">
        <v>228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2">
        <f t="shared" si="2"/>
        <v>1.6034</v>
      </c>
      <c r="L986" s="82">
        <f t="shared" si="3"/>
        <v>0.6117</v>
      </c>
    </row>
    <row r="987">
      <c r="A987" s="83">
        <v>44704.0</v>
      </c>
      <c r="B987" s="83">
        <v>44704.0</v>
      </c>
      <c r="C987" s="66">
        <v>2346.0</v>
      </c>
      <c r="D987" s="66" t="s">
        <v>226</v>
      </c>
      <c r="E987" s="66">
        <v>0.0</v>
      </c>
      <c r="F987" s="66" t="s">
        <v>228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2">
        <f t="shared" si="2"/>
        <v>1.4503</v>
      </c>
      <c r="L987" s="82">
        <f t="shared" si="3"/>
        <v>0.7575</v>
      </c>
    </row>
    <row r="988">
      <c r="A988" s="83">
        <v>44704.0</v>
      </c>
      <c r="B988" s="83">
        <v>44704.0</v>
      </c>
      <c r="C988" s="66">
        <v>2369.0</v>
      </c>
      <c r="D988" s="66" t="s">
        <v>226</v>
      </c>
      <c r="E988" s="66">
        <v>1.0</v>
      </c>
      <c r="F988" s="66" t="s">
        <v>227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2">
        <f t="shared" si="2"/>
        <v>0.6106</v>
      </c>
      <c r="L988" s="82">
        <f t="shared" si="3"/>
        <v>0.3359</v>
      </c>
    </row>
    <row r="989">
      <c r="A989" s="83">
        <v>44704.0</v>
      </c>
      <c r="B989" s="83">
        <v>44704.0</v>
      </c>
      <c r="C989" s="66">
        <v>2371.0</v>
      </c>
      <c r="D989" s="66" t="s">
        <v>226</v>
      </c>
      <c r="E989" s="66">
        <v>0.0</v>
      </c>
      <c r="F989" s="66" t="s">
        <v>228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2">
        <f t="shared" si="2"/>
        <v>2.9027</v>
      </c>
      <c r="L989" s="82">
        <f t="shared" si="3"/>
        <v>1.2556</v>
      </c>
    </row>
    <row r="990">
      <c r="A990" s="83">
        <v>44704.0</v>
      </c>
      <c r="B990" s="83">
        <v>44704.0</v>
      </c>
      <c r="C990" s="66">
        <v>2360.0</v>
      </c>
      <c r="D990" s="66" t="s">
        <v>226</v>
      </c>
      <c r="E990" s="66">
        <v>1.0</v>
      </c>
      <c r="F990" s="66" t="s">
        <v>227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2">
        <f t="shared" si="2"/>
        <v>0.6371</v>
      </c>
      <c r="L990" s="82">
        <f t="shared" si="3"/>
        <v>0.4769</v>
      </c>
    </row>
    <row r="991">
      <c r="A991" s="83">
        <v>44704.0</v>
      </c>
      <c r="B991" s="83">
        <v>44704.0</v>
      </c>
      <c r="C991" s="66">
        <v>2372.0</v>
      </c>
      <c r="D991" s="66" t="s">
        <v>226</v>
      </c>
      <c r="E991" s="66">
        <v>0.0</v>
      </c>
      <c r="F991" s="66" t="s">
        <v>228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2">
        <f t="shared" si="2"/>
        <v>2.6141</v>
      </c>
      <c r="L991" s="82">
        <f t="shared" si="3"/>
        <v>1.3881</v>
      </c>
    </row>
    <row r="992">
      <c r="A992" s="83">
        <v>44704.0</v>
      </c>
      <c r="B992" s="83">
        <v>44704.0</v>
      </c>
      <c r="C992" s="66">
        <v>2009.0</v>
      </c>
      <c r="D992" s="66" t="s">
        <v>226</v>
      </c>
      <c r="E992" s="66">
        <v>0.0</v>
      </c>
      <c r="F992" s="66" t="s">
        <v>228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2">
        <f t="shared" si="2"/>
        <v>0.9506</v>
      </c>
      <c r="L992" s="82">
        <f t="shared" si="3"/>
        <v>0.698</v>
      </c>
    </row>
    <row r="993">
      <c r="A993" s="83">
        <v>44704.0</v>
      </c>
      <c r="B993" s="83">
        <v>44704.0</v>
      </c>
      <c r="C993" s="66">
        <v>2345.0</v>
      </c>
      <c r="D993" s="66" t="s">
        <v>226</v>
      </c>
      <c r="E993" s="66">
        <v>0.0</v>
      </c>
      <c r="F993" s="66" t="s">
        <v>228</v>
      </c>
      <c r="G993" s="66">
        <v>0.0</v>
      </c>
      <c r="H993" s="66">
        <v>15.448</v>
      </c>
      <c r="I993" s="66">
        <v>15.867</v>
      </c>
      <c r="J993" s="66">
        <v>15.6445</v>
      </c>
      <c r="K993" s="82">
        <f t="shared" si="2"/>
        <v>0.419</v>
      </c>
      <c r="L993" s="82">
        <f t="shared" si="3"/>
        <v>0.1965</v>
      </c>
    </row>
    <row r="994">
      <c r="A994" s="83">
        <v>44704.0</v>
      </c>
      <c r="B994" s="83">
        <v>44704.0</v>
      </c>
      <c r="C994" s="66">
        <v>2077.0</v>
      </c>
      <c r="D994" s="66" t="s">
        <v>226</v>
      </c>
      <c r="E994" s="66">
        <v>1.0</v>
      </c>
      <c r="F994" s="66" t="s">
        <v>227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2">
        <f t="shared" si="2"/>
        <v>0.3909</v>
      </c>
      <c r="L994" s="82">
        <f t="shared" si="3"/>
        <v>0.1928</v>
      </c>
    </row>
    <row r="995">
      <c r="A995" s="83">
        <v>44704.0</v>
      </c>
      <c r="B995" s="83">
        <v>44704.0</v>
      </c>
      <c r="C995" s="66">
        <v>2343.0</v>
      </c>
      <c r="D995" s="66" t="s">
        <v>226</v>
      </c>
      <c r="E995" s="66">
        <v>0.0</v>
      </c>
      <c r="F995" s="66" t="s">
        <v>228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2">
        <f t="shared" si="2"/>
        <v>1.2272</v>
      </c>
      <c r="L995" s="82">
        <f t="shared" si="3"/>
        <v>0.7563</v>
      </c>
    </row>
    <row r="996">
      <c r="A996" s="83">
        <v>44704.0</v>
      </c>
      <c r="B996" s="83">
        <v>44704.0</v>
      </c>
      <c r="C996" s="66">
        <v>2378.0</v>
      </c>
      <c r="D996" s="66" t="s">
        <v>226</v>
      </c>
      <c r="E996" s="66">
        <v>0.0</v>
      </c>
      <c r="F996" s="66" t="s">
        <v>227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2">
        <f t="shared" si="2"/>
        <v>0.5805</v>
      </c>
      <c r="L996" s="82">
        <f t="shared" si="3"/>
        <v>0.0761</v>
      </c>
    </row>
    <row r="997">
      <c r="A997" s="83">
        <v>44704.0</v>
      </c>
      <c r="B997" s="83">
        <v>44704.0</v>
      </c>
      <c r="C997" s="66">
        <v>2009.0</v>
      </c>
      <c r="D997" s="66" t="s">
        <v>226</v>
      </c>
      <c r="E997" s="66">
        <v>0.0</v>
      </c>
      <c r="F997" s="66" t="s">
        <v>227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2">
        <f t="shared" si="2"/>
        <v>0.6202</v>
      </c>
      <c r="L997" s="82">
        <f t="shared" si="3"/>
        <v>0.0755</v>
      </c>
    </row>
    <row r="998">
      <c r="A998" s="83">
        <v>44704.0</v>
      </c>
      <c r="B998" s="83">
        <v>44704.0</v>
      </c>
      <c r="C998" s="66">
        <v>2383.0</v>
      </c>
      <c r="D998" s="66" t="s">
        <v>226</v>
      </c>
      <c r="E998" s="66">
        <v>0.0</v>
      </c>
      <c r="F998" s="66" t="s">
        <v>227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2">
        <f t="shared" si="2"/>
        <v>0.3432</v>
      </c>
      <c r="L998" s="82">
        <f t="shared" si="3"/>
        <v>0.3017</v>
      </c>
    </row>
    <row r="999">
      <c r="A999" s="83">
        <v>44704.0</v>
      </c>
      <c r="B999" s="83">
        <v>44704.0</v>
      </c>
      <c r="C999" s="66">
        <v>2383.0</v>
      </c>
      <c r="D999" s="66" t="s">
        <v>226</v>
      </c>
      <c r="E999" s="66">
        <v>0.0</v>
      </c>
      <c r="F999" s="66" t="s">
        <v>228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2">
        <f t="shared" si="2"/>
        <v>0.5912</v>
      </c>
      <c r="L999" s="82">
        <f t="shared" si="3"/>
        <v>0.4748</v>
      </c>
    </row>
    <row r="1000">
      <c r="A1000" s="83">
        <v>44704.0</v>
      </c>
      <c r="B1000" s="83">
        <v>44704.0</v>
      </c>
      <c r="C1000" s="66">
        <v>2301.0</v>
      </c>
      <c r="D1000" s="66" t="s">
        <v>226</v>
      </c>
      <c r="E1000" s="66">
        <v>0.0</v>
      </c>
      <c r="F1000" s="66" t="s">
        <v>228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2">
        <f t="shared" si="2"/>
        <v>2.0096</v>
      </c>
      <c r="L1000" s="82">
        <f t="shared" si="3"/>
        <v>1.1848</v>
      </c>
    </row>
    <row r="1001">
      <c r="A1001" s="83">
        <v>44704.0</v>
      </c>
      <c r="B1001" s="83">
        <v>44704.0</v>
      </c>
      <c r="C1001" s="66">
        <v>2380.0</v>
      </c>
      <c r="D1001" s="66" t="s">
        <v>226</v>
      </c>
      <c r="E1001" s="66">
        <v>1.0</v>
      </c>
      <c r="F1001" s="66" t="s">
        <v>227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2">
        <f t="shared" si="2"/>
        <v>0.0833</v>
      </c>
      <c r="L1001" s="82">
        <f t="shared" si="3"/>
        <v>0.1984</v>
      </c>
    </row>
    <row r="1002">
      <c r="A1002" s="83">
        <v>44704.0</v>
      </c>
      <c r="B1002" s="83">
        <v>44704.0</v>
      </c>
      <c r="C1002" s="66">
        <v>2377.0</v>
      </c>
      <c r="D1002" s="66" t="s">
        <v>226</v>
      </c>
      <c r="E1002" s="66">
        <v>1.0</v>
      </c>
      <c r="F1002" s="66" t="s">
        <v>228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2">
        <f t="shared" si="2"/>
        <v>1.2026</v>
      </c>
      <c r="L1002" s="82">
        <f t="shared" si="3"/>
        <v>0.9265</v>
      </c>
    </row>
    <row r="1003">
      <c r="A1003" s="83">
        <v>44704.0</v>
      </c>
      <c r="B1003" s="83">
        <v>44704.0</v>
      </c>
      <c r="C1003" s="66">
        <v>2345.0</v>
      </c>
      <c r="D1003" s="66" t="s">
        <v>226</v>
      </c>
      <c r="E1003" s="66">
        <v>1.0</v>
      </c>
      <c r="F1003" s="66" t="s">
        <v>228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2">
        <f t="shared" si="2"/>
        <v>0.9444</v>
      </c>
      <c r="L1003" s="82">
        <f t="shared" si="3"/>
        <v>0.5211</v>
      </c>
    </row>
    <row r="1004">
      <c r="A1004" s="83">
        <v>44704.0</v>
      </c>
      <c r="B1004" s="83">
        <v>44704.0</v>
      </c>
      <c r="C1004" s="66">
        <v>2070.0</v>
      </c>
      <c r="D1004" s="66" t="s">
        <v>226</v>
      </c>
      <c r="E1004" s="66">
        <v>1.0</v>
      </c>
      <c r="F1004" s="66" t="s">
        <v>227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2">
        <f t="shared" si="2"/>
        <v>0.2955</v>
      </c>
      <c r="L1004" s="82">
        <f t="shared" si="3"/>
        <v>0.2244</v>
      </c>
    </row>
    <row r="1005">
      <c r="A1005" s="83">
        <v>44704.0</v>
      </c>
      <c r="B1005" s="83">
        <v>44704.0</v>
      </c>
      <c r="C1005" s="66">
        <v>2384.0</v>
      </c>
      <c r="D1005" s="66" t="s">
        <v>226</v>
      </c>
      <c r="E1005" s="66">
        <v>1.0</v>
      </c>
      <c r="F1005" s="66" t="s">
        <v>227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2">
        <f t="shared" si="2"/>
        <v>0.4102</v>
      </c>
      <c r="L1005" s="82">
        <f t="shared" si="3"/>
        <v>0.2008</v>
      </c>
    </row>
    <row r="1006">
      <c r="A1006" s="83">
        <v>44704.0</v>
      </c>
      <c r="B1006" s="83">
        <v>44704.0</v>
      </c>
      <c r="C1006" s="66">
        <v>2331.0</v>
      </c>
      <c r="D1006" s="66" t="s">
        <v>226</v>
      </c>
      <c r="E1006" s="66">
        <v>0.0</v>
      </c>
      <c r="F1006" s="66" t="s">
        <v>227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2">
        <f t="shared" si="2"/>
        <v>0.0896</v>
      </c>
      <c r="L1006" s="82">
        <f t="shared" si="3"/>
        <v>0.0568</v>
      </c>
    </row>
    <row r="1007">
      <c r="A1007" s="83">
        <v>44704.0</v>
      </c>
      <c r="B1007" s="83">
        <v>44704.0</v>
      </c>
      <c r="C1007" s="66">
        <v>2372.0</v>
      </c>
      <c r="D1007" s="66" t="s">
        <v>226</v>
      </c>
      <c r="E1007" s="66">
        <v>0.0</v>
      </c>
      <c r="F1007" s="66" t="s">
        <v>227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2">
        <f t="shared" si="2"/>
        <v>0.3404</v>
      </c>
      <c r="L1007" s="82">
        <f t="shared" si="3"/>
        <v>0.174</v>
      </c>
    </row>
    <row r="1008">
      <c r="A1008" s="83">
        <v>44704.0</v>
      </c>
      <c r="B1008" s="83">
        <v>44704.0</v>
      </c>
      <c r="C1008" s="66">
        <v>2375.0</v>
      </c>
      <c r="D1008" s="66" t="s">
        <v>226</v>
      </c>
      <c r="E1008" s="66">
        <v>1.0</v>
      </c>
      <c r="F1008" s="66" t="s">
        <v>227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2">
        <f t="shared" si="2"/>
        <v>0.3087</v>
      </c>
      <c r="L1008" s="82">
        <f t="shared" si="3"/>
        <v>0.1816</v>
      </c>
    </row>
    <row r="1009">
      <c r="A1009" s="83">
        <v>44704.0</v>
      </c>
      <c r="B1009" s="83">
        <v>44704.0</v>
      </c>
      <c r="C1009" s="66">
        <v>2360.0</v>
      </c>
      <c r="D1009" s="66" t="s">
        <v>226</v>
      </c>
      <c r="E1009" s="66">
        <v>1.0</v>
      </c>
      <c r="F1009" s="66" t="s">
        <v>227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2">
        <f t="shared" si="2"/>
        <v>0.2229</v>
      </c>
      <c r="L1009" s="82">
        <f t="shared" si="3"/>
        <v>0.1474</v>
      </c>
    </row>
    <row r="1010">
      <c r="A1010" s="83">
        <v>44704.0</v>
      </c>
      <c r="B1010" s="83">
        <v>44704.0</v>
      </c>
      <c r="C1010" s="66">
        <v>2381.0</v>
      </c>
      <c r="D1010" s="66" t="s">
        <v>226</v>
      </c>
      <c r="E1010" s="66">
        <v>1.0</v>
      </c>
      <c r="F1010" s="66" t="s">
        <v>227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2">
        <f t="shared" si="2"/>
        <v>0.1571</v>
      </c>
      <c r="L1010" s="82">
        <f t="shared" si="3"/>
        <v>0.0926</v>
      </c>
    </row>
    <row r="1011">
      <c r="A1011" s="83">
        <v>44704.0</v>
      </c>
      <c r="B1011" s="83">
        <v>44704.0</v>
      </c>
      <c r="C1011" s="66">
        <v>2367.0</v>
      </c>
      <c r="D1011" s="66" t="s">
        <v>226</v>
      </c>
      <c r="E1011" s="66">
        <v>1.0</v>
      </c>
      <c r="F1011" s="66" t="s">
        <v>227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2">
        <f t="shared" si="2"/>
        <v>0.1653</v>
      </c>
      <c r="L1011" s="82">
        <f t="shared" si="3"/>
        <v>0.1062</v>
      </c>
    </row>
    <row r="1012">
      <c r="A1012" s="83">
        <v>44704.0</v>
      </c>
      <c r="B1012" s="83">
        <v>44704.0</v>
      </c>
      <c r="C1012" s="66">
        <v>2370.0</v>
      </c>
      <c r="D1012" s="66" t="s">
        <v>226</v>
      </c>
      <c r="E1012" s="66">
        <v>1.0</v>
      </c>
      <c r="F1012" s="66" t="s">
        <v>227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2">
        <f t="shared" si="2"/>
        <v>0.5785</v>
      </c>
      <c r="L1012" s="82">
        <f t="shared" si="3"/>
        <v>0.3437</v>
      </c>
    </row>
    <row r="1013">
      <c r="A1013" s="83">
        <v>44704.0</v>
      </c>
      <c r="B1013" s="83">
        <v>44704.0</v>
      </c>
      <c r="C1013" s="66">
        <v>2381.0</v>
      </c>
      <c r="D1013" s="66" t="s">
        <v>226</v>
      </c>
      <c r="E1013" s="66">
        <v>0.0</v>
      </c>
      <c r="F1013" s="66" t="s">
        <v>227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2">
        <f t="shared" si="2"/>
        <v>0.195</v>
      </c>
      <c r="L1013" s="82">
        <f t="shared" si="3"/>
        <v>0.1099</v>
      </c>
    </row>
    <row r="1014">
      <c r="A1014" s="83">
        <v>44704.0</v>
      </c>
      <c r="B1014" s="83">
        <v>44704.0</v>
      </c>
      <c r="C1014" s="66">
        <v>2354.0</v>
      </c>
      <c r="D1014" s="66" t="s">
        <v>226</v>
      </c>
      <c r="E1014" s="66">
        <v>1.0</v>
      </c>
      <c r="F1014" s="66" t="s">
        <v>227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2">
        <f t="shared" si="2"/>
        <v>0.2828</v>
      </c>
      <c r="L1014" s="82">
        <f t="shared" si="3"/>
        <v>0.172</v>
      </c>
    </row>
    <row r="1015">
      <c r="A1015" s="83">
        <v>44704.0</v>
      </c>
      <c r="B1015" s="83">
        <v>44704.0</v>
      </c>
      <c r="C1015" s="66">
        <v>2347.0</v>
      </c>
      <c r="D1015" s="66" t="s">
        <v>226</v>
      </c>
      <c r="E1015" s="66">
        <v>0.0</v>
      </c>
      <c r="F1015" s="66" t="s">
        <v>227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2">
        <f t="shared" si="2"/>
        <v>0.2151</v>
      </c>
      <c r="L1015" s="82">
        <f t="shared" si="3"/>
        <v>0.1188</v>
      </c>
    </row>
    <row r="1016">
      <c r="A1016" s="83">
        <v>44704.0</v>
      </c>
      <c r="B1016" s="83">
        <v>44704.0</v>
      </c>
      <c r="C1016" s="66">
        <v>2379.0</v>
      </c>
      <c r="D1016" s="66" t="s">
        <v>226</v>
      </c>
      <c r="E1016" s="66">
        <v>0.0</v>
      </c>
      <c r="F1016" s="66" t="s">
        <v>227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2">
        <f t="shared" si="2"/>
        <v>0.054</v>
      </c>
      <c r="L1016" s="82">
        <f t="shared" si="3"/>
        <v>0.0359</v>
      </c>
    </row>
    <row r="1017">
      <c r="A1017" s="83">
        <v>44704.0</v>
      </c>
      <c r="B1017" s="83">
        <v>44704.0</v>
      </c>
      <c r="C1017" s="66">
        <v>2372.0</v>
      </c>
      <c r="D1017" s="66" t="s">
        <v>226</v>
      </c>
      <c r="E1017" s="66">
        <v>1.0</v>
      </c>
      <c r="F1017" s="66" t="s">
        <v>227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2">
        <f t="shared" si="2"/>
        <v>0.5673</v>
      </c>
      <c r="L1017" s="82">
        <f t="shared" si="3"/>
        <v>0.3548</v>
      </c>
    </row>
    <row r="1018">
      <c r="A1018" s="83">
        <v>44704.0</v>
      </c>
      <c r="B1018" s="83">
        <v>44704.0</v>
      </c>
      <c r="C1018" s="66">
        <v>2301.0</v>
      </c>
      <c r="D1018" s="66" t="s">
        <v>226</v>
      </c>
      <c r="E1018" s="66">
        <v>1.0</v>
      </c>
      <c r="F1018" s="66" t="s">
        <v>227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2">
        <f t="shared" si="2"/>
        <v>0.2406</v>
      </c>
      <c r="L1018" s="82">
        <f t="shared" si="3"/>
        <v>0.1472</v>
      </c>
    </row>
    <row r="1019">
      <c r="A1019" s="83">
        <v>44704.0</v>
      </c>
      <c r="B1019" s="83">
        <v>44704.0</v>
      </c>
      <c r="C1019" s="66">
        <v>2365.0</v>
      </c>
      <c r="D1019" s="66" t="s">
        <v>226</v>
      </c>
      <c r="E1019" s="66">
        <v>0.0</v>
      </c>
      <c r="F1019" s="66" t="s">
        <v>227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2">
        <f t="shared" si="2"/>
        <v>0.0997</v>
      </c>
      <c r="L1019" s="82">
        <f t="shared" si="3"/>
        <v>0.061</v>
      </c>
    </row>
    <row r="1020">
      <c r="A1020" s="83">
        <v>44704.0</v>
      </c>
      <c r="B1020" s="83">
        <v>44704.0</v>
      </c>
      <c r="C1020" s="66">
        <v>2360.0</v>
      </c>
      <c r="D1020" s="66" t="s">
        <v>226</v>
      </c>
      <c r="E1020" s="66">
        <v>0.0</v>
      </c>
      <c r="F1020" s="66" t="s">
        <v>227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2">
        <f t="shared" si="2"/>
        <v>0.2118</v>
      </c>
      <c r="L1020" s="82">
        <f t="shared" si="3"/>
        <v>0.1285</v>
      </c>
      <c r="M1020" s="66">
        <v>2.1</v>
      </c>
    </row>
    <row r="1021">
      <c r="A1021" s="83">
        <v>44704.0</v>
      </c>
      <c r="B1021" s="83">
        <v>44704.0</v>
      </c>
      <c r="C1021" s="66">
        <v>2347.0</v>
      </c>
      <c r="D1021" s="66" t="s">
        <v>226</v>
      </c>
      <c r="E1021" s="66">
        <v>1.0</v>
      </c>
      <c r="F1021" s="66" t="s">
        <v>227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2">
        <f t="shared" si="2"/>
        <v>0.5265</v>
      </c>
      <c r="L1021" s="82">
        <f t="shared" si="3"/>
        <v>0.3162</v>
      </c>
      <c r="M1021" s="66">
        <v>2.2</v>
      </c>
    </row>
    <row r="1022">
      <c r="A1022" s="83">
        <v>44704.0</v>
      </c>
      <c r="B1022" s="83">
        <v>44704.0</v>
      </c>
      <c r="C1022" s="66">
        <v>2345.0</v>
      </c>
      <c r="D1022" s="66" t="s">
        <v>226</v>
      </c>
      <c r="E1022" s="66">
        <v>0.0</v>
      </c>
      <c r="F1022" s="66" t="s">
        <v>227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2">
        <f t="shared" si="2"/>
        <v>0.0182</v>
      </c>
      <c r="L1022" s="82">
        <f t="shared" si="3"/>
        <v>0.008</v>
      </c>
      <c r="M1022" s="66">
        <v>5.0</v>
      </c>
    </row>
    <row r="1023">
      <c r="A1023" s="83">
        <v>44704.0</v>
      </c>
      <c r="B1023" s="83">
        <v>44704.0</v>
      </c>
      <c r="C1023" s="66">
        <v>2379.0</v>
      </c>
      <c r="D1023" s="66" t="s">
        <v>226</v>
      </c>
      <c r="E1023" s="66">
        <v>1.0</v>
      </c>
      <c r="F1023" s="66" t="s">
        <v>227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2">
        <f t="shared" si="2"/>
        <v>0.219</v>
      </c>
      <c r="L1023" s="82">
        <f t="shared" si="3"/>
        <v>0.1377</v>
      </c>
      <c r="M1023" s="66">
        <v>4.0</v>
      </c>
    </row>
    <row r="1024">
      <c r="A1024" s="83">
        <v>44704.0</v>
      </c>
      <c r="B1024" s="83">
        <v>44704.0</v>
      </c>
      <c r="C1024" s="66">
        <v>2367.0</v>
      </c>
      <c r="D1024" s="66" t="s">
        <v>226</v>
      </c>
      <c r="E1024" s="66">
        <v>0.0</v>
      </c>
      <c r="F1024" s="66" t="s">
        <v>227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2">
        <f t="shared" si="2"/>
        <v>0.0396</v>
      </c>
      <c r="L1024" s="82">
        <f t="shared" si="3"/>
        <v>0.0265</v>
      </c>
      <c r="M1024" s="66">
        <v>3.0</v>
      </c>
    </row>
    <row r="1025">
      <c r="A1025" s="83">
        <v>44704.0</v>
      </c>
      <c r="B1025" s="83">
        <v>44704.0</v>
      </c>
      <c r="C1025" s="66">
        <v>2346.0</v>
      </c>
      <c r="D1025" s="66" t="s">
        <v>226</v>
      </c>
      <c r="E1025" s="66">
        <v>0.0</v>
      </c>
      <c r="F1025" s="66" t="s">
        <v>227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2">
        <f t="shared" si="2"/>
        <v>0.0905</v>
      </c>
      <c r="L1025" s="82">
        <f t="shared" si="3"/>
        <v>0.0607</v>
      </c>
    </row>
    <row r="1026">
      <c r="A1026" s="83">
        <v>44704.0</v>
      </c>
      <c r="B1026" s="83">
        <v>44704.0</v>
      </c>
      <c r="C1026" s="66">
        <v>2365.0</v>
      </c>
      <c r="D1026" s="66" t="s">
        <v>226</v>
      </c>
      <c r="E1026" s="66">
        <v>1.0</v>
      </c>
      <c r="F1026" s="66" t="s">
        <v>227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2">
        <f t="shared" si="2"/>
        <v>0.2815</v>
      </c>
      <c r="L1026" s="82">
        <f t="shared" si="3"/>
        <v>0.1731</v>
      </c>
      <c r="M1026" s="66">
        <v>5.0</v>
      </c>
    </row>
    <row r="1027">
      <c r="A1027" s="83">
        <v>44704.0</v>
      </c>
      <c r="B1027" s="83">
        <v>44704.0</v>
      </c>
      <c r="C1027" s="66">
        <v>2371.0</v>
      </c>
      <c r="D1027" s="66" t="s">
        <v>226</v>
      </c>
      <c r="E1027" s="66">
        <v>0.0</v>
      </c>
      <c r="F1027" s="66" t="s">
        <v>227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2">
        <f t="shared" si="2"/>
        <v>0.384</v>
      </c>
      <c r="L1027" s="82">
        <f t="shared" si="3"/>
        <v>0.2111</v>
      </c>
      <c r="M1027" s="66">
        <v>4.0</v>
      </c>
    </row>
    <row r="1028">
      <c r="A1028" s="83">
        <v>44704.0</v>
      </c>
      <c r="B1028" s="83">
        <v>44704.0</v>
      </c>
      <c r="C1028" s="66">
        <v>2377.0</v>
      </c>
      <c r="D1028" s="66" t="s">
        <v>226</v>
      </c>
      <c r="E1028" s="66">
        <v>1.0</v>
      </c>
      <c r="F1028" s="66" t="s">
        <v>227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2">
        <f t="shared" si="2"/>
        <v>0.214</v>
      </c>
      <c r="L1028" s="82">
        <f t="shared" si="3"/>
        <v>0.132</v>
      </c>
      <c r="M1028" s="66">
        <v>1.0</v>
      </c>
    </row>
    <row r="1029">
      <c r="A1029" s="83">
        <v>44704.0</v>
      </c>
      <c r="B1029" s="83">
        <v>44704.0</v>
      </c>
      <c r="C1029" s="66">
        <v>2331.0</v>
      </c>
      <c r="D1029" s="66" t="s">
        <v>226</v>
      </c>
      <c r="E1029" s="66">
        <v>1.0</v>
      </c>
      <c r="F1029" s="66" t="s">
        <v>227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2">
        <f t="shared" si="2"/>
        <v>0.3805</v>
      </c>
      <c r="L1029" s="82">
        <f t="shared" si="3"/>
        <v>0.2362</v>
      </c>
      <c r="M1029" s="66">
        <v>4.0</v>
      </c>
    </row>
    <row r="1030">
      <c r="A1030" s="83">
        <v>44704.0</v>
      </c>
      <c r="B1030" s="83">
        <v>44704.0</v>
      </c>
      <c r="C1030" s="66">
        <v>2346.0</v>
      </c>
      <c r="D1030" s="66" t="s">
        <v>226</v>
      </c>
      <c r="E1030" s="66">
        <v>1.0</v>
      </c>
      <c r="F1030" s="66" t="s">
        <v>227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2">
        <f t="shared" si="2"/>
        <v>0.5551</v>
      </c>
      <c r="L1030" s="82">
        <f t="shared" si="3"/>
        <v>0.3479</v>
      </c>
      <c r="M1030" s="66">
        <v>4.0</v>
      </c>
    </row>
    <row r="1031">
      <c r="A1031" s="83">
        <v>44704.0</v>
      </c>
      <c r="B1031" s="83">
        <v>44704.0</v>
      </c>
      <c r="C1031" s="66">
        <v>2370.0</v>
      </c>
      <c r="D1031" s="66" t="s">
        <v>226</v>
      </c>
      <c r="E1031" s="66">
        <v>0.0</v>
      </c>
      <c r="F1031" s="66" t="s">
        <v>227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2">
        <f t="shared" si="2"/>
        <v>0.1508</v>
      </c>
      <c r="L1031" s="82">
        <f t="shared" si="3"/>
        <v>0.0882</v>
      </c>
      <c r="M1031" s="66">
        <v>1.0</v>
      </c>
    </row>
    <row r="1032">
      <c r="A1032" s="83">
        <v>44704.0</v>
      </c>
      <c r="B1032" s="83">
        <v>44704.0</v>
      </c>
      <c r="C1032" s="66">
        <v>2345.0</v>
      </c>
      <c r="D1032" s="66" t="s">
        <v>226</v>
      </c>
      <c r="E1032" s="66">
        <v>1.0</v>
      </c>
      <c r="F1032" s="66" t="s">
        <v>227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2">
        <f t="shared" si="2"/>
        <v>0.2365</v>
      </c>
      <c r="L1032" s="82">
        <f t="shared" si="3"/>
        <v>1.1388</v>
      </c>
    </row>
    <row r="1033">
      <c r="A1033" s="83">
        <v>44704.0</v>
      </c>
      <c r="B1033" s="83">
        <v>44704.0</v>
      </c>
      <c r="C1033" s="66">
        <v>2375.0</v>
      </c>
      <c r="D1033" s="66" t="s">
        <v>226</v>
      </c>
      <c r="E1033" s="66">
        <v>0.0</v>
      </c>
      <c r="F1033" s="66" t="s">
        <v>227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2">
        <f t="shared" si="2"/>
        <v>0.1922</v>
      </c>
      <c r="L1033" s="82">
        <f t="shared" si="3"/>
        <v>0.1085</v>
      </c>
      <c r="M1033" s="66">
        <v>2.2</v>
      </c>
    </row>
    <row r="1034">
      <c r="A1034" s="83">
        <v>44704.0</v>
      </c>
      <c r="B1034" s="83">
        <v>44704.0</v>
      </c>
      <c r="C1034" s="66">
        <v>2376.0</v>
      </c>
      <c r="D1034" s="66" t="s">
        <v>226</v>
      </c>
      <c r="E1034" s="66">
        <v>1.0</v>
      </c>
      <c r="F1034" s="66" t="s">
        <v>227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2">
        <f t="shared" si="2"/>
        <v>0.2013</v>
      </c>
      <c r="L1034" s="82">
        <f t="shared" si="3"/>
        <v>0.1323</v>
      </c>
      <c r="M1034" s="66">
        <v>2.1</v>
      </c>
    </row>
    <row r="1035">
      <c r="A1035" s="83">
        <v>44704.0</v>
      </c>
      <c r="B1035" s="83">
        <v>44704.0</v>
      </c>
      <c r="C1035" s="66">
        <v>2371.0</v>
      </c>
      <c r="D1035" s="66" t="s">
        <v>226</v>
      </c>
      <c r="E1035" s="66">
        <v>1.0</v>
      </c>
      <c r="F1035" s="66" t="s">
        <v>227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2">
        <f t="shared" si="2"/>
        <v>0.3995</v>
      </c>
      <c r="L1035" s="82">
        <f t="shared" si="3"/>
        <v>0.2343</v>
      </c>
    </row>
    <row r="1036">
      <c r="A1036" s="83">
        <v>44704.0</v>
      </c>
      <c r="B1036" s="83">
        <v>44704.0</v>
      </c>
      <c r="C1036" s="66">
        <v>2029.0</v>
      </c>
      <c r="D1036" s="66" t="s">
        <v>221</v>
      </c>
      <c r="E1036" s="66">
        <v>0.0</v>
      </c>
      <c r="F1036" s="66" t="s">
        <v>228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2">
        <f t="shared" si="2"/>
        <v>0.8</v>
      </c>
      <c r="L1036" s="82">
        <f t="shared" si="3"/>
        <v>0.4719</v>
      </c>
      <c r="M1036" s="66">
        <v>5.0</v>
      </c>
    </row>
    <row r="1037">
      <c r="A1037" s="83">
        <v>44704.0</v>
      </c>
      <c r="B1037" s="83">
        <v>44704.0</v>
      </c>
      <c r="C1037" s="66">
        <v>2020.0</v>
      </c>
      <c r="D1037" s="66" t="s">
        <v>221</v>
      </c>
      <c r="E1037" s="66">
        <v>0.0</v>
      </c>
      <c r="F1037" s="66" t="s">
        <v>227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2">
        <f t="shared" si="2"/>
        <v>0.44</v>
      </c>
      <c r="L1037" s="82">
        <f t="shared" si="3"/>
        <v>0.2435</v>
      </c>
      <c r="M1037" s="66">
        <v>5.0</v>
      </c>
    </row>
    <row r="1038">
      <c r="A1038" s="83">
        <v>44704.0</v>
      </c>
      <c r="B1038" s="83">
        <v>44704.0</v>
      </c>
      <c r="C1038" s="66">
        <v>2301.0</v>
      </c>
      <c r="D1038" s="66" t="s">
        <v>221</v>
      </c>
      <c r="E1038" s="66">
        <v>1.0</v>
      </c>
      <c r="F1038" s="66" t="s">
        <v>228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2">
        <f t="shared" si="2"/>
        <v>4.22</v>
      </c>
      <c r="L1038" s="82">
        <f t="shared" si="3"/>
        <v>2.6638</v>
      </c>
      <c r="M1038" s="66">
        <v>5.0</v>
      </c>
    </row>
    <row r="1039">
      <c r="A1039" s="83">
        <v>44704.0</v>
      </c>
      <c r="B1039" s="83">
        <v>44704.0</v>
      </c>
      <c r="C1039" s="66">
        <v>2347.0</v>
      </c>
      <c r="D1039" s="66" t="s">
        <v>221</v>
      </c>
      <c r="E1039" s="66">
        <v>0.0</v>
      </c>
      <c r="F1039" s="66" t="s">
        <v>228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2">
        <f t="shared" si="2"/>
        <v>1.42</v>
      </c>
      <c r="L1039" s="82">
        <f t="shared" si="3"/>
        <v>0.7685</v>
      </c>
      <c r="M1039" s="66">
        <v>1.0</v>
      </c>
    </row>
    <row r="1040">
      <c r="A1040" s="83">
        <v>44704.0</v>
      </c>
      <c r="B1040" s="83">
        <v>44704.0</v>
      </c>
      <c r="C1040" s="66">
        <v>2331.0</v>
      </c>
      <c r="D1040" s="66" t="s">
        <v>221</v>
      </c>
      <c r="E1040" s="66">
        <v>1.0</v>
      </c>
      <c r="F1040" s="66" t="s">
        <v>227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2">
        <f t="shared" si="2"/>
        <v>0.34</v>
      </c>
      <c r="L1040" s="82">
        <f t="shared" si="3"/>
        <v>0.2357</v>
      </c>
      <c r="M1040" s="66">
        <v>5.0</v>
      </c>
    </row>
    <row r="1041">
      <c r="A1041" s="83">
        <v>44704.0</v>
      </c>
      <c r="B1041" s="83">
        <v>44704.0</v>
      </c>
      <c r="C1041" s="66">
        <v>2347.0</v>
      </c>
      <c r="D1041" s="66" t="s">
        <v>221</v>
      </c>
      <c r="E1041" s="66">
        <v>0.0</v>
      </c>
      <c r="F1041" s="66" t="s">
        <v>227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2">
        <f t="shared" si="2"/>
        <v>0.08</v>
      </c>
      <c r="L1041" s="82">
        <f t="shared" si="3"/>
        <v>0.0495</v>
      </c>
      <c r="M1041" s="66">
        <v>2.2</v>
      </c>
    </row>
    <row r="1042">
      <c r="A1042" s="83">
        <v>44704.0</v>
      </c>
      <c r="B1042" s="83">
        <v>44704.0</v>
      </c>
      <c r="C1042" s="66">
        <v>2030.0</v>
      </c>
      <c r="D1042" s="66" t="s">
        <v>221</v>
      </c>
      <c r="E1042" s="66">
        <v>0.0</v>
      </c>
      <c r="F1042" s="66" t="s">
        <v>228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2">
        <f t="shared" si="2"/>
        <v>2.14</v>
      </c>
      <c r="L1042" s="82">
        <f t="shared" si="3"/>
        <v>1.232</v>
      </c>
    </row>
    <row r="1043">
      <c r="A1043" s="83">
        <v>44704.0</v>
      </c>
      <c r="B1043" s="83">
        <v>44704.0</v>
      </c>
      <c r="C1043" s="66">
        <v>2030.0</v>
      </c>
      <c r="D1043" s="66" t="s">
        <v>221</v>
      </c>
      <c r="E1043" s="66">
        <v>0.0</v>
      </c>
      <c r="F1043" s="66" t="s">
        <v>227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2">
        <f t="shared" si="2"/>
        <v>0.12</v>
      </c>
      <c r="L1043" s="82">
        <f t="shared" si="3"/>
        <v>0.0718</v>
      </c>
      <c r="M1043" s="66">
        <v>5.0</v>
      </c>
    </row>
    <row r="1044">
      <c r="A1044" s="83">
        <v>44704.0</v>
      </c>
      <c r="B1044" s="83">
        <v>44704.0</v>
      </c>
      <c r="C1044" s="66">
        <v>2029.0</v>
      </c>
      <c r="D1044" s="66" t="s">
        <v>221</v>
      </c>
      <c r="E1044" s="66">
        <v>1.0</v>
      </c>
      <c r="F1044" s="66" t="s">
        <v>227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2">
        <f t="shared" si="2"/>
        <v>1.02</v>
      </c>
      <c r="L1044" s="82">
        <f t="shared" si="3"/>
        <v>0.6308</v>
      </c>
    </row>
    <row r="1045">
      <c r="A1045" s="83">
        <v>44704.0</v>
      </c>
      <c r="B1045" s="83">
        <v>44704.0</v>
      </c>
      <c r="C1045" s="66">
        <v>2011.0</v>
      </c>
      <c r="D1045" s="66" t="s">
        <v>221</v>
      </c>
      <c r="E1045" s="66">
        <v>0.0</v>
      </c>
      <c r="F1045" s="66" t="s">
        <v>228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2">
        <f t="shared" si="2"/>
        <v>2.37</v>
      </c>
      <c r="L1045" s="82">
        <f t="shared" si="3"/>
        <v>1.3793</v>
      </c>
    </row>
    <row r="1046">
      <c r="A1046" s="83">
        <v>44704.0</v>
      </c>
      <c r="B1046" s="83">
        <v>44704.0</v>
      </c>
      <c r="C1046" s="66">
        <v>2030.0</v>
      </c>
      <c r="D1046" s="66" t="s">
        <v>221</v>
      </c>
      <c r="E1046" s="66">
        <v>1.0</v>
      </c>
      <c r="F1046" s="66" t="s">
        <v>228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2">
        <f t="shared" si="2"/>
        <v>0.49</v>
      </c>
      <c r="L1046" s="82">
        <f t="shared" si="3"/>
        <v>0.306</v>
      </c>
      <c r="M1046" s="66">
        <v>3.0</v>
      </c>
    </row>
    <row r="1047">
      <c r="A1047" s="83">
        <v>44704.0</v>
      </c>
      <c r="B1047" s="83">
        <v>44704.0</v>
      </c>
      <c r="C1047" s="66">
        <v>2020.0</v>
      </c>
      <c r="D1047" s="66" t="s">
        <v>221</v>
      </c>
      <c r="E1047" s="66">
        <v>1.0</v>
      </c>
      <c r="F1047" s="66" t="s">
        <v>227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2">
        <f t="shared" si="2"/>
        <v>0.75</v>
      </c>
      <c r="L1047" s="82">
        <f t="shared" si="3"/>
        <v>0.4332</v>
      </c>
      <c r="M1047" s="66">
        <v>1.0</v>
      </c>
    </row>
    <row r="1048">
      <c r="A1048" s="83">
        <v>44704.0</v>
      </c>
      <c r="B1048" s="83">
        <v>44704.0</v>
      </c>
      <c r="C1048" s="66">
        <v>2384.0</v>
      </c>
      <c r="D1048" s="66" t="s">
        <v>221</v>
      </c>
      <c r="E1048" s="66">
        <v>0.0</v>
      </c>
      <c r="F1048" s="66" t="s">
        <v>228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2">
        <f t="shared" si="2"/>
        <v>2.26</v>
      </c>
      <c r="L1048" s="82">
        <f t="shared" si="3"/>
        <v>1.3048</v>
      </c>
      <c r="M1048" s="66">
        <v>4.0</v>
      </c>
    </row>
    <row r="1049">
      <c r="A1049" s="83">
        <v>44704.0</v>
      </c>
      <c r="B1049" s="83">
        <v>44704.0</v>
      </c>
      <c r="C1049" s="66">
        <v>2384.0</v>
      </c>
      <c r="D1049" s="66" t="s">
        <v>221</v>
      </c>
      <c r="E1049" s="66">
        <v>0.0</v>
      </c>
      <c r="F1049" s="66" t="s">
        <v>227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2">
        <f t="shared" si="2"/>
        <v>0.22</v>
      </c>
      <c r="L1049" s="82">
        <f t="shared" si="3"/>
        <v>0.1331</v>
      </c>
      <c r="M1049" s="66">
        <v>3.0</v>
      </c>
    </row>
    <row r="1050">
      <c r="A1050" s="83">
        <v>44704.0</v>
      </c>
      <c r="B1050" s="83">
        <v>44704.0</v>
      </c>
      <c r="C1050" s="66">
        <v>2028.0</v>
      </c>
      <c r="D1050" s="66" t="s">
        <v>221</v>
      </c>
      <c r="E1050" s="66">
        <v>0.0</v>
      </c>
      <c r="F1050" s="66" t="s">
        <v>227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2">
        <f t="shared" si="2"/>
        <v>0.36</v>
      </c>
      <c r="L1050" s="82">
        <f t="shared" si="3"/>
        <v>0.2127</v>
      </c>
    </row>
    <row r="1051">
      <c r="A1051" s="83">
        <v>44704.0</v>
      </c>
      <c r="B1051" s="83">
        <v>44704.0</v>
      </c>
      <c r="C1051" s="66">
        <v>2021.0</v>
      </c>
      <c r="D1051" s="66" t="s">
        <v>221</v>
      </c>
      <c r="E1051" s="66">
        <v>0.0</v>
      </c>
      <c r="F1051" s="66" t="s">
        <v>227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2">
        <f t="shared" si="2"/>
        <v>0.11</v>
      </c>
      <c r="L1051" s="82">
        <f t="shared" si="3"/>
        <v>0.0664</v>
      </c>
      <c r="M1051" s="66">
        <v>5.0</v>
      </c>
    </row>
    <row r="1052">
      <c r="A1052" s="83">
        <v>44704.0</v>
      </c>
      <c r="B1052" s="83">
        <v>44704.0</v>
      </c>
      <c r="C1052" s="66">
        <v>2384.0</v>
      </c>
      <c r="D1052" s="66" t="s">
        <v>221</v>
      </c>
      <c r="E1052" s="66">
        <v>1.0</v>
      </c>
      <c r="F1052" s="66" t="s">
        <v>227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2">
        <f t="shared" si="2"/>
        <v>0.56</v>
      </c>
      <c r="L1052" s="82">
        <f t="shared" si="3"/>
        <v>0.3491</v>
      </c>
      <c r="M1052" s="66">
        <v>1.0</v>
      </c>
    </row>
    <row r="1053">
      <c r="A1053" s="83">
        <v>44704.0</v>
      </c>
      <c r="B1053" s="83">
        <v>44704.0</v>
      </c>
      <c r="C1053" s="66">
        <v>2029.0</v>
      </c>
      <c r="D1053" s="66" t="s">
        <v>221</v>
      </c>
      <c r="E1053" s="66">
        <v>0.0</v>
      </c>
      <c r="F1053" s="66" t="s">
        <v>227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2">
        <f t="shared" si="2"/>
        <v>0.04</v>
      </c>
      <c r="L1053" s="82">
        <f t="shared" si="3"/>
        <v>0.023</v>
      </c>
      <c r="M1053" s="66">
        <v>3.0</v>
      </c>
    </row>
    <row r="1054">
      <c r="A1054" s="83">
        <v>44704.0</v>
      </c>
      <c r="B1054" s="83">
        <v>44704.0</v>
      </c>
      <c r="C1054" s="66">
        <v>2380.0</v>
      </c>
      <c r="D1054" s="66" t="s">
        <v>221</v>
      </c>
      <c r="E1054" s="66">
        <v>1.0</v>
      </c>
      <c r="F1054" s="66" t="s">
        <v>228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2">
        <f t="shared" si="2"/>
        <v>2.59</v>
      </c>
      <c r="L1054" s="82">
        <f t="shared" si="3"/>
        <v>1.6711</v>
      </c>
      <c r="M1054" s="66">
        <v>2.1</v>
      </c>
    </row>
    <row r="1055">
      <c r="A1055" s="83">
        <v>44704.0</v>
      </c>
      <c r="B1055" s="83">
        <v>44704.0</v>
      </c>
      <c r="C1055" s="66">
        <v>2021.0</v>
      </c>
      <c r="D1055" s="66" t="s">
        <v>221</v>
      </c>
      <c r="E1055" s="66">
        <v>1.0</v>
      </c>
      <c r="F1055" s="66" t="s">
        <v>227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2">
        <f t="shared" si="2"/>
        <v>0.46</v>
      </c>
      <c r="L1055" s="82">
        <f t="shared" si="3"/>
        <v>0.2849</v>
      </c>
      <c r="M1055" s="66">
        <v>3.0</v>
      </c>
    </row>
    <row r="1056">
      <c r="A1056" s="83">
        <v>44704.0</v>
      </c>
      <c r="B1056" s="83">
        <v>44704.0</v>
      </c>
      <c r="C1056" s="66">
        <v>2372.0</v>
      </c>
      <c r="D1056" s="66" t="s">
        <v>221</v>
      </c>
      <c r="E1056" s="66">
        <v>0.0</v>
      </c>
      <c r="F1056" s="66" t="s">
        <v>228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2">
        <f t="shared" si="2"/>
        <v>1.28</v>
      </c>
      <c r="L1056" s="82">
        <f t="shared" si="3"/>
        <v>0.7511</v>
      </c>
    </row>
    <row r="1057">
      <c r="A1057" s="83">
        <v>44704.0</v>
      </c>
      <c r="B1057" s="83">
        <v>44704.0</v>
      </c>
      <c r="C1057" s="66">
        <v>2028.0</v>
      </c>
      <c r="D1057" s="66" t="s">
        <v>221</v>
      </c>
      <c r="E1057" s="66">
        <v>0.0</v>
      </c>
      <c r="F1057" s="66" t="s">
        <v>228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2">
        <f t="shared" si="2"/>
        <v>3.27</v>
      </c>
      <c r="L1057" s="82">
        <f t="shared" si="3"/>
        <v>1.9274</v>
      </c>
    </row>
    <row r="1058">
      <c r="A1058" s="83">
        <v>44704.0</v>
      </c>
      <c r="B1058" s="83">
        <v>44704.0</v>
      </c>
      <c r="C1058" s="66">
        <v>2371.0</v>
      </c>
      <c r="D1058" s="66" t="s">
        <v>221</v>
      </c>
      <c r="E1058" s="66">
        <v>1.0</v>
      </c>
      <c r="F1058" s="66" t="s">
        <v>227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2">
        <f t="shared" si="2"/>
        <v>0.32</v>
      </c>
      <c r="L1058" s="82">
        <f t="shared" si="3"/>
        <v>0.2005</v>
      </c>
    </row>
    <row r="1059">
      <c r="A1059" s="83">
        <v>44704.0</v>
      </c>
      <c r="B1059" s="83">
        <v>44704.0</v>
      </c>
      <c r="C1059" s="66">
        <v>2011.0</v>
      </c>
      <c r="D1059" s="66" t="s">
        <v>221</v>
      </c>
      <c r="E1059" s="66">
        <v>1.0</v>
      </c>
      <c r="F1059" s="66" t="s">
        <v>227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2">
        <f t="shared" si="2"/>
        <v>0.45</v>
      </c>
      <c r="L1059" s="82">
        <f t="shared" si="3"/>
        <v>0.2758</v>
      </c>
    </row>
    <row r="1060">
      <c r="A1060" s="83">
        <v>44704.0</v>
      </c>
      <c r="B1060" s="83">
        <v>44704.0</v>
      </c>
      <c r="C1060" s="66">
        <v>2025.0</v>
      </c>
      <c r="D1060" s="66" t="s">
        <v>221</v>
      </c>
      <c r="E1060" s="66">
        <v>1.0</v>
      </c>
      <c r="F1060" s="66" t="s">
        <v>227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2">
        <f t="shared" si="2"/>
        <v>0.1</v>
      </c>
      <c r="L1060" s="82">
        <f t="shared" si="3"/>
        <v>0.0639</v>
      </c>
      <c r="M1060" s="66">
        <v>4.0</v>
      </c>
    </row>
    <row r="1061">
      <c r="A1061" s="83">
        <v>44704.0</v>
      </c>
      <c r="B1061" s="83">
        <v>44704.0</v>
      </c>
      <c r="C1061" s="66">
        <v>2024.0</v>
      </c>
      <c r="D1061" s="66" t="s">
        <v>221</v>
      </c>
      <c r="E1061" s="66">
        <v>0.0</v>
      </c>
      <c r="F1061" s="66" t="s">
        <v>227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2">
        <f t="shared" si="2"/>
        <v>0.19</v>
      </c>
      <c r="L1061" s="82">
        <f t="shared" si="3"/>
        <v>0.108</v>
      </c>
    </row>
    <row r="1062">
      <c r="A1062" s="83">
        <v>44704.0</v>
      </c>
      <c r="B1062" s="83">
        <v>44704.0</v>
      </c>
      <c r="C1062" s="66">
        <v>2383.0</v>
      </c>
      <c r="D1062" s="66" t="s">
        <v>221</v>
      </c>
      <c r="E1062" s="66">
        <v>0.0</v>
      </c>
      <c r="F1062" s="66" t="s">
        <v>228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2">
        <f t="shared" si="2"/>
        <v>2.4</v>
      </c>
      <c r="L1062" s="82">
        <f t="shared" si="3"/>
        <v>1.3994</v>
      </c>
      <c r="M1062" s="66">
        <v>2.1</v>
      </c>
    </row>
    <row r="1063">
      <c r="A1063" s="83">
        <v>44704.0</v>
      </c>
      <c r="B1063" s="83">
        <v>44704.0</v>
      </c>
      <c r="C1063" s="66">
        <v>2027.0</v>
      </c>
      <c r="D1063" s="66" t="s">
        <v>221</v>
      </c>
      <c r="E1063" s="66">
        <v>0.0</v>
      </c>
      <c r="F1063" s="66" t="s">
        <v>228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2">
        <f t="shared" si="2"/>
        <v>2.05</v>
      </c>
      <c r="L1063" s="82">
        <f t="shared" si="3"/>
        <v>1.1809</v>
      </c>
    </row>
    <row r="1064">
      <c r="A1064" s="83">
        <v>44704.0</v>
      </c>
      <c r="B1064" s="83">
        <v>44704.0</v>
      </c>
      <c r="C1064" s="66">
        <v>2029.0</v>
      </c>
      <c r="D1064" s="66" t="s">
        <v>221</v>
      </c>
      <c r="E1064" s="66">
        <v>1.0</v>
      </c>
      <c r="F1064" s="66" t="s">
        <v>228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2">
        <f t="shared" si="2"/>
        <v>5.38</v>
      </c>
      <c r="L1064" s="82">
        <f t="shared" si="3"/>
        <v>3.5115</v>
      </c>
      <c r="M1064" s="66">
        <v>1.0</v>
      </c>
    </row>
    <row r="1065">
      <c r="A1065" s="83">
        <v>44704.0</v>
      </c>
      <c r="B1065" s="83">
        <v>44704.0</v>
      </c>
      <c r="C1065" s="66">
        <v>2021.0</v>
      </c>
      <c r="D1065" s="66" t="s">
        <v>221</v>
      </c>
      <c r="E1065" s="66">
        <v>0.0</v>
      </c>
      <c r="F1065" s="66" t="s">
        <v>228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2">
        <f t="shared" si="2"/>
        <v>1.56</v>
      </c>
      <c r="L1065" s="82">
        <f t="shared" si="3"/>
        <v>0.9032</v>
      </c>
    </row>
    <row r="1066">
      <c r="A1066" s="83">
        <v>44704.0</v>
      </c>
      <c r="B1066" s="83">
        <v>44704.0</v>
      </c>
      <c r="C1066" s="66">
        <v>2030.0</v>
      </c>
      <c r="D1066" s="66" t="s">
        <v>221</v>
      </c>
      <c r="E1066" s="66">
        <v>1.0</v>
      </c>
      <c r="F1066" s="66" t="s">
        <v>227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2">
        <f t="shared" si="2"/>
        <v>0.44</v>
      </c>
      <c r="L1066" s="82">
        <f t="shared" si="3"/>
        <v>0.261</v>
      </c>
      <c r="M1066" s="66">
        <v>5.0</v>
      </c>
    </row>
    <row r="1067">
      <c r="A1067" s="83">
        <v>44704.0</v>
      </c>
      <c r="B1067" s="83">
        <v>44704.0</v>
      </c>
      <c r="C1067" s="66">
        <v>2372.0</v>
      </c>
      <c r="D1067" s="66" t="s">
        <v>221</v>
      </c>
      <c r="E1067" s="66">
        <v>0.0</v>
      </c>
      <c r="F1067" s="66" t="s">
        <v>227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2">
        <f t="shared" si="2"/>
        <v>0.1</v>
      </c>
      <c r="L1067" s="82">
        <f t="shared" si="3"/>
        <v>0.0598</v>
      </c>
    </row>
    <row r="1068">
      <c r="A1068" s="83">
        <v>44704.0</v>
      </c>
      <c r="B1068" s="83">
        <v>44704.0</v>
      </c>
      <c r="C1068" s="66">
        <v>2020.0</v>
      </c>
      <c r="D1068" s="66" t="s">
        <v>221</v>
      </c>
      <c r="E1068" s="66">
        <v>0.0</v>
      </c>
      <c r="F1068" s="66" t="s">
        <v>228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2">
        <f t="shared" si="2"/>
        <v>3.31</v>
      </c>
      <c r="L1068" s="82">
        <f t="shared" si="3"/>
        <v>1.8391</v>
      </c>
    </row>
    <row r="1069">
      <c r="A1069" s="83">
        <v>44704.0</v>
      </c>
      <c r="B1069" s="83">
        <v>44704.0</v>
      </c>
      <c r="C1069" s="66">
        <v>2027.0</v>
      </c>
      <c r="D1069" s="66" t="s">
        <v>221</v>
      </c>
      <c r="E1069" s="66">
        <v>1.0</v>
      </c>
      <c r="F1069" s="66" t="s">
        <v>227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2">
        <f t="shared" si="2"/>
        <v>0.43</v>
      </c>
      <c r="L1069" s="82">
        <f t="shared" si="3"/>
        <v>0.2667</v>
      </c>
      <c r="M1069" s="66">
        <v>4.0</v>
      </c>
    </row>
    <row r="1070">
      <c r="A1070" s="83">
        <v>44704.0</v>
      </c>
      <c r="B1070" s="83">
        <v>44704.0</v>
      </c>
      <c r="C1070" s="66">
        <v>2347.0</v>
      </c>
      <c r="D1070" s="66" t="s">
        <v>221</v>
      </c>
      <c r="E1070" s="66">
        <v>1.0</v>
      </c>
      <c r="F1070" s="66" t="s">
        <v>227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2">
        <f t="shared" si="2"/>
        <v>0.68</v>
      </c>
      <c r="L1070" s="82">
        <f t="shared" si="3"/>
        <v>0.3843</v>
      </c>
    </row>
    <row r="1071">
      <c r="A1071" s="83">
        <v>44704.0</v>
      </c>
      <c r="B1071" s="83">
        <v>44704.0</v>
      </c>
      <c r="C1071" s="66">
        <v>2331.0</v>
      </c>
      <c r="D1071" s="66" t="s">
        <v>221</v>
      </c>
      <c r="E1071" s="66">
        <v>1.0</v>
      </c>
      <c r="F1071" s="66" t="s">
        <v>228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2">
        <f t="shared" si="2"/>
        <v>1.99</v>
      </c>
      <c r="L1071" s="82">
        <f t="shared" si="3"/>
        <v>1.291</v>
      </c>
      <c r="M1071" s="66">
        <v>1.0</v>
      </c>
    </row>
    <row r="1072">
      <c r="A1072" s="83">
        <v>44704.0</v>
      </c>
      <c r="B1072" s="83">
        <v>44704.0</v>
      </c>
      <c r="C1072" s="66">
        <v>2025.0</v>
      </c>
      <c r="D1072" s="66" t="s">
        <v>221</v>
      </c>
      <c r="E1072" s="66">
        <v>0.0</v>
      </c>
      <c r="F1072" s="66" t="s">
        <v>228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2">
        <f t="shared" si="2"/>
        <v>1.66</v>
      </c>
      <c r="L1072" s="82">
        <f t="shared" si="3"/>
        <v>0.9371</v>
      </c>
      <c r="M1072" s="66">
        <v>3.0</v>
      </c>
    </row>
    <row r="1073">
      <c r="A1073" s="83">
        <v>44704.0</v>
      </c>
      <c r="B1073" s="83">
        <v>44704.0</v>
      </c>
      <c r="C1073" s="66">
        <v>2301.0</v>
      </c>
      <c r="D1073" s="66" t="s">
        <v>221</v>
      </c>
      <c r="E1073" s="66">
        <v>1.0</v>
      </c>
      <c r="F1073" s="66" t="s">
        <v>227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2">
        <f t="shared" si="2"/>
        <v>0.67</v>
      </c>
      <c r="L1073" s="82">
        <f t="shared" si="3"/>
        <v>0.4257</v>
      </c>
    </row>
    <row r="1074">
      <c r="A1074" s="83">
        <v>44704.0</v>
      </c>
      <c r="B1074" s="83">
        <v>44704.0</v>
      </c>
      <c r="C1074" s="66">
        <v>2011.0</v>
      </c>
      <c r="D1074" s="66" t="s">
        <v>221</v>
      </c>
      <c r="E1074" s="66">
        <v>0.0</v>
      </c>
      <c r="F1074" s="66" t="s">
        <v>227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2">
        <f t="shared" si="2"/>
        <v>0.21</v>
      </c>
      <c r="L1074" s="82">
        <f t="shared" si="3"/>
        <v>0.1194</v>
      </c>
      <c r="M1074" s="66">
        <v>2.1</v>
      </c>
    </row>
    <row r="1075">
      <c r="A1075" s="83">
        <v>44704.0</v>
      </c>
      <c r="B1075" s="83">
        <v>44704.0</v>
      </c>
      <c r="C1075" s="66">
        <v>2025.0</v>
      </c>
      <c r="D1075" s="66" t="s">
        <v>221</v>
      </c>
      <c r="E1075" s="66">
        <v>0.0</v>
      </c>
      <c r="F1075" s="66" t="s">
        <v>227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2">
        <f t="shared" si="2"/>
        <v>0.2</v>
      </c>
      <c r="L1075" s="82">
        <f t="shared" si="3"/>
        <v>0.1232</v>
      </c>
      <c r="M1075" s="66">
        <v>3.0</v>
      </c>
    </row>
    <row r="1076">
      <c r="A1076" s="83">
        <v>44704.0</v>
      </c>
      <c r="B1076" s="83">
        <v>44704.0</v>
      </c>
      <c r="C1076" s="66">
        <v>2380.0</v>
      </c>
      <c r="D1076" s="66" t="s">
        <v>221</v>
      </c>
      <c r="E1076" s="66">
        <v>1.0</v>
      </c>
      <c r="F1076" s="66" t="s">
        <v>227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2">
        <f t="shared" si="2"/>
        <v>0.99</v>
      </c>
      <c r="L1076" s="82">
        <f t="shared" si="3"/>
        <v>0.6219</v>
      </c>
    </row>
    <row r="1077">
      <c r="A1077" s="83">
        <v>44704.0</v>
      </c>
      <c r="B1077" s="83">
        <v>44704.0</v>
      </c>
      <c r="C1077" s="66">
        <v>2028.0</v>
      </c>
      <c r="D1077" s="66" t="s">
        <v>221</v>
      </c>
      <c r="E1077" s="66">
        <v>1.0</v>
      </c>
      <c r="F1077" s="66" t="s">
        <v>227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2">
        <f t="shared" si="2"/>
        <v>0.71</v>
      </c>
      <c r="L1077" s="82">
        <f t="shared" si="3"/>
        <v>0.4159</v>
      </c>
      <c r="M1077" s="66">
        <v>4.0</v>
      </c>
    </row>
    <row r="1078">
      <c r="A1078" s="83">
        <v>44704.0</v>
      </c>
      <c r="B1078" s="83">
        <v>44704.0</v>
      </c>
      <c r="C1078" s="66">
        <v>2383.0</v>
      </c>
      <c r="D1078" s="66" t="s">
        <v>221</v>
      </c>
      <c r="E1078" s="66">
        <v>1.0</v>
      </c>
      <c r="F1078" s="66" t="s">
        <v>227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2">
        <f t="shared" si="2"/>
        <v>0.58</v>
      </c>
      <c r="L1078" s="82">
        <f t="shared" si="3"/>
        <v>0.351</v>
      </c>
      <c r="M1078" s="66">
        <v>5.0</v>
      </c>
    </row>
    <row r="1079">
      <c r="A1079" s="83">
        <v>44704.0</v>
      </c>
      <c r="B1079" s="83">
        <v>44704.0</v>
      </c>
      <c r="C1079" s="66">
        <v>2370.0</v>
      </c>
      <c r="D1079" s="66" t="s">
        <v>221</v>
      </c>
      <c r="E1079" s="66">
        <v>1.0</v>
      </c>
      <c r="F1079" s="66" t="s">
        <v>227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2">
        <f t="shared" si="2"/>
        <v>0.78</v>
      </c>
      <c r="L1079" s="82">
        <f t="shared" si="3"/>
        <v>0.4785</v>
      </c>
      <c r="M1079" s="66">
        <v>3.0</v>
      </c>
    </row>
    <row r="1080">
      <c r="A1080" s="83">
        <v>44704.0</v>
      </c>
      <c r="B1080" s="83">
        <v>44704.0</v>
      </c>
      <c r="C1080" s="66">
        <v>2370.0</v>
      </c>
      <c r="D1080" s="66" t="s">
        <v>221</v>
      </c>
      <c r="E1080" s="66">
        <v>0.0</v>
      </c>
      <c r="F1080" s="66" t="s">
        <v>228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2">
        <f t="shared" si="2"/>
        <v>1.25</v>
      </c>
      <c r="L1080" s="82">
        <f t="shared" si="3"/>
        <v>0.6848</v>
      </c>
      <c r="M1080" s="66">
        <v>1.0</v>
      </c>
    </row>
    <row r="1081">
      <c r="A1081" s="83">
        <v>44704.0</v>
      </c>
      <c r="B1081" s="83">
        <v>44704.0</v>
      </c>
      <c r="C1081" s="66">
        <v>2383.0</v>
      </c>
      <c r="D1081" s="66" t="s">
        <v>221</v>
      </c>
      <c r="E1081" s="66">
        <v>0.0</v>
      </c>
      <c r="F1081" s="66" t="s">
        <v>227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2">
        <f t="shared" si="2"/>
        <v>0.16</v>
      </c>
      <c r="L1081" s="82">
        <f t="shared" si="3"/>
        <v>0.0945</v>
      </c>
      <c r="M1081" s="66">
        <v>5.0</v>
      </c>
    </row>
    <row r="1082">
      <c r="A1082" s="83">
        <v>44704.0</v>
      </c>
      <c r="B1082" s="83">
        <v>44704.0</v>
      </c>
      <c r="C1082" s="66">
        <v>2005.0</v>
      </c>
      <c r="D1082" s="66" t="s">
        <v>221</v>
      </c>
      <c r="E1082" s="66">
        <v>1.0</v>
      </c>
      <c r="F1082" s="66" t="s">
        <v>227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2">
        <f t="shared" si="2"/>
        <v>1.01</v>
      </c>
      <c r="L1082" s="82">
        <f t="shared" si="3"/>
        <v>0.6571</v>
      </c>
      <c r="M1082" s="66">
        <v>2.2</v>
      </c>
    </row>
    <row r="1083">
      <c r="A1083" s="83">
        <v>44704.0</v>
      </c>
      <c r="B1083" s="83">
        <v>44704.0</v>
      </c>
      <c r="C1083" s="66">
        <v>2371.0</v>
      </c>
      <c r="D1083" s="66" t="s">
        <v>221</v>
      </c>
      <c r="E1083" s="66">
        <v>0.0</v>
      </c>
      <c r="F1083" s="66" t="s">
        <v>228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2">
        <f t="shared" si="2"/>
        <v>1.26</v>
      </c>
      <c r="L1083" s="82">
        <f t="shared" si="3"/>
        <v>0.7116</v>
      </c>
    </row>
    <row r="1084">
      <c r="A1084" s="83">
        <v>44704.0</v>
      </c>
      <c r="B1084" s="83">
        <v>44704.0</v>
      </c>
      <c r="C1084" s="66">
        <v>2370.0</v>
      </c>
      <c r="D1084" s="66" t="s">
        <v>221</v>
      </c>
      <c r="E1084" s="66">
        <v>0.0</v>
      </c>
      <c r="F1084" s="66" t="s">
        <v>227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2">
        <f t="shared" si="2"/>
        <v>0.16</v>
      </c>
      <c r="L1084" s="82">
        <f t="shared" si="3"/>
        <v>0.088</v>
      </c>
      <c r="M1084" s="66">
        <v>3.0</v>
      </c>
    </row>
    <row r="1085">
      <c r="A1085" s="83">
        <v>44704.0</v>
      </c>
      <c r="B1085" s="83">
        <v>44704.0</v>
      </c>
      <c r="C1085" s="66">
        <v>2005.0</v>
      </c>
      <c r="D1085" s="66" t="s">
        <v>221</v>
      </c>
      <c r="E1085" s="66">
        <v>0.0</v>
      </c>
      <c r="F1085" s="66" t="s">
        <v>227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2">
        <f t="shared" si="2"/>
        <v>0.19</v>
      </c>
      <c r="L1085" s="82">
        <f t="shared" si="3"/>
        <v>0.1112</v>
      </c>
      <c r="M1085" s="66">
        <v>4.0</v>
      </c>
    </row>
    <row r="1086">
      <c r="A1086" s="83">
        <v>44704.0</v>
      </c>
      <c r="B1086" s="83">
        <v>44704.0</v>
      </c>
      <c r="C1086" s="66">
        <v>2372.0</v>
      </c>
      <c r="D1086" s="66" t="s">
        <v>221</v>
      </c>
      <c r="E1086" s="66">
        <v>1.0</v>
      </c>
      <c r="F1086" s="66" t="s">
        <v>227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2">
        <f t="shared" si="2"/>
        <v>0.39</v>
      </c>
      <c r="L1086" s="82">
        <f t="shared" si="3"/>
        <v>0.2447</v>
      </c>
      <c r="M1086" s="66">
        <v>3.0</v>
      </c>
    </row>
    <row r="1087">
      <c r="A1087" s="83">
        <v>44704.0</v>
      </c>
      <c r="B1087" s="83">
        <v>44704.0</v>
      </c>
      <c r="C1087" s="66">
        <v>2005.0</v>
      </c>
      <c r="D1087" s="66" t="s">
        <v>221</v>
      </c>
      <c r="E1087" s="66">
        <v>0.0</v>
      </c>
      <c r="F1087" s="66" t="s">
        <v>228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2">
        <f t="shared" si="2"/>
        <v>2.01</v>
      </c>
      <c r="L1087" s="82">
        <f t="shared" si="3"/>
        <v>1.1489</v>
      </c>
      <c r="M1087" s="66">
        <v>5.0</v>
      </c>
    </row>
    <row r="1088">
      <c r="A1088" s="83">
        <v>44704.0</v>
      </c>
      <c r="B1088" s="83">
        <v>44704.0</v>
      </c>
      <c r="C1088" s="66">
        <v>2024.0</v>
      </c>
      <c r="D1088" s="66" t="s">
        <v>221</v>
      </c>
      <c r="E1088" s="66">
        <v>0.0</v>
      </c>
      <c r="F1088" s="66" t="s">
        <v>228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2">
        <f t="shared" si="2"/>
        <v>1.9</v>
      </c>
      <c r="L1088" s="82">
        <f t="shared" si="3"/>
        <v>1.0722</v>
      </c>
    </row>
    <row r="1089">
      <c r="A1089" s="83">
        <v>44704.0</v>
      </c>
      <c r="B1089" s="83">
        <v>44704.0</v>
      </c>
      <c r="C1089" s="66">
        <v>2371.0</v>
      </c>
      <c r="D1089" s="66" t="s">
        <v>221</v>
      </c>
      <c r="E1089" s="66">
        <v>0.0</v>
      </c>
      <c r="F1089" s="66" t="s">
        <v>227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2">
        <f t="shared" si="2"/>
        <v>0.12</v>
      </c>
      <c r="L1089" s="82">
        <f t="shared" si="3"/>
        <v>0.072</v>
      </c>
      <c r="M1089" s="66">
        <v>4.0</v>
      </c>
    </row>
    <row r="1090">
      <c r="A1090" s="83">
        <v>44704.0</v>
      </c>
      <c r="B1090" s="83">
        <v>44704.0</v>
      </c>
      <c r="C1090" s="66">
        <v>2024.0</v>
      </c>
      <c r="D1090" s="66" t="s">
        <v>221</v>
      </c>
      <c r="E1090" s="66">
        <v>1.0</v>
      </c>
      <c r="F1090" s="66" t="s">
        <v>227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2">
        <f t="shared" si="2"/>
        <v>0.29</v>
      </c>
      <c r="L1090" s="82">
        <f t="shared" si="3"/>
        <v>0.185</v>
      </c>
    </row>
    <row r="1091">
      <c r="A1091" s="83">
        <v>44704.0</v>
      </c>
      <c r="B1091" s="83">
        <v>44704.0</v>
      </c>
      <c r="C1091" s="66">
        <v>2027.0</v>
      </c>
      <c r="D1091" s="66" t="s">
        <v>221</v>
      </c>
      <c r="E1091" s="66">
        <v>0.0</v>
      </c>
      <c r="F1091" s="66" t="s">
        <v>227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2">
        <f t="shared" si="2"/>
        <v>0.16</v>
      </c>
      <c r="L1091" s="82">
        <f t="shared" si="3"/>
        <v>0.0998</v>
      </c>
    </row>
    <row r="1092">
      <c r="A1092" s="83">
        <v>44704.0</v>
      </c>
      <c r="B1092" s="83">
        <v>44704.0</v>
      </c>
      <c r="C1092" s="66">
        <v>2022.0</v>
      </c>
      <c r="D1092" s="66" t="s">
        <v>221</v>
      </c>
      <c r="E1092" s="66">
        <v>0.0</v>
      </c>
      <c r="F1092" s="66" t="s">
        <v>228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2">
        <f t="shared" si="2"/>
        <v>0.1847</v>
      </c>
      <c r="L1092" s="82">
        <f t="shared" si="3"/>
        <v>0.107</v>
      </c>
      <c r="M1092" s="66">
        <v>4.0</v>
      </c>
    </row>
    <row r="1093">
      <c r="A1093" s="83">
        <v>44704.0</v>
      </c>
      <c r="B1093" s="83">
        <v>44704.0</v>
      </c>
      <c r="C1093" s="66">
        <v>2014.0</v>
      </c>
      <c r="D1093" s="66" t="s">
        <v>221</v>
      </c>
      <c r="E1093" s="66">
        <v>1.0</v>
      </c>
      <c r="F1093" s="66" t="s">
        <v>227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2">
        <f t="shared" si="2"/>
        <v>0.5128</v>
      </c>
      <c r="L1093" s="82">
        <f t="shared" si="3"/>
        <v>0.322</v>
      </c>
      <c r="M1093" s="66">
        <v>5.0</v>
      </c>
    </row>
    <row r="1094">
      <c r="A1094" s="83">
        <v>44704.0</v>
      </c>
      <c r="B1094" s="83">
        <v>44704.0</v>
      </c>
      <c r="C1094" s="66">
        <v>2360.0</v>
      </c>
      <c r="D1094" s="66" t="s">
        <v>221</v>
      </c>
      <c r="E1094" s="66">
        <v>0.0</v>
      </c>
      <c r="F1094" s="66" t="s">
        <v>228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2">
        <f t="shared" si="2"/>
        <v>2.2687</v>
      </c>
      <c r="L1094" s="82">
        <f t="shared" si="3"/>
        <v>1.326</v>
      </c>
      <c r="M1094" s="66">
        <v>5.0</v>
      </c>
    </row>
    <row r="1095">
      <c r="A1095" s="83">
        <v>44704.0</v>
      </c>
      <c r="B1095" s="83">
        <v>44704.0</v>
      </c>
      <c r="C1095" s="66">
        <v>2009.0</v>
      </c>
      <c r="D1095" s="66" t="s">
        <v>221</v>
      </c>
      <c r="E1095" s="66">
        <v>0.0</v>
      </c>
      <c r="F1095" s="66" t="s">
        <v>227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2">
        <f t="shared" si="2"/>
        <v>0.2195</v>
      </c>
      <c r="L1095" s="82">
        <f t="shared" si="3"/>
        <v>0.127</v>
      </c>
      <c r="M1095" s="66">
        <v>3.0</v>
      </c>
    </row>
    <row r="1096">
      <c r="A1096" s="83">
        <v>44704.0</v>
      </c>
      <c r="B1096" s="83">
        <v>44704.0</v>
      </c>
      <c r="C1096" s="66">
        <v>2022.0</v>
      </c>
      <c r="D1096" s="66" t="s">
        <v>221</v>
      </c>
      <c r="E1096" s="66">
        <v>1.0</v>
      </c>
      <c r="F1096" s="66" t="s">
        <v>228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2">
        <f t="shared" si="2"/>
        <v>4.2032</v>
      </c>
      <c r="L1096" s="82">
        <f t="shared" si="3"/>
        <v>2.574</v>
      </c>
    </row>
    <row r="1097">
      <c r="A1097" s="83">
        <v>44704.0</v>
      </c>
      <c r="B1097" s="83">
        <v>44704.0</v>
      </c>
      <c r="C1097" s="66">
        <v>2354.0</v>
      </c>
      <c r="D1097" s="66" t="s">
        <v>221</v>
      </c>
      <c r="E1097" s="66">
        <v>1.0</v>
      </c>
      <c r="F1097" s="66" t="s">
        <v>227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2">
        <f t="shared" si="2"/>
        <v>0.2688</v>
      </c>
      <c r="L1097" s="82">
        <f t="shared" si="3"/>
        <v>0.168</v>
      </c>
    </row>
    <row r="1098">
      <c r="A1098" s="83">
        <v>44704.0</v>
      </c>
      <c r="B1098" s="83">
        <v>44704.0</v>
      </c>
      <c r="C1098" s="66">
        <v>2382.0</v>
      </c>
      <c r="D1098" s="66" t="s">
        <v>221</v>
      </c>
      <c r="E1098" s="66">
        <v>1.0</v>
      </c>
      <c r="F1098" s="66" t="s">
        <v>227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2">
        <f t="shared" si="2"/>
        <v>0.541</v>
      </c>
      <c r="L1098" s="82">
        <f t="shared" si="3"/>
        <v>0.334</v>
      </c>
    </row>
    <row r="1099">
      <c r="A1099" s="83">
        <v>44704.0</v>
      </c>
      <c r="B1099" s="83">
        <v>44704.0</v>
      </c>
      <c r="C1099" s="66">
        <v>2377.0</v>
      </c>
      <c r="D1099" s="66" t="s">
        <v>221</v>
      </c>
      <c r="E1099" s="66">
        <v>1.0</v>
      </c>
      <c r="F1099" s="66" t="s">
        <v>228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2">
        <f t="shared" si="2"/>
        <v>2.0329</v>
      </c>
      <c r="L1099" s="82">
        <f t="shared" si="3"/>
        <v>1.368</v>
      </c>
    </row>
    <row r="1100">
      <c r="A1100" s="83">
        <v>44704.0</v>
      </c>
      <c r="B1100" s="83">
        <v>44704.0</v>
      </c>
      <c r="C1100" s="66">
        <v>2345.0</v>
      </c>
      <c r="D1100" s="66" t="s">
        <v>221</v>
      </c>
      <c r="E1100" s="66">
        <v>1.0</v>
      </c>
      <c r="F1100" s="66" t="s">
        <v>227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2">
        <f t="shared" si="2"/>
        <v>0.6631</v>
      </c>
      <c r="L1100" s="82">
        <f t="shared" si="3"/>
        <v>0.394</v>
      </c>
      <c r="M1100" s="66">
        <v>2.2</v>
      </c>
    </row>
    <row r="1101">
      <c r="A1101" s="83">
        <v>44704.0</v>
      </c>
      <c r="B1101" s="83">
        <v>44704.0</v>
      </c>
      <c r="C1101" s="66">
        <v>2377.0</v>
      </c>
      <c r="D1101" s="66" t="s">
        <v>221</v>
      </c>
      <c r="E1101" s="66">
        <v>0.0</v>
      </c>
      <c r="F1101" s="66" t="s">
        <v>227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2">
        <f t="shared" si="2"/>
        <v>0.0364</v>
      </c>
      <c r="L1101" s="82">
        <f t="shared" si="3"/>
        <v>0.019</v>
      </c>
      <c r="M1101" s="66">
        <v>2.2</v>
      </c>
    </row>
    <row r="1102">
      <c r="A1102" s="83">
        <v>44704.0</v>
      </c>
      <c r="B1102" s="83">
        <v>44704.0</v>
      </c>
      <c r="C1102" s="66">
        <v>2382.0</v>
      </c>
      <c r="D1102" s="66" t="s">
        <v>221</v>
      </c>
      <c r="E1102" s="66">
        <v>0.0</v>
      </c>
      <c r="F1102" s="66" t="s">
        <v>228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2">
        <f t="shared" si="2"/>
        <v>4.9168</v>
      </c>
      <c r="L1102" s="82">
        <f t="shared" si="3"/>
        <v>2.974</v>
      </c>
      <c r="M1102" s="66">
        <v>3.0</v>
      </c>
    </row>
    <row r="1103">
      <c r="A1103" s="83">
        <v>44704.0</v>
      </c>
      <c r="B1103" s="83">
        <v>44704.0</v>
      </c>
      <c r="C1103" s="66">
        <v>2346.0</v>
      </c>
      <c r="D1103" s="66" t="s">
        <v>221</v>
      </c>
      <c r="E1103" s="66">
        <v>0.0</v>
      </c>
      <c r="F1103" s="66" t="s">
        <v>228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2">
        <f t="shared" si="2"/>
        <v>3.1163</v>
      </c>
      <c r="L1103" s="82">
        <f t="shared" si="3"/>
        <v>1.902</v>
      </c>
    </row>
    <row r="1104">
      <c r="A1104" s="83">
        <v>44704.0</v>
      </c>
      <c r="B1104" s="83">
        <v>44704.0</v>
      </c>
      <c r="C1104" s="66">
        <v>2379.0</v>
      </c>
      <c r="D1104" s="66" t="s">
        <v>221</v>
      </c>
      <c r="E1104" s="66">
        <v>0.0</v>
      </c>
      <c r="F1104" s="66" t="s">
        <v>228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2">
        <f t="shared" si="2"/>
        <v>1.2269</v>
      </c>
      <c r="L1104" s="82">
        <f t="shared" si="3"/>
        <v>0.723</v>
      </c>
    </row>
    <row r="1105">
      <c r="A1105" s="83">
        <v>44704.0</v>
      </c>
      <c r="B1105" s="83">
        <v>44704.0</v>
      </c>
      <c r="C1105" s="66">
        <v>2377.0</v>
      </c>
      <c r="D1105" s="66" t="s">
        <v>221</v>
      </c>
      <c r="E1105" s="66">
        <v>1.0</v>
      </c>
      <c r="F1105" s="66" t="s">
        <v>227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2">
        <f t="shared" si="2"/>
        <v>0.4828</v>
      </c>
      <c r="L1105" s="82">
        <f t="shared" si="3"/>
        <v>0.298</v>
      </c>
      <c r="M1105" s="66">
        <v>5.0</v>
      </c>
    </row>
    <row r="1106">
      <c r="A1106" s="83">
        <v>44704.0</v>
      </c>
      <c r="B1106" s="83">
        <v>44704.0</v>
      </c>
      <c r="C1106" s="66">
        <v>2377.0</v>
      </c>
      <c r="D1106" s="66" t="s">
        <v>221</v>
      </c>
      <c r="E1106" s="66">
        <v>1.0</v>
      </c>
      <c r="F1106" s="66" t="s">
        <v>228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2">
        <f t="shared" si="2"/>
        <v>0.8855</v>
      </c>
      <c r="L1106" s="82">
        <f t="shared" si="3"/>
        <v>0.568</v>
      </c>
      <c r="M1106" s="66">
        <v>5.0</v>
      </c>
    </row>
    <row r="1107">
      <c r="A1107" s="83">
        <v>44704.0</v>
      </c>
      <c r="B1107" s="83">
        <v>44704.0</v>
      </c>
      <c r="C1107" s="66">
        <v>2379.0</v>
      </c>
      <c r="D1107" s="66" t="s">
        <v>221</v>
      </c>
      <c r="E1107" s="66">
        <v>0.0</v>
      </c>
      <c r="F1107" s="66" t="s">
        <v>227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2">
        <f t="shared" si="2"/>
        <v>0.0835</v>
      </c>
      <c r="L1107" s="82">
        <f t="shared" si="3"/>
        <v>0.053</v>
      </c>
      <c r="M1107" s="66">
        <v>5.0</v>
      </c>
    </row>
    <row r="1108">
      <c r="A1108" s="83">
        <v>44704.0</v>
      </c>
      <c r="B1108" s="83">
        <v>44704.0</v>
      </c>
      <c r="C1108" s="66">
        <v>2010.0</v>
      </c>
      <c r="D1108" s="66" t="s">
        <v>221</v>
      </c>
      <c r="E1108" s="66">
        <v>0.0</v>
      </c>
      <c r="F1108" s="66" t="s">
        <v>227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2">
        <f t="shared" si="2"/>
        <v>0.4428</v>
      </c>
      <c r="L1108" s="82">
        <f t="shared" si="3"/>
        <v>0.25</v>
      </c>
      <c r="M1108" s="66">
        <v>2.1</v>
      </c>
    </row>
    <row r="1109">
      <c r="A1109" s="83">
        <v>44704.0</v>
      </c>
      <c r="B1109" s="83">
        <v>44704.0</v>
      </c>
      <c r="C1109" s="66">
        <v>2375.0</v>
      </c>
      <c r="D1109" s="66" t="s">
        <v>221</v>
      </c>
      <c r="E1109" s="66">
        <v>0.0</v>
      </c>
      <c r="F1109" s="66" t="s">
        <v>227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2">
        <f t="shared" si="2"/>
        <v>0.7954</v>
      </c>
      <c r="L1109" s="82">
        <f t="shared" si="3"/>
        <v>0.454</v>
      </c>
    </row>
    <row r="1110">
      <c r="A1110" s="83">
        <v>44704.0</v>
      </c>
      <c r="B1110" s="83">
        <v>44704.0</v>
      </c>
      <c r="C1110" s="66">
        <v>2379.0</v>
      </c>
      <c r="D1110" s="66" t="s">
        <v>221</v>
      </c>
      <c r="E1110" s="66">
        <v>1.0</v>
      </c>
      <c r="F1110" s="66" t="s">
        <v>227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2">
        <f t="shared" si="2"/>
        <v>1.123</v>
      </c>
      <c r="L1110" s="82">
        <f t="shared" si="3"/>
        <v>0.708</v>
      </c>
      <c r="M1110" s="66">
        <v>1.0</v>
      </c>
    </row>
    <row r="1111">
      <c r="A1111" s="83">
        <v>44704.0</v>
      </c>
      <c r="B1111" s="83">
        <v>44704.0</v>
      </c>
      <c r="C1111" s="66">
        <v>2381.0</v>
      </c>
      <c r="D1111" s="66" t="s">
        <v>221</v>
      </c>
      <c r="E1111" s="66">
        <v>0.0</v>
      </c>
      <c r="F1111" s="66" t="s">
        <v>228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2">
        <f t="shared" si="2"/>
        <v>1.7679</v>
      </c>
      <c r="L1111" s="82">
        <f t="shared" si="3"/>
        <v>1.01</v>
      </c>
      <c r="M1111" s="66">
        <v>1.0</v>
      </c>
    </row>
    <row r="1112">
      <c r="A1112" s="83">
        <v>44704.0</v>
      </c>
      <c r="B1112" s="83">
        <v>44704.0</v>
      </c>
      <c r="C1112" s="66">
        <v>2014.0</v>
      </c>
      <c r="D1112" s="66" t="s">
        <v>221</v>
      </c>
      <c r="E1112" s="66">
        <v>0.0</v>
      </c>
      <c r="F1112" s="66" t="s">
        <v>228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2">
        <f t="shared" si="2"/>
        <v>3.716</v>
      </c>
      <c r="L1112" s="82">
        <f t="shared" si="3"/>
        <v>2.174</v>
      </c>
      <c r="M1112" s="66">
        <v>1.0</v>
      </c>
    </row>
    <row r="1113">
      <c r="A1113" s="83">
        <v>44704.0</v>
      </c>
      <c r="B1113" s="83">
        <v>44704.0</v>
      </c>
      <c r="C1113" s="66">
        <v>2378.0</v>
      </c>
      <c r="D1113" s="66" t="s">
        <v>221</v>
      </c>
      <c r="E1113" s="66">
        <v>1.0</v>
      </c>
      <c r="F1113" s="66" t="s">
        <v>227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2">
        <f t="shared" si="2"/>
        <v>0.2586</v>
      </c>
      <c r="L1113" s="82">
        <f t="shared" si="3"/>
        <v>0.156</v>
      </c>
      <c r="M1113" s="66">
        <v>1.0</v>
      </c>
    </row>
    <row r="1114">
      <c r="A1114" s="83">
        <v>44704.0</v>
      </c>
      <c r="B1114" s="83">
        <v>44704.0</v>
      </c>
      <c r="C1114" s="66">
        <v>2375.0</v>
      </c>
      <c r="D1114" s="66" t="s">
        <v>221</v>
      </c>
      <c r="E1114" s="66">
        <v>1.0</v>
      </c>
      <c r="F1114" s="66" t="s">
        <v>227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2">
        <f t="shared" si="2"/>
        <v>0.8224</v>
      </c>
      <c r="L1114" s="82">
        <f t="shared" si="3"/>
        <v>0.497</v>
      </c>
      <c r="M1114" s="66">
        <v>5.0</v>
      </c>
    </row>
    <row r="1115">
      <c r="A1115" s="83">
        <v>44704.0</v>
      </c>
      <c r="B1115" s="83">
        <v>44704.0</v>
      </c>
      <c r="C1115" s="66">
        <v>2382.0</v>
      </c>
      <c r="D1115" s="66" t="s">
        <v>221</v>
      </c>
      <c r="E1115" s="66">
        <v>0.0</v>
      </c>
      <c r="F1115" s="66" t="s">
        <v>227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2">
        <f t="shared" si="2"/>
        <v>0.5315</v>
      </c>
      <c r="L1115" s="82">
        <f t="shared" si="3"/>
        <v>0.322</v>
      </c>
      <c r="M1115" s="66">
        <v>4.0</v>
      </c>
    </row>
    <row r="1116">
      <c r="A1116" s="83">
        <v>44704.0</v>
      </c>
      <c r="B1116" s="83">
        <v>44704.0</v>
      </c>
      <c r="C1116" s="66">
        <v>2367.0</v>
      </c>
      <c r="D1116" s="66" t="s">
        <v>221</v>
      </c>
      <c r="E1116" s="66">
        <v>1.0</v>
      </c>
      <c r="F1116" s="66" t="s">
        <v>227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2">
        <f t="shared" si="2"/>
        <v>0.3382</v>
      </c>
      <c r="L1116" s="82">
        <f t="shared" si="3"/>
        <v>0.213</v>
      </c>
    </row>
    <row r="1117">
      <c r="A1117" s="83">
        <v>44704.0</v>
      </c>
      <c r="B1117" s="83">
        <v>44704.0</v>
      </c>
      <c r="C1117" s="66">
        <v>2381.0</v>
      </c>
      <c r="D1117" s="66" t="s">
        <v>221</v>
      </c>
      <c r="E1117" s="66">
        <v>1.0</v>
      </c>
      <c r="F1117" s="66" t="s">
        <v>227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2">
        <f t="shared" si="2"/>
        <v>0.907</v>
      </c>
      <c r="L1117" s="82">
        <f t="shared" si="3"/>
        <v>0.545</v>
      </c>
    </row>
    <row r="1118">
      <c r="A1118" s="83">
        <v>44704.0</v>
      </c>
      <c r="B1118" s="83">
        <v>44704.0</v>
      </c>
      <c r="C1118" s="66">
        <v>2346.0</v>
      </c>
      <c r="D1118" s="66" t="s">
        <v>221</v>
      </c>
      <c r="E1118" s="66">
        <v>0.0</v>
      </c>
      <c r="F1118" s="66" t="s">
        <v>227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2">
        <f t="shared" si="2"/>
        <v>0.2757</v>
      </c>
      <c r="L1118" s="82">
        <f t="shared" si="3"/>
        <v>0.171</v>
      </c>
    </row>
    <row r="1119">
      <c r="A1119" s="83">
        <v>44704.0</v>
      </c>
      <c r="B1119" s="83">
        <v>44704.0</v>
      </c>
      <c r="C1119" s="66">
        <v>2360.0</v>
      </c>
      <c r="D1119" s="66" t="s">
        <v>221</v>
      </c>
      <c r="E1119" s="66">
        <v>1.0</v>
      </c>
      <c r="F1119" s="66" t="s">
        <v>227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2">
        <f t="shared" si="2"/>
        <v>0.7454</v>
      </c>
      <c r="L1119" s="82">
        <f t="shared" si="3"/>
        <v>0.466</v>
      </c>
    </row>
    <row r="1120">
      <c r="A1120" s="83">
        <v>44704.0</v>
      </c>
      <c r="B1120" s="83">
        <v>44704.0</v>
      </c>
      <c r="C1120" s="66">
        <v>2022.0</v>
      </c>
      <c r="D1120" s="66" t="s">
        <v>221</v>
      </c>
      <c r="E1120" s="66">
        <v>1.0</v>
      </c>
      <c r="F1120" s="66" t="s">
        <v>227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2">
        <f t="shared" si="2"/>
        <v>0.7694</v>
      </c>
      <c r="L1120" s="82">
        <f t="shared" si="3"/>
        <v>0.463</v>
      </c>
    </row>
    <row r="1121">
      <c r="A1121" s="83">
        <v>44704.0</v>
      </c>
      <c r="B1121" s="83">
        <v>44704.0</v>
      </c>
      <c r="C1121" s="66">
        <v>2365.0</v>
      </c>
      <c r="D1121" s="66" t="s">
        <v>221</v>
      </c>
      <c r="E1121" s="66">
        <v>0.0</v>
      </c>
      <c r="F1121" s="66" t="s">
        <v>227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2">
        <f t="shared" si="2"/>
        <v>0.102</v>
      </c>
      <c r="L1121" s="82">
        <f t="shared" si="3"/>
        <v>0.059</v>
      </c>
    </row>
    <row r="1122">
      <c r="A1122" s="83">
        <v>44704.0</v>
      </c>
      <c r="B1122" s="83">
        <v>44704.0</v>
      </c>
      <c r="C1122" s="66">
        <v>2031.0</v>
      </c>
      <c r="D1122" s="66" t="s">
        <v>221</v>
      </c>
      <c r="E1122" s="66">
        <v>0.0</v>
      </c>
      <c r="F1122" s="66" t="s">
        <v>227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2">
        <f t="shared" si="2"/>
        <v>0.214</v>
      </c>
      <c r="L1122" s="82">
        <f t="shared" si="3"/>
        <v>0.129</v>
      </c>
    </row>
    <row r="1123">
      <c r="A1123" s="83">
        <v>44704.0</v>
      </c>
      <c r="B1123" s="83">
        <v>44704.0</v>
      </c>
      <c r="C1123" s="66">
        <v>2378.0</v>
      </c>
      <c r="D1123" s="66" t="s">
        <v>221</v>
      </c>
      <c r="E1123" s="66">
        <v>0.0</v>
      </c>
      <c r="F1123" s="66" t="s">
        <v>227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2">
        <f t="shared" si="2"/>
        <v>0.1256</v>
      </c>
      <c r="L1123" s="82">
        <f t="shared" si="3"/>
        <v>0.082</v>
      </c>
    </row>
    <row r="1124">
      <c r="A1124" s="83">
        <v>44704.0</v>
      </c>
      <c r="B1124" s="83">
        <v>44704.0</v>
      </c>
      <c r="C1124" s="66">
        <v>2367.0</v>
      </c>
      <c r="D1124" s="66" t="s">
        <v>221</v>
      </c>
      <c r="E1124" s="66">
        <v>0.0</v>
      </c>
      <c r="F1124" s="66" t="s">
        <v>227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2">
        <f t="shared" si="2"/>
        <v>0.2124</v>
      </c>
      <c r="L1124" s="82">
        <f t="shared" si="3"/>
        <v>0.131</v>
      </c>
    </row>
    <row r="1125">
      <c r="A1125" s="83">
        <v>44704.0</v>
      </c>
      <c r="B1125" s="83">
        <v>44704.0</v>
      </c>
      <c r="C1125" s="66">
        <v>2376.0</v>
      </c>
      <c r="D1125" s="66" t="s">
        <v>221</v>
      </c>
      <c r="E1125" s="66">
        <v>1.0</v>
      </c>
      <c r="F1125" s="66" t="s">
        <v>227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2">
        <f t="shared" si="2"/>
        <v>0.6675</v>
      </c>
      <c r="L1125" s="82">
        <f t="shared" si="3"/>
        <v>0.432</v>
      </c>
    </row>
    <row r="1126">
      <c r="A1126" s="83">
        <v>44704.0</v>
      </c>
      <c r="B1126" s="83">
        <v>44704.0</v>
      </c>
      <c r="C1126" s="66">
        <v>2014.0</v>
      </c>
      <c r="D1126" s="66" t="s">
        <v>221</v>
      </c>
      <c r="E1126" s="66">
        <v>0.0</v>
      </c>
      <c r="F1126" s="66" t="s">
        <v>227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2">
        <f t="shared" si="2"/>
        <v>0.7145</v>
      </c>
      <c r="L1126" s="82">
        <f t="shared" si="3"/>
        <v>0.405</v>
      </c>
    </row>
    <row r="1127">
      <c r="A1127" s="83">
        <v>44704.0</v>
      </c>
      <c r="B1127" s="83">
        <v>44704.0</v>
      </c>
      <c r="C1127" s="66">
        <v>2031.0</v>
      </c>
      <c r="D1127" s="66" t="s">
        <v>221</v>
      </c>
      <c r="E1127" s="66">
        <v>0.0</v>
      </c>
      <c r="F1127" s="66" t="s">
        <v>228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2">
        <f t="shared" si="2"/>
        <v>2.2503</v>
      </c>
      <c r="L1127" s="82">
        <f t="shared" si="3"/>
        <v>1.32</v>
      </c>
    </row>
    <row r="1128">
      <c r="A1128" s="83">
        <v>44704.0</v>
      </c>
      <c r="B1128" s="83">
        <v>44704.0</v>
      </c>
      <c r="C1128" s="66">
        <v>2378.0</v>
      </c>
      <c r="D1128" s="66" t="s">
        <v>221</v>
      </c>
      <c r="E1128" s="66">
        <v>0.0</v>
      </c>
      <c r="F1128" s="66" t="s">
        <v>228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2">
        <f t="shared" si="2"/>
        <v>1.2913</v>
      </c>
      <c r="L1128" s="82">
        <f t="shared" si="3"/>
        <v>0.736</v>
      </c>
    </row>
    <row r="1129">
      <c r="A1129" s="83">
        <v>44704.0</v>
      </c>
      <c r="B1129" s="83">
        <v>44704.0</v>
      </c>
      <c r="C1129" s="66">
        <v>2009.0</v>
      </c>
      <c r="D1129" s="66" t="s">
        <v>221</v>
      </c>
      <c r="E1129" s="66">
        <v>1.0</v>
      </c>
      <c r="F1129" s="66" t="s">
        <v>227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2">
        <f t="shared" si="2"/>
        <v>0.7121</v>
      </c>
      <c r="L1129" s="82">
        <f t="shared" si="3"/>
        <v>0.463</v>
      </c>
    </row>
    <row r="1130">
      <c r="A1130" s="83">
        <v>44704.0</v>
      </c>
      <c r="B1130" s="83">
        <v>44704.0</v>
      </c>
      <c r="C1130" s="66">
        <v>2010.0</v>
      </c>
      <c r="D1130" s="66" t="s">
        <v>221</v>
      </c>
      <c r="E1130" s="66">
        <v>1.0</v>
      </c>
      <c r="F1130" s="66" t="s">
        <v>227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2">
        <f t="shared" si="2"/>
        <v>0.9499</v>
      </c>
      <c r="L1130" s="82">
        <f t="shared" si="3"/>
        <v>0.579</v>
      </c>
    </row>
    <row r="1131">
      <c r="A1131" s="83">
        <v>44704.0</v>
      </c>
      <c r="B1131" s="83">
        <v>44704.0</v>
      </c>
      <c r="C1131" s="66">
        <v>2381.0</v>
      </c>
      <c r="D1131" s="66" t="s">
        <v>221</v>
      </c>
      <c r="E1131" s="66">
        <v>0.0</v>
      </c>
      <c r="F1131" s="66" t="s">
        <v>227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2">
        <f t="shared" si="2"/>
        <v>0.153</v>
      </c>
      <c r="L1131" s="82">
        <f t="shared" si="3"/>
        <v>0.089</v>
      </c>
    </row>
    <row r="1132">
      <c r="A1132" s="83">
        <v>44704.0</v>
      </c>
      <c r="B1132" s="83">
        <v>44704.0</v>
      </c>
      <c r="C1132" s="66">
        <v>2377.0</v>
      </c>
      <c r="D1132" s="66" t="s">
        <v>221</v>
      </c>
      <c r="E1132" s="66">
        <v>0.0</v>
      </c>
      <c r="F1132" s="66" t="s">
        <v>228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2">
        <f t="shared" si="2"/>
        <v>0.1998</v>
      </c>
      <c r="L1132" s="82">
        <f t="shared" si="3"/>
        <v>0.116</v>
      </c>
    </row>
    <row r="1133">
      <c r="A1133" s="83">
        <v>44704.0</v>
      </c>
      <c r="B1133" s="83">
        <v>44704.0</v>
      </c>
      <c r="C1133" s="66">
        <v>2375.0</v>
      </c>
      <c r="D1133" s="66" t="s">
        <v>221</v>
      </c>
      <c r="E1133" s="66">
        <v>0.0</v>
      </c>
      <c r="F1133" s="66" t="s">
        <v>228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2">
        <f t="shared" si="2"/>
        <v>2.7103</v>
      </c>
      <c r="L1133" s="82">
        <f t="shared" si="3"/>
        <v>1.552</v>
      </c>
    </row>
    <row r="1134">
      <c r="A1134" s="83">
        <v>44704.0</v>
      </c>
      <c r="B1134" s="83">
        <v>44704.0</v>
      </c>
      <c r="C1134" s="66">
        <v>2031.0</v>
      </c>
      <c r="D1134" s="66" t="s">
        <v>221</v>
      </c>
      <c r="E1134" s="66">
        <v>1.0</v>
      </c>
      <c r="F1134" s="66" t="s">
        <v>227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2">
        <f t="shared" si="2"/>
        <v>0.3087</v>
      </c>
      <c r="L1134" s="82">
        <f t="shared" si="3"/>
        <v>0.196</v>
      </c>
    </row>
    <row r="1135">
      <c r="A1135" s="83">
        <v>44704.0</v>
      </c>
      <c r="B1135" s="83">
        <v>44704.0</v>
      </c>
      <c r="C1135" s="66">
        <v>2352.0</v>
      </c>
      <c r="D1135" s="66" t="s">
        <v>221</v>
      </c>
      <c r="E1135" s="66">
        <v>1.0</v>
      </c>
      <c r="F1135" s="66" t="s">
        <v>228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2">
        <f t="shared" si="2"/>
        <v>1.0933</v>
      </c>
      <c r="L1135" s="82">
        <f t="shared" si="3"/>
        <v>0.747</v>
      </c>
    </row>
    <row r="1136">
      <c r="A1136" s="83">
        <v>44704.0</v>
      </c>
      <c r="B1136" s="83">
        <v>44704.0</v>
      </c>
      <c r="C1136" s="66">
        <v>2009.0</v>
      </c>
      <c r="D1136" s="66" t="s">
        <v>221</v>
      </c>
      <c r="E1136" s="66">
        <v>0.0</v>
      </c>
      <c r="F1136" s="66" t="s">
        <v>228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2">
        <f t="shared" si="2"/>
        <v>2.0105</v>
      </c>
      <c r="L1136" s="82">
        <f t="shared" si="3"/>
        <v>1.245</v>
      </c>
    </row>
    <row r="1137">
      <c r="A1137" s="83">
        <v>44704.0</v>
      </c>
      <c r="B1137" s="83">
        <v>44704.0</v>
      </c>
      <c r="C1137" s="66">
        <v>2010.0</v>
      </c>
      <c r="D1137" s="66" t="s">
        <v>221</v>
      </c>
      <c r="E1137" s="66">
        <v>0.0</v>
      </c>
      <c r="F1137" s="66" t="s">
        <v>228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2">
        <f t="shared" si="2"/>
        <v>2.4767</v>
      </c>
      <c r="L1137" s="82">
        <f t="shared" si="3"/>
        <v>1.307</v>
      </c>
    </row>
    <row r="1138">
      <c r="A1138" s="83">
        <v>44704.0</v>
      </c>
      <c r="B1138" s="83">
        <v>44704.0</v>
      </c>
      <c r="C1138" s="66">
        <v>2346.0</v>
      </c>
      <c r="D1138" s="66" t="s">
        <v>221</v>
      </c>
      <c r="E1138" s="66">
        <v>1.0</v>
      </c>
      <c r="F1138" s="66" t="s">
        <v>227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2">
        <f t="shared" si="2"/>
        <v>2.1412</v>
      </c>
      <c r="L1138" s="82">
        <f t="shared" si="3"/>
        <v>1.37</v>
      </c>
    </row>
    <row r="1139">
      <c r="A1139" s="83">
        <v>44704.0</v>
      </c>
      <c r="B1139" s="83">
        <v>44704.0</v>
      </c>
      <c r="C1139" s="66">
        <v>2367.0</v>
      </c>
      <c r="D1139" s="66" t="s">
        <v>221</v>
      </c>
      <c r="E1139" s="66">
        <v>0.0</v>
      </c>
      <c r="F1139" s="66" t="s">
        <v>228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2">
        <f t="shared" si="2"/>
        <v>1.0934</v>
      </c>
      <c r="L1139" s="82">
        <f t="shared" si="3"/>
        <v>0.625</v>
      </c>
    </row>
    <row r="1140">
      <c r="A1140" s="83">
        <v>44704.0</v>
      </c>
      <c r="B1140" s="83">
        <v>44704.0</v>
      </c>
      <c r="C1140" s="66">
        <v>2352.0</v>
      </c>
      <c r="D1140" s="66" t="s">
        <v>221</v>
      </c>
      <c r="E1140" s="66">
        <v>1.0</v>
      </c>
      <c r="F1140" s="66" t="s">
        <v>227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2">
        <f t="shared" si="2"/>
        <v>0.3944</v>
      </c>
      <c r="L1140" s="82">
        <f t="shared" si="3"/>
        <v>0.26</v>
      </c>
    </row>
    <row r="1141">
      <c r="A1141" s="83">
        <v>44704.0</v>
      </c>
      <c r="B1141" s="83">
        <v>44704.0</v>
      </c>
      <c r="C1141" s="66">
        <v>2022.0</v>
      </c>
      <c r="D1141" s="66" t="s">
        <v>221</v>
      </c>
      <c r="E1141" s="66">
        <v>0.0</v>
      </c>
      <c r="F1141" s="66" t="s">
        <v>227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2">
        <f t="shared" si="2"/>
        <v>0.0266</v>
      </c>
      <c r="L1141" s="82">
        <f t="shared" si="3"/>
        <v>0.013</v>
      </c>
    </row>
    <row r="1142">
      <c r="A1142" s="83">
        <v>44704.0</v>
      </c>
      <c r="B1142" s="83">
        <v>44704.0</v>
      </c>
      <c r="C1142" s="66">
        <v>2354.0</v>
      </c>
      <c r="D1142" s="66" t="s">
        <v>221</v>
      </c>
      <c r="E1142" s="66">
        <v>1.0</v>
      </c>
      <c r="F1142" s="66" t="s">
        <v>228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2">
        <f t="shared" si="2"/>
        <v>2.4775</v>
      </c>
      <c r="L1142" s="82">
        <f t="shared" si="3"/>
        <v>1.601</v>
      </c>
    </row>
    <row r="1143">
      <c r="A1143" s="83">
        <v>44704.0</v>
      </c>
      <c r="B1143" s="83">
        <v>44704.0</v>
      </c>
      <c r="C1143" s="66">
        <v>2354.0</v>
      </c>
      <c r="D1143" s="66" t="s">
        <v>221</v>
      </c>
      <c r="E1143" s="66">
        <v>1.0</v>
      </c>
      <c r="F1143" s="66" t="s">
        <v>228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2">
        <f t="shared" si="2"/>
        <v>2.0428</v>
      </c>
      <c r="L1143" s="82">
        <f t="shared" si="3"/>
        <v>1.296</v>
      </c>
    </row>
    <row r="1144">
      <c r="A1144" s="83">
        <v>44704.0</v>
      </c>
      <c r="B1144" s="83">
        <v>44704.0</v>
      </c>
      <c r="C1144" s="66">
        <v>2376.0</v>
      </c>
      <c r="D1144" s="66" t="s">
        <v>221</v>
      </c>
      <c r="E1144" s="66">
        <v>1.0</v>
      </c>
      <c r="F1144" s="66" t="s">
        <v>228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2">
        <f t="shared" si="2"/>
        <v>4.5189</v>
      </c>
      <c r="L1144" s="82">
        <f t="shared" si="3"/>
        <v>2.802</v>
      </c>
    </row>
    <row r="1145">
      <c r="A1145" s="83">
        <v>44704.0</v>
      </c>
      <c r="B1145" s="83">
        <v>44704.0</v>
      </c>
      <c r="C1145" s="66">
        <v>2345.0</v>
      </c>
      <c r="D1145" s="66" t="s">
        <v>221</v>
      </c>
      <c r="E1145" s="66">
        <v>1.0</v>
      </c>
      <c r="F1145" s="66" t="s">
        <v>228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2">
        <f t="shared" si="2"/>
        <v>2.3418</v>
      </c>
      <c r="L1145" s="82">
        <f t="shared" si="3"/>
        <v>1.464</v>
      </c>
    </row>
    <row r="1146">
      <c r="A1146" s="83">
        <v>44704.0</v>
      </c>
      <c r="B1146" s="83">
        <v>44704.0</v>
      </c>
      <c r="C1146" s="66">
        <v>2365.0</v>
      </c>
      <c r="D1146" s="66" t="s">
        <v>221</v>
      </c>
      <c r="E1146" s="66">
        <v>0.0</v>
      </c>
      <c r="F1146" s="66" t="s">
        <v>228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2">
        <f t="shared" si="2"/>
        <v>0.9929</v>
      </c>
      <c r="L1146" s="82">
        <f t="shared" si="3"/>
        <v>0.573</v>
      </c>
    </row>
    <row r="1147">
      <c r="A1147" s="83">
        <v>44704.0</v>
      </c>
      <c r="B1147" s="83">
        <v>44704.0</v>
      </c>
      <c r="C1147" s="66">
        <v>2365.0</v>
      </c>
      <c r="D1147" s="66" t="s">
        <v>221</v>
      </c>
      <c r="E1147" s="66">
        <v>1.0</v>
      </c>
      <c r="F1147" s="66" t="s">
        <v>227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2">
        <f t="shared" si="2"/>
        <v>0.1371</v>
      </c>
      <c r="L1147" s="82">
        <f t="shared" si="3"/>
        <v>0.088</v>
      </c>
    </row>
    <row r="1148">
      <c r="A1148" s="83">
        <v>44704.0</v>
      </c>
      <c r="B1148" s="83">
        <v>44704.0</v>
      </c>
      <c r="C1148" s="66">
        <v>2360.0</v>
      </c>
      <c r="D1148" s="66" t="s">
        <v>221</v>
      </c>
      <c r="E1148" s="66">
        <v>0.0</v>
      </c>
      <c r="F1148" s="66" t="s">
        <v>227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2">
        <f t="shared" si="2"/>
        <v>0.1641</v>
      </c>
      <c r="L1148" s="82">
        <f t="shared" si="3"/>
        <v>0.103</v>
      </c>
    </row>
    <row r="1149">
      <c r="A1149" s="83">
        <v>44705.0</v>
      </c>
      <c r="B1149" s="83">
        <v>44705.0</v>
      </c>
      <c r="C1149" s="66" t="s">
        <v>236</v>
      </c>
      <c r="D1149" s="66" t="s">
        <v>221</v>
      </c>
      <c r="E1149" s="66">
        <v>0.0</v>
      </c>
      <c r="F1149" s="66" t="s">
        <v>227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2">
        <f t="shared" si="2"/>
        <v>2.9333</v>
      </c>
      <c r="L1149" s="82">
        <f t="shared" si="3"/>
        <v>0.488</v>
      </c>
    </row>
    <row r="1150">
      <c r="A1150" s="83">
        <v>44705.0</v>
      </c>
      <c r="B1150" s="83">
        <v>44705.0</v>
      </c>
      <c r="C1150" s="66" t="s">
        <v>95</v>
      </c>
      <c r="D1150" s="66" t="s">
        <v>221</v>
      </c>
      <c r="E1150" s="66">
        <v>0.0</v>
      </c>
      <c r="F1150" s="66" t="s">
        <v>227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2">
        <f t="shared" si="2"/>
        <v>2.177</v>
      </c>
      <c r="L1150" s="82">
        <f t="shared" si="3"/>
        <v>0.421</v>
      </c>
    </row>
    <row r="1151">
      <c r="A1151" s="83">
        <v>44705.0</v>
      </c>
      <c r="B1151" s="83">
        <v>44705.0</v>
      </c>
      <c r="C1151" s="66" t="s">
        <v>236</v>
      </c>
      <c r="D1151" s="66" t="s">
        <v>221</v>
      </c>
      <c r="E1151" s="66">
        <v>0.0</v>
      </c>
      <c r="F1151" s="66" t="s">
        <v>228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2">
        <f t="shared" si="2"/>
        <v>7.16</v>
      </c>
      <c r="L1151" s="82">
        <f t="shared" si="3"/>
        <v>1.891</v>
      </c>
    </row>
    <row r="1152">
      <c r="A1152" s="83">
        <v>44705.0</v>
      </c>
      <c r="B1152" s="83">
        <v>44705.0</v>
      </c>
      <c r="C1152" s="66" t="s">
        <v>235</v>
      </c>
      <c r="D1152" s="66" t="s">
        <v>221</v>
      </c>
      <c r="E1152" s="66">
        <v>0.0</v>
      </c>
      <c r="F1152" s="66" t="s">
        <v>227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2">
        <f t="shared" si="2"/>
        <v>1.7686</v>
      </c>
      <c r="L1152" s="82">
        <f t="shared" si="3"/>
        <v>0.232</v>
      </c>
    </row>
    <row r="1153">
      <c r="A1153" s="83">
        <v>44705.0</v>
      </c>
      <c r="B1153" s="83">
        <v>44705.0</v>
      </c>
      <c r="C1153" s="66" t="s">
        <v>235</v>
      </c>
      <c r="D1153" s="66" t="s">
        <v>221</v>
      </c>
      <c r="E1153" s="66">
        <v>0.0</v>
      </c>
      <c r="F1153" s="66" t="s">
        <v>227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2">
        <f t="shared" si="2"/>
        <v>2.107</v>
      </c>
      <c r="L1153" s="82">
        <f t="shared" si="3"/>
        <v>0.352</v>
      </c>
    </row>
    <row r="1154">
      <c r="A1154" s="83">
        <v>44705.0</v>
      </c>
      <c r="B1154" s="83">
        <v>44705.0</v>
      </c>
      <c r="C1154" s="66" t="s">
        <v>95</v>
      </c>
      <c r="D1154" s="66" t="s">
        <v>221</v>
      </c>
      <c r="E1154" s="66">
        <v>0.0</v>
      </c>
      <c r="F1154" s="66" t="s">
        <v>227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2">
        <f t="shared" si="2"/>
        <v>1.6819</v>
      </c>
      <c r="L1154" s="82">
        <f t="shared" si="3"/>
        <v>0.242</v>
      </c>
    </row>
    <row r="1155">
      <c r="A1155" s="83">
        <v>44705.0</v>
      </c>
      <c r="B1155" s="83">
        <v>44705.0</v>
      </c>
      <c r="C1155" s="66" t="s">
        <v>95</v>
      </c>
      <c r="D1155" s="66" t="s">
        <v>221</v>
      </c>
      <c r="E1155" s="66">
        <v>0.0</v>
      </c>
      <c r="F1155" s="66" t="s">
        <v>228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2">
        <f t="shared" si="2"/>
        <v>4.079</v>
      </c>
      <c r="L1155" s="82">
        <f t="shared" si="3"/>
        <v>1.206</v>
      </c>
    </row>
    <row r="1156">
      <c r="A1156" s="83">
        <v>44705.0</v>
      </c>
      <c r="B1156" s="83">
        <v>44705.0</v>
      </c>
      <c r="C1156" s="66" t="s">
        <v>236</v>
      </c>
      <c r="D1156" s="66" t="s">
        <v>221</v>
      </c>
      <c r="E1156" s="66">
        <v>0.0</v>
      </c>
      <c r="F1156" s="66" t="s">
        <v>228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2">
        <f t="shared" si="2"/>
        <v>7.388</v>
      </c>
      <c r="L1156" s="82">
        <f t="shared" si="3"/>
        <v>1.63</v>
      </c>
    </row>
    <row r="1157">
      <c r="A1157" s="83">
        <v>44705.0</v>
      </c>
      <c r="B1157" s="83">
        <v>44705.0</v>
      </c>
      <c r="C1157" s="66" t="s">
        <v>236</v>
      </c>
      <c r="D1157" s="66" t="s">
        <v>221</v>
      </c>
      <c r="E1157" s="66">
        <v>0.0</v>
      </c>
      <c r="F1157" s="66" t="s">
        <v>227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2">
        <f t="shared" si="2"/>
        <v>3.3835</v>
      </c>
      <c r="L1157" s="82">
        <f t="shared" si="3"/>
        <v>0.579</v>
      </c>
    </row>
    <row r="1158">
      <c r="A1158" s="83">
        <v>44705.0</v>
      </c>
      <c r="B1158" s="83">
        <v>44705.0</v>
      </c>
      <c r="C1158" s="66" t="s">
        <v>236</v>
      </c>
      <c r="D1158" s="66" t="s">
        <v>221</v>
      </c>
      <c r="E1158" s="66">
        <v>0.0</v>
      </c>
      <c r="F1158" s="66" t="s">
        <v>227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2">
        <f t="shared" si="2"/>
        <v>2.8246</v>
      </c>
      <c r="L1158" s="82">
        <f t="shared" si="3"/>
        <v>0.47</v>
      </c>
    </row>
    <row r="1159">
      <c r="A1159" s="83">
        <v>44705.0</v>
      </c>
      <c r="B1159" s="83">
        <v>44705.0</v>
      </c>
      <c r="C1159" s="66" t="s">
        <v>236</v>
      </c>
      <c r="D1159" s="66" t="s">
        <v>221</v>
      </c>
      <c r="E1159" s="66">
        <v>0.0</v>
      </c>
      <c r="F1159" s="66" t="s">
        <v>227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2">
        <f t="shared" si="2"/>
        <v>2.7036</v>
      </c>
      <c r="L1159" s="82">
        <f t="shared" si="3"/>
        <v>0.347</v>
      </c>
    </row>
    <row r="1160">
      <c r="A1160" s="83">
        <v>44705.0</v>
      </c>
      <c r="B1160" s="83">
        <v>44705.0</v>
      </c>
      <c r="C1160" s="66" t="s">
        <v>95</v>
      </c>
      <c r="D1160" s="66" t="s">
        <v>221</v>
      </c>
      <c r="E1160" s="66">
        <v>0.0</v>
      </c>
      <c r="F1160" s="66" t="s">
        <v>228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2">
        <f t="shared" si="2"/>
        <v>3.6718</v>
      </c>
      <c r="L1160" s="82">
        <f t="shared" si="3"/>
        <v>1.028</v>
      </c>
    </row>
    <row r="1161">
      <c r="A1161" s="83">
        <v>44705.0</v>
      </c>
      <c r="B1161" s="83">
        <v>44705.0</v>
      </c>
      <c r="C1161" s="66" t="s">
        <v>95</v>
      </c>
      <c r="D1161" s="66" t="s">
        <v>221</v>
      </c>
      <c r="E1161" s="66">
        <v>0.0</v>
      </c>
      <c r="F1161" s="66" t="s">
        <v>228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2">
        <f t="shared" si="2"/>
        <v>3.8396</v>
      </c>
      <c r="L1161" s="82">
        <f t="shared" si="3"/>
        <v>1.329</v>
      </c>
    </row>
    <row r="1162">
      <c r="A1162" s="83">
        <v>44705.0</v>
      </c>
      <c r="B1162" s="83">
        <v>44705.0</v>
      </c>
      <c r="C1162" s="66" t="s">
        <v>236</v>
      </c>
      <c r="D1162" s="66" t="s">
        <v>221</v>
      </c>
      <c r="E1162" s="66">
        <v>0.0</v>
      </c>
      <c r="F1162" s="66" t="s">
        <v>228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2">
        <f t="shared" si="2"/>
        <v>2.083</v>
      </c>
      <c r="L1162" s="82">
        <f t="shared" si="3"/>
        <v>7.5051</v>
      </c>
    </row>
    <row r="1163">
      <c r="A1163" s="83">
        <v>44705.0</v>
      </c>
      <c r="B1163" s="83">
        <v>44705.0</v>
      </c>
      <c r="C1163" s="66" t="s">
        <v>235</v>
      </c>
      <c r="D1163" s="66" t="s">
        <v>221</v>
      </c>
      <c r="E1163" s="66">
        <v>0.0</v>
      </c>
      <c r="F1163" s="66" t="s">
        <v>228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2">
        <f t="shared" si="2"/>
        <v>3.6192</v>
      </c>
      <c r="L1163" s="82">
        <f t="shared" si="3"/>
        <v>1.092</v>
      </c>
    </row>
    <row r="1164">
      <c r="A1164" s="83">
        <v>44705.0</v>
      </c>
      <c r="B1164" s="83">
        <v>44705.0</v>
      </c>
      <c r="C1164" s="66" t="s">
        <v>235</v>
      </c>
      <c r="D1164" s="66" t="s">
        <v>221</v>
      </c>
      <c r="E1164" s="66">
        <v>0.0</v>
      </c>
      <c r="F1164" s="66" t="s">
        <v>228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2">
        <f t="shared" si="2"/>
        <v>4.6834</v>
      </c>
      <c r="L1164" s="82">
        <f t="shared" si="3"/>
        <v>1.269</v>
      </c>
    </row>
    <row r="1165">
      <c r="A1165" s="83">
        <v>44705.0</v>
      </c>
      <c r="B1165" s="83">
        <v>44705.0</v>
      </c>
      <c r="C1165" s="66" t="s">
        <v>95</v>
      </c>
      <c r="D1165" s="66" t="s">
        <v>221</v>
      </c>
      <c r="E1165" s="66">
        <v>0.0</v>
      </c>
      <c r="F1165" s="66" t="s">
        <v>228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2">
        <f t="shared" si="2"/>
        <v>3.3666</v>
      </c>
      <c r="L1165" s="82">
        <f t="shared" si="3"/>
        <v>0.953</v>
      </c>
    </row>
    <row r="1166">
      <c r="A1166" s="83">
        <v>44705.0</v>
      </c>
      <c r="B1166" s="83">
        <v>44705.0</v>
      </c>
      <c r="C1166" s="66" t="s">
        <v>235</v>
      </c>
      <c r="D1166" s="66" t="s">
        <v>221</v>
      </c>
      <c r="E1166" s="66">
        <v>0.0</v>
      </c>
      <c r="F1166" s="66" t="s">
        <v>228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2">
        <f t="shared" si="2"/>
        <v>4.3504</v>
      </c>
      <c r="L1166" s="82">
        <f t="shared" si="3"/>
        <v>1.296</v>
      </c>
    </row>
    <row r="1167">
      <c r="A1167" s="83">
        <v>44705.0</v>
      </c>
      <c r="B1167" s="83">
        <v>44705.0</v>
      </c>
      <c r="C1167" s="66" t="s">
        <v>95</v>
      </c>
      <c r="D1167" s="66" t="s">
        <v>221</v>
      </c>
      <c r="E1167" s="66">
        <v>0.0</v>
      </c>
      <c r="F1167" s="66" t="s">
        <v>227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2">
        <f t="shared" si="2"/>
        <v>1.916</v>
      </c>
      <c r="L1167" s="82">
        <f t="shared" si="3"/>
        <v>0.397</v>
      </c>
    </row>
    <row r="1168">
      <c r="A1168" s="83">
        <v>44705.0</v>
      </c>
      <c r="B1168" s="83">
        <v>44705.0</v>
      </c>
      <c r="C1168" s="66" t="s">
        <v>95</v>
      </c>
      <c r="D1168" s="66" t="s">
        <v>221</v>
      </c>
      <c r="E1168" s="66">
        <v>0.0</v>
      </c>
      <c r="F1168" s="66" t="s">
        <v>227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2">
        <f t="shared" si="2"/>
        <v>1.8117</v>
      </c>
      <c r="L1168" s="82">
        <f t="shared" si="3"/>
        <v>0.301</v>
      </c>
    </row>
    <row r="1169">
      <c r="A1169" s="83">
        <v>44705.0</v>
      </c>
      <c r="B1169" s="83">
        <v>44705.0</v>
      </c>
      <c r="C1169" s="66" t="s">
        <v>235</v>
      </c>
      <c r="D1169" s="66" t="s">
        <v>221</v>
      </c>
      <c r="E1169" s="66">
        <v>0.0</v>
      </c>
      <c r="F1169" s="66" t="s">
        <v>227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2">
        <f t="shared" si="2"/>
        <v>1.819</v>
      </c>
      <c r="L1169" s="82">
        <f t="shared" si="3"/>
        <v>0.264</v>
      </c>
    </row>
    <row r="1170">
      <c r="A1170" s="83">
        <v>44705.0</v>
      </c>
      <c r="B1170" s="83">
        <v>44705.0</v>
      </c>
      <c r="C1170" s="66" t="s">
        <v>236</v>
      </c>
      <c r="D1170" s="66" t="s">
        <v>221</v>
      </c>
      <c r="E1170" s="66">
        <v>0.0</v>
      </c>
      <c r="F1170" s="66" t="s">
        <v>228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2">
        <f t="shared" si="2"/>
        <v>8.3542</v>
      </c>
      <c r="L1170" s="82">
        <f t="shared" si="3"/>
        <v>2.212</v>
      </c>
    </row>
    <row r="1171">
      <c r="A1171" s="83">
        <v>44706.0</v>
      </c>
      <c r="B1171" s="83">
        <v>44706.0</v>
      </c>
      <c r="C1171" s="66">
        <v>2006.0</v>
      </c>
      <c r="D1171" s="66" t="s">
        <v>221</v>
      </c>
      <c r="E1171" s="66">
        <v>0.0</v>
      </c>
      <c r="F1171" s="66" t="s">
        <v>227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2">
        <f t="shared" si="2"/>
        <v>0.4827</v>
      </c>
      <c r="L1171" s="82">
        <f t="shared" si="3"/>
        <v>0.224</v>
      </c>
    </row>
    <row r="1172">
      <c r="A1172" s="83">
        <v>44706.0</v>
      </c>
      <c r="B1172" s="83">
        <v>44706.0</v>
      </c>
      <c r="C1172" s="66">
        <v>2005.0</v>
      </c>
      <c r="D1172" s="66" t="s">
        <v>221</v>
      </c>
      <c r="E1172" s="66">
        <v>0.0</v>
      </c>
      <c r="F1172" s="66" t="s">
        <v>228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2">
        <f t="shared" si="2"/>
        <v>4.6959</v>
      </c>
      <c r="L1172" s="82">
        <f t="shared" si="3"/>
        <v>2.2718</v>
      </c>
    </row>
    <row r="1173">
      <c r="A1173" s="83">
        <v>44706.0</v>
      </c>
      <c r="B1173" s="83">
        <v>44706.0</v>
      </c>
      <c r="C1173" s="66">
        <v>2085.0</v>
      </c>
      <c r="D1173" s="66" t="s">
        <v>221</v>
      </c>
      <c r="E1173" s="66">
        <v>1.0</v>
      </c>
      <c r="F1173" s="66" t="s">
        <v>227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2">
        <f t="shared" si="2"/>
        <v>0.3161</v>
      </c>
      <c r="L1173" s="82">
        <f t="shared" si="3"/>
        <v>0.179</v>
      </c>
    </row>
    <row r="1174">
      <c r="A1174" s="83">
        <v>44706.0</v>
      </c>
      <c r="B1174" s="83">
        <v>44706.0</v>
      </c>
      <c r="C1174" s="66">
        <v>2005.0</v>
      </c>
      <c r="D1174" s="66" t="s">
        <v>221</v>
      </c>
      <c r="E1174" s="66">
        <v>0.0</v>
      </c>
      <c r="F1174" s="66" t="s">
        <v>227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2">
        <f t="shared" si="2"/>
        <v>0.9144</v>
      </c>
      <c r="L1174" s="82">
        <f t="shared" si="3"/>
        <v>0.44</v>
      </c>
    </row>
    <row r="1175">
      <c r="A1175" s="83">
        <v>44706.0</v>
      </c>
      <c r="B1175" s="83">
        <v>44706.0</v>
      </c>
      <c r="C1175" s="66">
        <v>2085.0</v>
      </c>
      <c r="D1175" s="66" t="s">
        <v>221</v>
      </c>
      <c r="E1175" s="66">
        <v>0.0</v>
      </c>
      <c r="F1175" s="66" t="s">
        <v>227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2">
        <f t="shared" si="2"/>
        <v>0.4464</v>
      </c>
      <c r="L1175" s="82">
        <f t="shared" si="3"/>
        <v>0.1597</v>
      </c>
    </row>
    <row r="1176">
      <c r="A1176" s="83">
        <v>44706.0</v>
      </c>
      <c r="B1176" s="83">
        <v>44706.0</v>
      </c>
      <c r="C1176" s="66">
        <v>2012.0</v>
      </c>
      <c r="D1176" s="66" t="s">
        <v>221</v>
      </c>
      <c r="E1176" s="66">
        <v>1.0</v>
      </c>
      <c r="F1176" s="66" t="s">
        <v>227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2">
        <f t="shared" si="2"/>
        <v>0.8118</v>
      </c>
      <c r="L1176" s="82">
        <f t="shared" si="3"/>
        <v>0.4321</v>
      </c>
    </row>
    <row r="1177">
      <c r="A1177" s="83">
        <v>44706.0</v>
      </c>
      <c r="B1177" s="83">
        <v>44706.0</v>
      </c>
      <c r="C1177" s="66">
        <v>2012.0</v>
      </c>
      <c r="D1177" s="66" t="s">
        <v>221</v>
      </c>
      <c r="E1177" s="66">
        <v>0.0</v>
      </c>
      <c r="F1177" s="66" t="s">
        <v>228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2">
        <f t="shared" si="2"/>
        <v>3.8233</v>
      </c>
      <c r="L1177" s="82">
        <f t="shared" si="3"/>
        <v>1.9377</v>
      </c>
    </row>
    <row r="1178">
      <c r="A1178" s="83">
        <v>44706.0</v>
      </c>
      <c r="B1178" s="83">
        <v>44706.0</v>
      </c>
      <c r="C1178" s="66">
        <v>2085.0</v>
      </c>
      <c r="D1178" s="66" t="s">
        <v>221</v>
      </c>
      <c r="E1178" s="66">
        <v>0.0</v>
      </c>
      <c r="F1178" s="66" t="s">
        <v>228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2">
        <f t="shared" si="2"/>
        <v>2.7843</v>
      </c>
      <c r="L1178" s="82">
        <f t="shared" si="3"/>
        <v>1.2236</v>
      </c>
    </row>
    <row r="1179">
      <c r="A1179" s="83">
        <v>44706.0</v>
      </c>
      <c r="B1179" s="83">
        <v>44706.0</v>
      </c>
      <c r="C1179" s="66">
        <v>2005.0</v>
      </c>
      <c r="D1179" s="66" t="s">
        <v>221</v>
      </c>
      <c r="E1179" s="66">
        <v>1.0</v>
      </c>
      <c r="F1179" s="66" t="s">
        <v>227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2">
        <f t="shared" si="2"/>
        <v>0.8871</v>
      </c>
      <c r="L1179" s="82">
        <f t="shared" si="3"/>
        <v>0.4678</v>
      </c>
    </row>
    <row r="1180">
      <c r="A1180" s="83">
        <v>44706.0</v>
      </c>
      <c r="B1180" s="83">
        <v>44706.0</v>
      </c>
      <c r="C1180" s="66">
        <v>2012.0</v>
      </c>
      <c r="D1180" s="66" t="s">
        <v>221</v>
      </c>
      <c r="E1180" s="66">
        <v>0.0</v>
      </c>
      <c r="F1180" s="66" t="s">
        <v>227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2">
        <f t="shared" si="2"/>
        <v>0.8813</v>
      </c>
      <c r="L1180" s="82">
        <f t="shared" si="3"/>
        <v>0.3916</v>
      </c>
    </row>
    <row r="1181">
      <c r="A1181" s="83">
        <v>44706.0</v>
      </c>
      <c r="B1181" s="83">
        <v>44706.0</v>
      </c>
      <c r="C1181" s="66">
        <v>2090.0</v>
      </c>
      <c r="D1181" s="66" t="s">
        <v>221</v>
      </c>
      <c r="E1181" s="66">
        <v>0.0</v>
      </c>
      <c r="F1181" s="66" t="s">
        <v>227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2">
        <f t="shared" si="2"/>
        <v>0.2439</v>
      </c>
      <c r="L1181" s="82">
        <f t="shared" si="3"/>
        <v>0.1434</v>
      </c>
    </row>
    <row r="1182">
      <c r="A1182" s="83">
        <v>44706.0</v>
      </c>
      <c r="B1182" s="83">
        <v>44706.0</v>
      </c>
      <c r="C1182" s="66">
        <v>2090.0</v>
      </c>
      <c r="D1182" s="66" t="s">
        <v>221</v>
      </c>
      <c r="E1182" s="66">
        <v>0.0</v>
      </c>
      <c r="F1182" s="66" t="s">
        <v>228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2">
        <f t="shared" si="2"/>
        <v>2.9909</v>
      </c>
      <c r="L1182" s="82">
        <f t="shared" si="3"/>
        <v>1.41</v>
      </c>
    </row>
    <row r="1183">
      <c r="A1183" s="83">
        <v>44706.0</v>
      </c>
      <c r="B1183" s="83">
        <v>44706.0</v>
      </c>
      <c r="C1183" s="66">
        <v>2089.0</v>
      </c>
      <c r="D1183" s="66" t="s">
        <v>221</v>
      </c>
      <c r="E1183" s="66">
        <v>0.0</v>
      </c>
      <c r="F1183" s="66" t="s">
        <v>227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2">
        <f t="shared" si="2"/>
        <v>0.17</v>
      </c>
      <c r="L1183" s="82">
        <f t="shared" si="3"/>
        <v>0.0795</v>
      </c>
    </row>
    <row r="1184">
      <c r="A1184" s="83">
        <v>44706.0</v>
      </c>
      <c r="B1184" s="83">
        <v>44706.0</v>
      </c>
      <c r="C1184" s="66">
        <v>2087.0</v>
      </c>
      <c r="D1184" s="66" t="s">
        <v>221</v>
      </c>
      <c r="E1184" s="66">
        <v>0.0</v>
      </c>
      <c r="F1184" s="66" t="s">
        <v>227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2">
        <f t="shared" si="2"/>
        <v>1.0637</v>
      </c>
      <c r="L1184" s="82">
        <f t="shared" si="3"/>
        <v>0.5177</v>
      </c>
    </row>
    <row r="1185">
      <c r="A1185" s="83">
        <v>44706.0</v>
      </c>
      <c r="B1185" s="83">
        <v>44706.0</v>
      </c>
      <c r="C1185" s="66">
        <v>2015.0</v>
      </c>
      <c r="D1185" s="66" t="s">
        <v>221</v>
      </c>
      <c r="E1185" s="66">
        <v>0.0</v>
      </c>
      <c r="F1185" s="66" t="s">
        <v>227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2">
        <f t="shared" si="2"/>
        <v>0.344</v>
      </c>
      <c r="L1185" s="82">
        <f t="shared" si="3"/>
        <v>0.2065</v>
      </c>
    </row>
    <row r="1186">
      <c r="A1186" s="83">
        <v>44706.0</v>
      </c>
      <c r="B1186" s="83">
        <v>44706.0</v>
      </c>
      <c r="C1186" s="66">
        <v>2086.0</v>
      </c>
      <c r="D1186" s="66" t="s">
        <v>221</v>
      </c>
      <c r="E1186" s="66">
        <v>1.0</v>
      </c>
      <c r="F1186" s="66" t="s">
        <v>227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2">
        <f t="shared" si="2"/>
        <v>0.3669</v>
      </c>
      <c r="L1186" s="82">
        <f t="shared" si="3"/>
        <v>0.2064</v>
      </c>
    </row>
    <row r="1187">
      <c r="A1187" s="83">
        <v>44706.0</v>
      </c>
      <c r="B1187" s="83">
        <v>44706.0</v>
      </c>
      <c r="C1187" s="66">
        <v>2088.0</v>
      </c>
      <c r="D1187" s="66" t="s">
        <v>221</v>
      </c>
      <c r="E1187" s="66">
        <v>0.0</v>
      </c>
      <c r="F1187" s="66" t="s">
        <v>228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2">
        <f t="shared" si="2"/>
        <v>4.0783</v>
      </c>
      <c r="L1187" s="82">
        <f t="shared" si="3"/>
        <v>2.1046</v>
      </c>
    </row>
    <row r="1188">
      <c r="A1188" s="83">
        <v>44706.0</v>
      </c>
      <c r="B1188" s="83">
        <v>44706.0</v>
      </c>
      <c r="C1188" s="66">
        <v>1478.0</v>
      </c>
      <c r="D1188" s="66" t="s">
        <v>221</v>
      </c>
      <c r="E1188" s="66">
        <v>1.0</v>
      </c>
      <c r="F1188" s="66" t="s">
        <v>227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2">
        <f t="shared" si="2"/>
        <v>0.5232</v>
      </c>
      <c r="L1188" s="82">
        <f t="shared" si="3"/>
        <v>0.3278</v>
      </c>
    </row>
    <row r="1189">
      <c r="A1189" s="83">
        <v>44706.0</v>
      </c>
      <c r="B1189" s="83">
        <v>44706.0</v>
      </c>
      <c r="C1189" s="66">
        <v>2092.0</v>
      </c>
      <c r="D1189" s="66" t="s">
        <v>221</v>
      </c>
      <c r="E1189" s="66">
        <v>0.0</v>
      </c>
      <c r="F1189" s="66" t="s">
        <v>228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2">
        <f t="shared" si="2"/>
        <v>1.9367</v>
      </c>
      <c r="L1189" s="82">
        <f t="shared" si="3"/>
        <v>1.0667</v>
      </c>
    </row>
    <row r="1190">
      <c r="A1190" s="83">
        <v>44706.0</v>
      </c>
      <c r="B1190" s="83">
        <v>44706.0</v>
      </c>
      <c r="C1190" s="66">
        <v>2092.0</v>
      </c>
      <c r="D1190" s="66" t="s">
        <v>221</v>
      </c>
      <c r="E1190" s="66">
        <v>0.0</v>
      </c>
      <c r="F1190" s="66" t="s">
        <v>227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2">
        <f t="shared" si="2"/>
        <v>0.0393</v>
      </c>
      <c r="L1190" s="82">
        <f t="shared" si="3"/>
        <v>0.0464</v>
      </c>
    </row>
    <row r="1191">
      <c r="A1191" s="83">
        <v>44706.0</v>
      </c>
      <c r="B1191" s="83">
        <v>44706.0</v>
      </c>
      <c r="C1191" s="66">
        <v>2086.0</v>
      </c>
      <c r="D1191" s="66" t="s">
        <v>221</v>
      </c>
      <c r="E1191" s="66">
        <v>0.0</v>
      </c>
      <c r="F1191" s="66" t="s">
        <v>228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2">
        <f t="shared" si="2"/>
        <v>0.7783</v>
      </c>
      <c r="L1191" s="82">
        <f t="shared" si="3"/>
        <v>0.4056</v>
      </c>
    </row>
    <row r="1192">
      <c r="A1192" s="83">
        <v>44706.0</v>
      </c>
      <c r="B1192" s="83">
        <v>44706.0</v>
      </c>
      <c r="C1192" s="66">
        <v>2006.0</v>
      </c>
      <c r="D1192" s="66" t="s">
        <v>221</v>
      </c>
      <c r="E1192" s="66">
        <v>0.0</v>
      </c>
      <c r="F1192" s="66" t="s">
        <v>228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2">
        <f t="shared" si="2"/>
        <v>4.1554</v>
      </c>
      <c r="L1192" s="82">
        <f t="shared" si="3"/>
        <v>2.218</v>
      </c>
    </row>
    <row r="1193">
      <c r="A1193" s="83">
        <v>44706.0</v>
      </c>
      <c r="B1193" s="83">
        <v>44706.0</v>
      </c>
      <c r="C1193" s="66">
        <v>2086.0</v>
      </c>
      <c r="D1193" s="66" t="s">
        <v>221</v>
      </c>
      <c r="E1193" s="66">
        <v>0.0</v>
      </c>
      <c r="F1193" s="66" t="s">
        <v>227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2">
        <f t="shared" si="2"/>
        <v>0.1356</v>
      </c>
      <c r="L1193" s="82">
        <f t="shared" si="3"/>
        <v>0.0686</v>
      </c>
    </row>
    <row r="1194">
      <c r="A1194" s="83">
        <v>44706.0</v>
      </c>
      <c r="B1194" s="83">
        <v>44706.0</v>
      </c>
      <c r="C1194" s="66">
        <v>2008.0</v>
      </c>
      <c r="D1194" s="66" t="s">
        <v>221</v>
      </c>
      <c r="E1194" s="66">
        <v>0.0</v>
      </c>
      <c r="F1194" s="66" t="s">
        <v>227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2">
        <f t="shared" si="2"/>
        <v>0.4701</v>
      </c>
      <c r="L1194" s="82">
        <f t="shared" si="3"/>
        <v>0.2489</v>
      </c>
    </row>
    <row r="1195">
      <c r="A1195" s="83">
        <v>44706.0</v>
      </c>
      <c r="B1195" s="83">
        <v>44706.0</v>
      </c>
      <c r="C1195" s="66">
        <v>2093.0</v>
      </c>
      <c r="D1195" s="66" t="s">
        <v>221</v>
      </c>
      <c r="E1195" s="66">
        <v>1.0</v>
      </c>
      <c r="F1195" s="66" t="s">
        <v>228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2">
        <f t="shared" si="2"/>
        <v>0.2342</v>
      </c>
      <c r="L1195" s="82">
        <f t="shared" si="3"/>
        <v>0.1368</v>
      </c>
    </row>
    <row r="1196">
      <c r="A1196" s="83">
        <v>44706.0</v>
      </c>
      <c r="B1196" s="83">
        <v>44706.0</v>
      </c>
      <c r="C1196" s="66">
        <v>2092.0</v>
      </c>
      <c r="D1196" s="66" t="s">
        <v>221</v>
      </c>
      <c r="E1196" s="66">
        <v>1.0</v>
      </c>
      <c r="F1196" s="66" t="s">
        <v>228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2">
        <f t="shared" si="2"/>
        <v>2.0431</v>
      </c>
      <c r="L1196" s="82">
        <f t="shared" si="3"/>
        <v>1.2498</v>
      </c>
    </row>
    <row r="1197">
      <c r="A1197" s="83">
        <v>44706.0</v>
      </c>
      <c r="B1197" s="83">
        <v>44706.0</v>
      </c>
      <c r="C1197" s="66">
        <v>2093.0</v>
      </c>
      <c r="D1197" s="66" t="s">
        <v>221</v>
      </c>
      <c r="E1197" s="66">
        <v>1.0</v>
      </c>
      <c r="F1197" s="66" t="s">
        <v>227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2">
        <f t="shared" si="2"/>
        <v>0.4833</v>
      </c>
      <c r="L1197" s="82">
        <f t="shared" si="3"/>
        <v>0.2758</v>
      </c>
    </row>
    <row r="1198">
      <c r="A1198" s="83">
        <v>44706.0</v>
      </c>
      <c r="B1198" s="83">
        <v>44706.0</v>
      </c>
      <c r="C1198" s="66">
        <v>2091.0</v>
      </c>
      <c r="D1198" s="66" t="s">
        <v>221</v>
      </c>
      <c r="E1198" s="66">
        <v>1.0</v>
      </c>
      <c r="F1198" s="66" t="s">
        <v>227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2">
        <f t="shared" si="2"/>
        <v>0.798</v>
      </c>
      <c r="L1198" s="82">
        <f t="shared" si="3"/>
        <v>0.4496</v>
      </c>
    </row>
    <row r="1199">
      <c r="A1199" s="83">
        <v>44706.0</v>
      </c>
      <c r="B1199" s="83">
        <v>44706.0</v>
      </c>
      <c r="C1199" s="66">
        <v>2087.0</v>
      </c>
      <c r="D1199" s="66" t="s">
        <v>221</v>
      </c>
      <c r="E1199" s="66">
        <v>0.0</v>
      </c>
      <c r="F1199" s="66" t="s">
        <v>228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2">
        <f t="shared" si="2"/>
        <v>3.3644</v>
      </c>
      <c r="L1199" s="82">
        <f t="shared" si="3"/>
        <v>1.7934</v>
      </c>
    </row>
    <row r="1200">
      <c r="A1200" s="83">
        <v>44706.0</v>
      </c>
      <c r="B1200" s="83">
        <v>44706.0</v>
      </c>
      <c r="C1200" s="66">
        <v>2091.0</v>
      </c>
      <c r="D1200" s="66" t="s">
        <v>221</v>
      </c>
      <c r="E1200" s="66">
        <v>0.0</v>
      </c>
      <c r="F1200" s="66" t="s">
        <v>227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2">
        <f t="shared" si="2"/>
        <v>0.1411</v>
      </c>
      <c r="L1200" s="82">
        <f t="shared" si="3"/>
        <v>0.0518</v>
      </c>
    </row>
    <row r="1201">
      <c r="A1201" s="83">
        <v>44706.0</v>
      </c>
      <c r="B1201" s="83">
        <v>44706.0</v>
      </c>
      <c r="C1201" s="66">
        <v>2012.0</v>
      </c>
      <c r="D1201" s="66" t="s">
        <v>221</v>
      </c>
      <c r="E1201" s="66">
        <v>1.0</v>
      </c>
      <c r="F1201" s="66" t="s">
        <v>227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2">
        <f t="shared" si="2"/>
        <v>0.0911</v>
      </c>
      <c r="L1201" s="82">
        <f t="shared" si="3"/>
        <v>0.0659</v>
      </c>
    </row>
    <row r="1202">
      <c r="A1202" s="83">
        <v>44706.0</v>
      </c>
      <c r="B1202" s="83">
        <v>44706.0</v>
      </c>
      <c r="C1202" s="66">
        <v>2007.0</v>
      </c>
      <c r="D1202" s="66" t="s">
        <v>221</v>
      </c>
      <c r="E1202" s="66">
        <v>0.0</v>
      </c>
      <c r="F1202" s="66" t="s">
        <v>228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2">
        <f t="shared" si="2"/>
        <v>1.9423</v>
      </c>
      <c r="L1202" s="82">
        <f t="shared" si="3"/>
        <v>1.0623</v>
      </c>
    </row>
    <row r="1203">
      <c r="A1203" s="83">
        <v>44706.0</v>
      </c>
      <c r="B1203" s="83">
        <v>44706.0</v>
      </c>
      <c r="C1203" s="66">
        <v>2089.0</v>
      </c>
      <c r="D1203" s="66" t="s">
        <v>221</v>
      </c>
      <c r="E1203" s="66">
        <v>1.0</v>
      </c>
      <c r="F1203" s="66" t="s">
        <v>228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2">
        <f t="shared" si="2"/>
        <v>1.8311</v>
      </c>
      <c r="L1203" s="82">
        <f t="shared" si="3"/>
        <v>1.0789</v>
      </c>
    </row>
    <row r="1204">
      <c r="A1204" s="83">
        <v>44706.0</v>
      </c>
      <c r="B1204" s="83">
        <v>44706.0</v>
      </c>
      <c r="C1204" s="66">
        <v>2093.0</v>
      </c>
      <c r="D1204" s="66" t="s">
        <v>221</v>
      </c>
      <c r="E1204" s="66">
        <v>0.0</v>
      </c>
      <c r="F1204" s="66" t="s">
        <v>227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2">
        <f t="shared" si="2"/>
        <v>0.0724</v>
      </c>
      <c r="L1204" s="82">
        <f t="shared" si="3"/>
        <v>0.0365</v>
      </c>
    </row>
    <row r="1205">
      <c r="A1205" s="83">
        <v>44706.0</v>
      </c>
      <c r="B1205" s="83">
        <v>44706.0</v>
      </c>
      <c r="C1205" s="66">
        <v>2008.0</v>
      </c>
      <c r="D1205" s="66" t="s">
        <v>221</v>
      </c>
      <c r="E1205" s="66">
        <v>1.0</v>
      </c>
      <c r="F1205" s="66" t="s">
        <v>227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2">
        <f t="shared" si="2"/>
        <v>0.466</v>
      </c>
      <c r="L1205" s="82">
        <f t="shared" si="3"/>
        <v>0.3225</v>
      </c>
    </row>
    <row r="1206">
      <c r="A1206" s="83">
        <v>44706.0</v>
      </c>
      <c r="B1206" s="83">
        <v>44706.0</v>
      </c>
      <c r="C1206" s="66">
        <v>2008.0</v>
      </c>
      <c r="D1206" s="66" t="s">
        <v>221</v>
      </c>
      <c r="E1206" s="66">
        <v>0.0</v>
      </c>
      <c r="F1206" s="66" t="s">
        <v>228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2">
        <f t="shared" si="2"/>
        <v>3.0319</v>
      </c>
      <c r="L1206" s="82">
        <f t="shared" si="3"/>
        <v>1.7815</v>
      </c>
    </row>
    <row r="1207">
      <c r="A1207" s="83">
        <v>44706.0</v>
      </c>
      <c r="B1207" s="83">
        <v>44706.0</v>
      </c>
      <c r="C1207" s="66">
        <v>2015.0</v>
      </c>
      <c r="D1207" s="66" t="s">
        <v>221</v>
      </c>
      <c r="E1207" s="66">
        <v>0.0</v>
      </c>
      <c r="F1207" s="66" t="s">
        <v>228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2">
        <f t="shared" si="2"/>
        <v>2.9395</v>
      </c>
      <c r="L1207" s="82">
        <f t="shared" si="3"/>
        <v>1.5678</v>
      </c>
    </row>
    <row r="1208">
      <c r="A1208" s="83">
        <v>44706.0</v>
      </c>
      <c r="B1208" s="83">
        <v>44706.0</v>
      </c>
      <c r="C1208" s="66">
        <v>1478.0</v>
      </c>
      <c r="D1208" s="66" t="s">
        <v>221</v>
      </c>
      <c r="E1208" s="66">
        <v>0.0</v>
      </c>
      <c r="F1208" s="66" t="s">
        <v>227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2">
        <f t="shared" si="2"/>
        <v>0.2511</v>
      </c>
      <c r="L1208" s="82">
        <f t="shared" si="3"/>
        <v>0.125</v>
      </c>
    </row>
    <row r="1209">
      <c r="A1209" s="83">
        <v>44706.0</v>
      </c>
      <c r="B1209" s="83">
        <v>44706.0</v>
      </c>
      <c r="C1209" s="66">
        <v>2004.0</v>
      </c>
      <c r="D1209" s="66" t="s">
        <v>221</v>
      </c>
      <c r="E1209" s="66">
        <v>0.0</v>
      </c>
      <c r="F1209" s="66" t="s">
        <v>228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2">
        <f t="shared" si="2"/>
        <v>1.9078</v>
      </c>
      <c r="L1209" s="82">
        <f t="shared" si="3"/>
        <v>1.0666</v>
      </c>
    </row>
    <row r="1210">
      <c r="A1210" s="83">
        <v>44706.0</v>
      </c>
      <c r="B1210" s="83">
        <v>44706.0</v>
      </c>
      <c r="C1210" s="66">
        <v>2091.0</v>
      </c>
      <c r="D1210" s="66" t="s">
        <v>221</v>
      </c>
      <c r="E1210" s="66">
        <v>1.0</v>
      </c>
      <c r="F1210" s="66" t="s">
        <v>228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2">
        <f t="shared" si="2"/>
        <v>2.2663</v>
      </c>
      <c r="L1210" s="82">
        <f t="shared" si="3"/>
        <v>1.3342</v>
      </c>
    </row>
    <row r="1211">
      <c r="A1211" s="83">
        <v>44706.0</v>
      </c>
      <c r="B1211" s="83">
        <v>44706.0</v>
      </c>
      <c r="C1211" s="66">
        <v>2088.0</v>
      </c>
      <c r="D1211" s="66" t="s">
        <v>221</v>
      </c>
      <c r="E1211" s="66">
        <v>0.0</v>
      </c>
      <c r="F1211" s="66" t="s">
        <v>227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2">
        <f t="shared" si="2"/>
        <v>0.7114</v>
      </c>
      <c r="L1211" s="82">
        <f t="shared" si="3"/>
        <v>0.3671</v>
      </c>
    </row>
    <row r="1212">
      <c r="A1212" s="83">
        <v>44706.0</v>
      </c>
      <c r="B1212" s="83">
        <v>44706.0</v>
      </c>
      <c r="C1212" s="66">
        <v>2007.0</v>
      </c>
      <c r="D1212" s="66" t="s">
        <v>221</v>
      </c>
      <c r="E1212" s="66">
        <v>1.0</v>
      </c>
      <c r="F1212" s="66" t="s">
        <v>227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2">
        <f t="shared" si="2"/>
        <v>0.5441</v>
      </c>
      <c r="L1212" s="82">
        <f t="shared" si="3"/>
        <v>0.4185</v>
      </c>
    </row>
    <row r="1213">
      <c r="A1213" s="83">
        <v>44706.0</v>
      </c>
      <c r="B1213" s="83">
        <v>44706.0</v>
      </c>
      <c r="C1213" s="66">
        <v>2089.0</v>
      </c>
      <c r="D1213" s="66" t="s">
        <v>221</v>
      </c>
      <c r="E1213" s="66">
        <v>1.0</v>
      </c>
      <c r="F1213" s="66" t="s">
        <v>227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2">
        <f t="shared" si="2"/>
        <v>0.758</v>
      </c>
      <c r="L1213" s="82">
        <f t="shared" si="3"/>
        <v>0.4363</v>
      </c>
    </row>
    <row r="1214">
      <c r="A1214" s="83">
        <v>44706.0</v>
      </c>
      <c r="B1214" s="83">
        <v>44706.0</v>
      </c>
      <c r="C1214" s="66">
        <v>2087.0</v>
      </c>
      <c r="D1214" s="66" t="s">
        <v>221</v>
      </c>
      <c r="E1214" s="66">
        <v>1.0</v>
      </c>
      <c r="F1214" s="66" t="s">
        <v>227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2">
        <f t="shared" si="2"/>
        <v>0.8058</v>
      </c>
      <c r="L1214" s="82">
        <f t="shared" si="3"/>
        <v>0.4783</v>
      </c>
    </row>
    <row r="1215">
      <c r="A1215" s="83">
        <v>44706.0</v>
      </c>
      <c r="B1215" s="83">
        <v>44706.0</v>
      </c>
      <c r="C1215" s="66">
        <v>2004.0</v>
      </c>
      <c r="D1215" s="66" t="s">
        <v>221</v>
      </c>
      <c r="E1215" s="66">
        <v>1.0</v>
      </c>
      <c r="F1215" s="66" t="s">
        <v>227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2">
        <f t="shared" si="2"/>
        <v>0.7495</v>
      </c>
      <c r="L1215" s="82">
        <f t="shared" si="3"/>
        <v>0.4437</v>
      </c>
    </row>
    <row r="1216">
      <c r="A1216" s="83">
        <v>44706.0</v>
      </c>
      <c r="B1216" s="83">
        <v>44706.0</v>
      </c>
      <c r="C1216" s="66">
        <v>2006.0</v>
      </c>
      <c r="D1216" s="66" t="s">
        <v>221</v>
      </c>
      <c r="E1216" s="66">
        <v>1.0</v>
      </c>
      <c r="F1216" s="66" t="s">
        <v>227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2">
        <f t="shared" si="2"/>
        <v>0.5499</v>
      </c>
      <c r="L1216" s="82">
        <f t="shared" si="3"/>
        <v>0.3166</v>
      </c>
    </row>
    <row r="1217">
      <c r="A1217" s="83">
        <v>44706.0</v>
      </c>
      <c r="B1217" s="83">
        <v>44706.0</v>
      </c>
      <c r="C1217" s="66">
        <v>2091.0</v>
      </c>
      <c r="D1217" s="66" t="s">
        <v>221</v>
      </c>
      <c r="E1217" s="66">
        <v>0.0</v>
      </c>
      <c r="F1217" s="66" t="s">
        <v>227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2">
        <f t="shared" si="2"/>
        <v>0.4621</v>
      </c>
      <c r="L1217" s="82">
        <f t="shared" si="3"/>
        <v>0.2302</v>
      </c>
    </row>
    <row r="1218">
      <c r="A1218" s="83">
        <v>44706.0</v>
      </c>
      <c r="B1218" s="83">
        <v>44706.0</v>
      </c>
      <c r="C1218" s="66">
        <v>2004.0</v>
      </c>
      <c r="D1218" s="66" t="s">
        <v>221</v>
      </c>
      <c r="E1218" s="66">
        <v>0.0</v>
      </c>
      <c r="F1218" s="66" t="s">
        <v>227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2">
        <f t="shared" si="2"/>
        <v>0.4099</v>
      </c>
      <c r="L1218" s="82">
        <f t="shared" si="3"/>
        <v>0.2198</v>
      </c>
    </row>
    <row r="1219">
      <c r="A1219" s="83">
        <v>44706.0</v>
      </c>
      <c r="B1219" s="83">
        <v>44706.0</v>
      </c>
      <c r="C1219" s="66">
        <v>2089.0</v>
      </c>
      <c r="D1219" s="66" t="s">
        <v>221</v>
      </c>
      <c r="E1219" s="66">
        <v>0.0</v>
      </c>
      <c r="F1219" s="66" t="s">
        <v>228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2">
        <f t="shared" si="2"/>
        <v>1.8301</v>
      </c>
      <c r="L1219" s="82">
        <f t="shared" si="3"/>
        <v>0.9801</v>
      </c>
    </row>
    <row r="1220">
      <c r="A1220" s="83">
        <v>44706.0</v>
      </c>
      <c r="B1220" s="83">
        <v>44706.0</v>
      </c>
      <c r="C1220" s="66">
        <v>2012.0</v>
      </c>
      <c r="D1220" s="66" t="s">
        <v>221</v>
      </c>
      <c r="E1220" s="66">
        <v>0.0</v>
      </c>
      <c r="F1220" s="66" t="s">
        <v>228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2">
        <f t="shared" si="2"/>
        <v>1.2819</v>
      </c>
      <c r="L1220" s="82">
        <f t="shared" si="3"/>
        <v>0.7277</v>
      </c>
    </row>
    <row r="1221">
      <c r="A1221" s="83">
        <v>44706.0</v>
      </c>
      <c r="B1221" s="83">
        <v>44706.0</v>
      </c>
      <c r="C1221" s="66">
        <v>2007.0</v>
      </c>
      <c r="D1221" s="66" t="s">
        <v>221</v>
      </c>
      <c r="E1221" s="66">
        <v>0.0</v>
      </c>
      <c r="F1221" s="66" t="s">
        <v>227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2">
        <f t="shared" si="2"/>
        <v>0.4839</v>
      </c>
      <c r="L1221" s="82">
        <f t="shared" si="3"/>
        <v>0.2618</v>
      </c>
    </row>
    <row r="1222">
      <c r="A1222" s="83">
        <v>44706.0</v>
      </c>
      <c r="B1222" s="83">
        <v>44706.0</v>
      </c>
      <c r="C1222" s="66">
        <v>2090.0</v>
      </c>
      <c r="D1222" s="66" t="s">
        <v>221</v>
      </c>
      <c r="E1222" s="66">
        <v>1.0</v>
      </c>
      <c r="F1222" s="66" t="s">
        <v>227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2">
        <f t="shared" si="2"/>
        <v>0.4233</v>
      </c>
      <c r="L1222" s="82">
        <f t="shared" si="3"/>
        <v>0.2607</v>
      </c>
    </row>
    <row r="1223">
      <c r="A1223" s="83">
        <v>44706.0</v>
      </c>
      <c r="B1223" s="83">
        <v>44706.0</v>
      </c>
      <c r="C1223" s="66">
        <v>2015.0</v>
      </c>
      <c r="D1223" s="66" t="s">
        <v>221</v>
      </c>
      <c r="E1223" s="66">
        <v>1.0</v>
      </c>
      <c r="F1223" s="66" t="s">
        <v>227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2">
        <f t="shared" si="2"/>
        <v>0.3841</v>
      </c>
      <c r="L1223" s="82">
        <f t="shared" si="3"/>
        <v>0.2752</v>
      </c>
    </row>
    <row r="1224">
      <c r="A1224" s="83">
        <v>44706.0</v>
      </c>
      <c r="B1224" s="83">
        <v>44706.0</v>
      </c>
      <c r="C1224" s="66">
        <v>2093.0</v>
      </c>
      <c r="D1224" s="66" t="s">
        <v>221</v>
      </c>
      <c r="E1224" s="66">
        <v>1.0</v>
      </c>
      <c r="F1224" s="66" t="s">
        <v>228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2">
        <f t="shared" si="2"/>
        <v>1.9056</v>
      </c>
      <c r="L1224" s="82">
        <f t="shared" si="3"/>
        <v>1.1585</v>
      </c>
    </row>
    <row r="1225">
      <c r="A1225" s="83">
        <v>44706.0</v>
      </c>
      <c r="B1225" s="83">
        <v>44706.0</v>
      </c>
      <c r="C1225" s="66">
        <v>2088.0</v>
      </c>
      <c r="D1225" s="66" t="s">
        <v>221</v>
      </c>
      <c r="E1225" s="66">
        <v>1.0</v>
      </c>
      <c r="F1225" s="66" t="s">
        <v>227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2">
        <f t="shared" si="2"/>
        <v>0.8491</v>
      </c>
      <c r="L1225" s="82">
        <f t="shared" si="3"/>
        <v>0.5242</v>
      </c>
    </row>
    <row r="1226">
      <c r="A1226" s="83">
        <v>44706.0</v>
      </c>
      <c r="B1226" s="83">
        <v>44706.0</v>
      </c>
      <c r="C1226" s="66">
        <v>2092.0</v>
      </c>
      <c r="D1226" s="66" t="s">
        <v>221</v>
      </c>
      <c r="E1226" s="66">
        <v>1.0</v>
      </c>
      <c r="F1226" s="66" t="s">
        <v>227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2">
        <f t="shared" si="2"/>
        <v>0.5416</v>
      </c>
      <c r="L1226" s="82">
        <f t="shared" si="3"/>
        <v>0.2924</v>
      </c>
    </row>
    <row r="1227">
      <c r="A1227" s="83">
        <v>44706.0</v>
      </c>
      <c r="B1227" s="83">
        <v>44706.0</v>
      </c>
      <c r="C1227" s="66">
        <v>2012.0</v>
      </c>
      <c r="D1227" s="66" t="s">
        <v>221</v>
      </c>
      <c r="E1227" s="66">
        <v>0.0</v>
      </c>
      <c r="F1227" s="66" t="s">
        <v>227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2">
        <f t="shared" si="2"/>
        <v>0.4367</v>
      </c>
      <c r="L1227" s="82">
        <f t="shared" si="3"/>
        <v>0.2627</v>
      </c>
    </row>
    <row r="1228">
      <c r="A1228" s="83">
        <v>44706.0</v>
      </c>
      <c r="B1228" s="83">
        <v>44706.0</v>
      </c>
      <c r="C1228" s="66">
        <v>1478.0</v>
      </c>
      <c r="D1228" s="66" t="s">
        <v>221</v>
      </c>
      <c r="E1228" s="66">
        <v>0.0</v>
      </c>
      <c r="F1228" s="66" t="s">
        <v>228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2">
        <f t="shared" si="2"/>
        <v>1.2948</v>
      </c>
      <c r="L1228" s="82">
        <f t="shared" si="3"/>
        <v>0.7485</v>
      </c>
    </row>
    <row r="1229">
      <c r="A1229" s="83">
        <v>44706.0</v>
      </c>
      <c r="B1229" s="83">
        <v>44706.0</v>
      </c>
      <c r="C1229" s="66">
        <v>2025.0</v>
      </c>
      <c r="D1229" s="66" t="s">
        <v>226</v>
      </c>
      <c r="E1229" s="66">
        <v>1.0</v>
      </c>
      <c r="F1229" s="66" t="s">
        <v>227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2">
        <f t="shared" si="2"/>
        <v>0.51</v>
      </c>
      <c r="L1229" s="82">
        <f t="shared" si="3"/>
        <v>0.303</v>
      </c>
    </row>
    <row r="1230">
      <c r="A1230" s="83">
        <v>44706.0</v>
      </c>
      <c r="B1230" s="83">
        <v>44706.0</v>
      </c>
      <c r="C1230" s="66">
        <v>2021.0</v>
      </c>
      <c r="D1230" s="66" t="s">
        <v>226</v>
      </c>
      <c r="E1230" s="66">
        <v>0.0</v>
      </c>
      <c r="F1230" s="66" t="s">
        <v>228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2">
        <f t="shared" si="2"/>
        <v>1.71</v>
      </c>
      <c r="L1230" s="82">
        <f t="shared" si="3"/>
        <v>0.9355</v>
      </c>
    </row>
    <row r="1231">
      <c r="A1231" s="83">
        <v>44706.0</v>
      </c>
      <c r="B1231" s="83">
        <v>44706.0</v>
      </c>
      <c r="C1231" s="66">
        <v>2012.0</v>
      </c>
      <c r="D1231" s="66" t="s">
        <v>226</v>
      </c>
      <c r="E1231" s="66">
        <v>0.0</v>
      </c>
      <c r="F1231" s="66" t="s">
        <v>227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2">
        <f t="shared" si="2"/>
        <v>0.3</v>
      </c>
      <c r="L1231" s="82">
        <f t="shared" si="3"/>
        <v>0.163</v>
      </c>
    </row>
    <row r="1232">
      <c r="A1232" s="83">
        <v>44706.0</v>
      </c>
      <c r="B1232" s="83">
        <v>44706.0</v>
      </c>
      <c r="C1232" s="66">
        <v>2027.0</v>
      </c>
      <c r="D1232" s="66" t="s">
        <v>226</v>
      </c>
      <c r="E1232" s="66">
        <v>0.0</v>
      </c>
      <c r="F1232" s="66" t="s">
        <v>228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2">
        <f t="shared" si="2"/>
        <v>4.44</v>
      </c>
      <c r="L1232" s="82">
        <f t="shared" si="3"/>
        <v>2.586</v>
      </c>
    </row>
    <row r="1233">
      <c r="A1233" s="83">
        <v>44706.0</v>
      </c>
      <c r="B1233" s="83">
        <v>44706.0</v>
      </c>
      <c r="C1233" s="66">
        <v>2089.0</v>
      </c>
      <c r="D1233" s="66" t="s">
        <v>226</v>
      </c>
      <c r="E1233" s="66">
        <v>0.0</v>
      </c>
      <c r="F1233" s="66" t="s">
        <v>227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2">
        <f t="shared" si="2"/>
        <v>0.35</v>
      </c>
      <c r="L1233" s="82">
        <f t="shared" si="3"/>
        <v>0.17</v>
      </c>
    </row>
    <row r="1234">
      <c r="A1234" s="83">
        <v>44706.0</v>
      </c>
      <c r="B1234" s="83">
        <v>44706.0</v>
      </c>
      <c r="C1234" s="66">
        <v>2086.0</v>
      </c>
      <c r="D1234" s="66" t="s">
        <v>226</v>
      </c>
      <c r="E1234" s="66">
        <v>0.0</v>
      </c>
      <c r="F1234" s="66" t="s">
        <v>228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2">
        <f t="shared" si="2"/>
        <v>2.61</v>
      </c>
      <c r="L1234" s="82">
        <f t="shared" si="3"/>
        <v>1.366</v>
      </c>
    </row>
    <row r="1235">
      <c r="A1235" s="83">
        <v>44706.0</v>
      </c>
      <c r="B1235" s="83">
        <v>44706.0</v>
      </c>
      <c r="C1235" s="66">
        <v>2091.0</v>
      </c>
      <c r="D1235" s="66" t="s">
        <v>226</v>
      </c>
      <c r="E1235" s="66">
        <v>0.0</v>
      </c>
      <c r="F1235" s="66" t="s">
        <v>228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2">
        <f t="shared" si="2"/>
        <v>2.76</v>
      </c>
      <c r="L1235" s="82">
        <f t="shared" si="3"/>
        <v>1.536</v>
      </c>
    </row>
    <row r="1236">
      <c r="A1236" s="83">
        <v>44706.0</v>
      </c>
      <c r="B1236" s="83">
        <v>44706.0</v>
      </c>
      <c r="C1236" s="66">
        <v>2092.0</v>
      </c>
      <c r="D1236" s="66" t="s">
        <v>226</v>
      </c>
      <c r="E1236" s="66">
        <v>1.0</v>
      </c>
      <c r="F1236" s="66" t="s">
        <v>228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2">
        <f t="shared" si="2"/>
        <v>0.88</v>
      </c>
      <c r="L1236" s="82">
        <f t="shared" si="3"/>
        <v>0.5439</v>
      </c>
    </row>
    <row r="1237">
      <c r="A1237" s="83">
        <v>44706.0</v>
      </c>
      <c r="B1237" s="83">
        <v>44706.0</v>
      </c>
      <c r="C1237" s="66">
        <v>2031.0</v>
      </c>
      <c r="D1237" s="66" t="s">
        <v>226</v>
      </c>
      <c r="E1237" s="66">
        <v>0.0</v>
      </c>
      <c r="F1237" s="66" t="s">
        <v>227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2">
        <f t="shared" si="2"/>
        <v>0.31</v>
      </c>
      <c r="L1237" s="82">
        <f t="shared" si="3"/>
        <v>0.1798</v>
      </c>
    </row>
    <row r="1238">
      <c r="A1238" s="83">
        <v>44706.0</v>
      </c>
      <c r="B1238" s="83">
        <v>44706.0</v>
      </c>
      <c r="C1238" s="66">
        <v>2029.0</v>
      </c>
      <c r="D1238" s="66" t="s">
        <v>226</v>
      </c>
      <c r="E1238" s="66">
        <v>0.0</v>
      </c>
      <c r="F1238" s="66" t="s">
        <v>228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2">
        <f t="shared" si="2"/>
        <v>3.47</v>
      </c>
      <c r="L1238" s="82">
        <f t="shared" si="3"/>
        <v>2.0098</v>
      </c>
    </row>
    <row r="1239">
      <c r="A1239" s="83">
        <v>44706.0</v>
      </c>
      <c r="B1239" s="83">
        <v>44706.0</v>
      </c>
      <c r="C1239" s="66">
        <v>2087.0</v>
      </c>
      <c r="D1239" s="66" t="s">
        <v>226</v>
      </c>
      <c r="E1239" s="66">
        <v>0.0</v>
      </c>
      <c r="F1239" s="66" t="s">
        <v>228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2">
        <f t="shared" si="2"/>
        <v>1.23</v>
      </c>
      <c r="L1239" s="82">
        <f t="shared" si="3"/>
        <v>0.6418</v>
      </c>
    </row>
    <row r="1240">
      <c r="A1240" s="83">
        <v>44706.0</v>
      </c>
      <c r="B1240" s="83">
        <v>44706.0</v>
      </c>
      <c r="C1240" s="66">
        <v>2005.0</v>
      </c>
      <c r="D1240" s="66" t="s">
        <v>226</v>
      </c>
      <c r="E1240" s="66">
        <v>1.0</v>
      </c>
      <c r="F1240" s="66" t="s">
        <v>227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2">
        <f t="shared" si="2"/>
        <v>0.97</v>
      </c>
      <c r="L1240" s="82">
        <f t="shared" si="3"/>
        <v>0.537</v>
      </c>
    </row>
    <row r="1241">
      <c r="A1241" s="83">
        <v>44706.0</v>
      </c>
      <c r="B1241" s="83">
        <v>44706.0</v>
      </c>
      <c r="C1241" s="66">
        <v>2012.0</v>
      </c>
      <c r="D1241" s="66" t="s">
        <v>226</v>
      </c>
      <c r="E1241" s="66">
        <v>1.0</v>
      </c>
      <c r="F1241" s="66" t="s">
        <v>227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2">
        <f t="shared" si="2"/>
        <v>1.01</v>
      </c>
      <c r="L1241" s="82">
        <f t="shared" si="3"/>
        <v>0.588</v>
      </c>
    </row>
    <row r="1242">
      <c r="A1242" s="83">
        <v>44706.0</v>
      </c>
      <c r="B1242" s="83">
        <v>44706.0</v>
      </c>
      <c r="C1242" s="66">
        <v>2030.0</v>
      </c>
      <c r="D1242" s="66" t="s">
        <v>226</v>
      </c>
      <c r="E1242" s="66">
        <v>0.0</v>
      </c>
      <c r="F1242" s="66" t="s">
        <v>228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2">
        <f t="shared" si="2"/>
        <v>2.9</v>
      </c>
      <c r="L1242" s="82">
        <f t="shared" si="3"/>
        <v>1.6621</v>
      </c>
    </row>
    <row r="1243">
      <c r="A1243" s="83">
        <v>44706.0</v>
      </c>
      <c r="B1243" s="83">
        <v>44706.0</v>
      </c>
      <c r="C1243" s="66">
        <v>2005.0</v>
      </c>
      <c r="D1243" s="66" t="s">
        <v>226</v>
      </c>
      <c r="E1243" s="66">
        <v>0.0</v>
      </c>
      <c r="F1243" s="66" t="s">
        <v>228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2">
        <f t="shared" si="2"/>
        <v>5.11</v>
      </c>
      <c r="L1243" s="82">
        <f t="shared" si="3"/>
        <v>2.7511</v>
      </c>
    </row>
    <row r="1244">
      <c r="A1244" s="83">
        <v>44706.0</v>
      </c>
      <c r="B1244" s="83">
        <v>44706.0</v>
      </c>
      <c r="C1244" s="66">
        <v>2006.0</v>
      </c>
      <c r="D1244" s="66" t="s">
        <v>226</v>
      </c>
      <c r="E1244" s="66">
        <v>0.0</v>
      </c>
      <c r="F1244" s="66" t="s">
        <v>228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2">
        <f t="shared" si="2"/>
        <v>3.09</v>
      </c>
      <c r="L1244" s="82">
        <f t="shared" si="3"/>
        <v>1.6786</v>
      </c>
    </row>
    <row r="1245">
      <c r="A1245" s="83">
        <v>44706.0</v>
      </c>
      <c r="B1245" s="83">
        <v>44706.0</v>
      </c>
      <c r="C1245" s="66">
        <v>2028.0</v>
      </c>
      <c r="D1245" s="66" t="s">
        <v>226</v>
      </c>
      <c r="E1245" s="66">
        <v>0.0</v>
      </c>
      <c r="F1245" s="66" t="s">
        <v>228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2">
        <f t="shared" si="2"/>
        <v>2.15</v>
      </c>
      <c r="L1245" s="82">
        <f t="shared" si="3"/>
        <v>1.1911</v>
      </c>
    </row>
    <row r="1246">
      <c r="A1246" s="83">
        <v>44706.0</v>
      </c>
      <c r="B1246" s="83">
        <v>44706.0</v>
      </c>
      <c r="C1246" s="66">
        <v>2008.0</v>
      </c>
      <c r="D1246" s="66" t="s">
        <v>226</v>
      </c>
      <c r="E1246" s="66">
        <v>1.0</v>
      </c>
      <c r="F1246" s="66" t="s">
        <v>227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2">
        <f t="shared" si="2"/>
        <v>0.96</v>
      </c>
      <c r="L1246" s="82">
        <f t="shared" si="3"/>
        <v>0.5896</v>
      </c>
    </row>
    <row r="1247">
      <c r="A1247" s="83">
        <v>44706.0</v>
      </c>
      <c r="B1247" s="83">
        <v>44706.0</v>
      </c>
      <c r="C1247" s="66">
        <v>2004.0</v>
      </c>
      <c r="D1247" s="66" t="s">
        <v>226</v>
      </c>
      <c r="E1247" s="66">
        <v>0.0</v>
      </c>
      <c r="F1247" s="66" t="s">
        <v>228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2">
        <f t="shared" si="2"/>
        <v>3.23</v>
      </c>
      <c r="L1247" s="82">
        <f t="shared" si="3"/>
        <v>1.8147</v>
      </c>
    </row>
    <row r="1248">
      <c r="A1248" s="83">
        <v>44706.0</v>
      </c>
      <c r="B1248" s="83">
        <v>44706.0</v>
      </c>
      <c r="C1248" s="66">
        <v>2027.0</v>
      </c>
      <c r="D1248" s="66" t="s">
        <v>226</v>
      </c>
      <c r="E1248" s="66">
        <v>0.0</v>
      </c>
      <c r="F1248" s="66" t="s">
        <v>227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2">
        <f t="shared" si="2"/>
        <v>0.48</v>
      </c>
      <c r="L1248" s="82">
        <f t="shared" si="3"/>
        <v>0.2889</v>
      </c>
    </row>
    <row r="1249">
      <c r="A1249" s="83">
        <v>44706.0</v>
      </c>
      <c r="B1249" s="83">
        <v>44706.0</v>
      </c>
      <c r="C1249" s="66">
        <v>2022.0</v>
      </c>
      <c r="D1249" s="66" t="s">
        <v>226</v>
      </c>
      <c r="E1249" s="66">
        <v>1.0</v>
      </c>
      <c r="F1249" s="66" t="s">
        <v>228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2">
        <f t="shared" si="2"/>
        <v>1.17</v>
      </c>
      <c r="L1249" s="82">
        <f t="shared" si="3"/>
        <v>0.74</v>
      </c>
    </row>
    <row r="1250">
      <c r="A1250" s="83">
        <v>44706.0</v>
      </c>
      <c r="B1250" s="83">
        <v>44706.0</v>
      </c>
      <c r="C1250" s="66">
        <v>2022.0</v>
      </c>
      <c r="D1250" s="66" t="s">
        <v>226</v>
      </c>
      <c r="E1250" s="66">
        <v>0.0</v>
      </c>
      <c r="F1250" s="66" t="s">
        <v>228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2">
        <f t="shared" si="2"/>
        <v>2.73</v>
      </c>
      <c r="L1250" s="82">
        <f t="shared" si="3"/>
        <v>1.587</v>
      </c>
    </row>
    <row r="1251">
      <c r="A1251" s="83">
        <v>44706.0</v>
      </c>
      <c r="B1251" s="83">
        <v>44706.0</v>
      </c>
      <c r="C1251" s="66">
        <v>2093.0</v>
      </c>
      <c r="D1251" s="66" t="s">
        <v>226</v>
      </c>
      <c r="E1251" s="66">
        <v>0.0</v>
      </c>
      <c r="F1251" s="66" t="s">
        <v>228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2">
        <f t="shared" si="2"/>
        <v>2.33</v>
      </c>
      <c r="L1251" s="82">
        <f t="shared" si="3"/>
        <v>1.3554</v>
      </c>
    </row>
    <row r="1252">
      <c r="A1252" s="83">
        <v>44706.0</v>
      </c>
      <c r="B1252" s="83">
        <v>44706.0</v>
      </c>
      <c r="C1252" s="66">
        <v>2023.0</v>
      </c>
      <c r="D1252" s="66" t="s">
        <v>226</v>
      </c>
      <c r="E1252" s="66">
        <v>1.0</v>
      </c>
      <c r="F1252" s="66" t="s">
        <v>227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2">
        <f t="shared" si="2"/>
        <v>0.68</v>
      </c>
      <c r="L1252" s="82">
        <f t="shared" si="3"/>
        <v>0.429</v>
      </c>
    </row>
    <row r="1253">
      <c r="A1253" s="83">
        <v>44706.0</v>
      </c>
      <c r="B1253" s="83">
        <v>44706.0</v>
      </c>
      <c r="C1253" s="66">
        <v>2085.0</v>
      </c>
      <c r="D1253" s="66" t="s">
        <v>226</v>
      </c>
      <c r="E1253" s="66">
        <v>0.0</v>
      </c>
      <c r="F1253" s="66" t="s">
        <v>227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2">
        <f t="shared" si="2"/>
        <v>0.52</v>
      </c>
      <c r="L1253" s="82">
        <f t="shared" si="3"/>
        <v>0.2674</v>
      </c>
    </row>
    <row r="1254">
      <c r="A1254" s="83">
        <v>44706.0</v>
      </c>
      <c r="B1254" s="83">
        <v>44706.0</v>
      </c>
      <c r="C1254" s="66">
        <v>2090.0</v>
      </c>
      <c r="D1254" s="66" t="s">
        <v>226</v>
      </c>
      <c r="E1254" s="66">
        <v>1.0</v>
      </c>
      <c r="F1254" s="66" t="s">
        <v>227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2">
        <f t="shared" si="2"/>
        <v>0.18</v>
      </c>
      <c r="L1254" s="82">
        <f t="shared" si="3"/>
        <v>0.0999</v>
      </c>
    </row>
    <row r="1255">
      <c r="A1255" s="83">
        <v>44706.0</v>
      </c>
      <c r="B1255" s="83">
        <v>44706.0</v>
      </c>
      <c r="C1255" s="66">
        <v>2027.0</v>
      </c>
      <c r="D1255" s="66" t="s">
        <v>226</v>
      </c>
      <c r="E1255" s="66">
        <v>1.0</v>
      </c>
      <c r="F1255" s="66" t="s">
        <v>227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2">
        <f t="shared" si="2"/>
        <v>0.44</v>
      </c>
      <c r="L1255" s="82">
        <f t="shared" si="3"/>
        <v>0.268</v>
      </c>
    </row>
    <row r="1256">
      <c r="A1256" s="83">
        <v>44706.0</v>
      </c>
      <c r="B1256" s="83">
        <v>44706.0</v>
      </c>
      <c r="C1256" s="66">
        <v>2029.0</v>
      </c>
      <c r="D1256" s="66" t="s">
        <v>226</v>
      </c>
      <c r="E1256" s="66">
        <v>0.0</v>
      </c>
      <c r="F1256" s="66" t="s">
        <v>227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2">
        <f t="shared" si="2"/>
        <v>0.12</v>
      </c>
      <c r="L1256" s="82">
        <f t="shared" si="3"/>
        <v>0.0731</v>
      </c>
    </row>
    <row r="1257">
      <c r="A1257" s="83">
        <v>44706.0</v>
      </c>
      <c r="B1257" s="83">
        <v>44706.0</v>
      </c>
      <c r="C1257" s="66">
        <v>2004.0</v>
      </c>
      <c r="D1257" s="66" t="s">
        <v>226</v>
      </c>
      <c r="E1257" s="66">
        <v>1.0</v>
      </c>
      <c r="F1257" s="66" t="s">
        <v>227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2">
        <f t="shared" si="2"/>
        <v>0.38</v>
      </c>
      <c r="L1257" s="82">
        <f t="shared" si="3"/>
        <v>0.2191</v>
      </c>
    </row>
    <row r="1258">
      <c r="A1258" s="83">
        <v>44706.0</v>
      </c>
      <c r="B1258" s="83">
        <v>44706.0</v>
      </c>
      <c r="C1258" s="66">
        <v>2023.0</v>
      </c>
      <c r="D1258" s="66" t="s">
        <v>226</v>
      </c>
      <c r="E1258" s="66">
        <v>0.0</v>
      </c>
      <c r="F1258" s="66" t="s">
        <v>228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2">
        <f t="shared" si="2"/>
        <v>2.23</v>
      </c>
      <c r="L1258" s="82">
        <f t="shared" si="3"/>
        <v>1.257</v>
      </c>
    </row>
    <row r="1259">
      <c r="A1259" s="83">
        <v>44706.0</v>
      </c>
      <c r="B1259" s="83">
        <v>44706.0</v>
      </c>
      <c r="C1259" s="66">
        <v>2088.0</v>
      </c>
      <c r="D1259" s="66" t="s">
        <v>226</v>
      </c>
      <c r="E1259" s="66">
        <v>0.0</v>
      </c>
      <c r="F1259" s="66" t="s">
        <v>227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2">
        <f t="shared" si="2"/>
        <v>0.44</v>
      </c>
      <c r="L1259" s="82">
        <f t="shared" si="3"/>
        <v>0.2223</v>
      </c>
    </row>
    <row r="1260">
      <c r="A1260" s="83">
        <v>44706.0</v>
      </c>
      <c r="B1260" s="83">
        <v>44706.0</v>
      </c>
      <c r="C1260" s="66">
        <v>1478.0</v>
      </c>
      <c r="D1260" s="66" t="s">
        <v>226</v>
      </c>
      <c r="E1260" s="66">
        <v>0.0</v>
      </c>
      <c r="F1260" s="66" t="s">
        <v>227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2">
        <f t="shared" si="2"/>
        <v>0.51</v>
      </c>
      <c r="L1260" s="82">
        <f t="shared" si="3"/>
        <v>0.261</v>
      </c>
    </row>
    <row r="1261">
      <c r="A1261" s="83">
        <v>44706.0</v>
      </c>
      <c r="B1261" s="83">
        <v>44706.0</v>
      </c>
      <c r="C1261" s="66">
        <v>2026.0</v>
      </c>
      <c r="D1261" s="66" t="s">
        <v>226</v>
      </c>
      <c r="E1261" s="66">
        <v>0.0</v>
      </c>
      <c r="F1261" s="66" t="s">
        <v>228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2">
        <f t="shared" si="2"/>
        <v>2.08</v>
      </c>
      <c r="L1261" s="82">
        <f t="shared" si="3"/>
        <v>1.1422</v>
      </c>
    </row>
    <row r="1262">
      <c r="A1262" s="83">
        <v>44706.0</v>
      </c>
      <c r="B1262" s="83">
        <v>44706.0</v>
      </c>
      <c r="C1262" s="66">
        <v>2028.0</v>
      </c>
      <c r="D1262" s="66" t="s">
        <v>226</v>
      </c>
      <c r="E1262" s="66">
        <v>1.0</v>
      </c>
      <c r="F1262" s="66" t="s">
        <v>227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2">
        <f t="shared" si="2"/>
        <v>0.29</v>
      </c>
      <c r="L1262" s="82">
        <f t="shared" si="3"/>
        <v>0.1705</v>
      </c>
    </row>
    <row r="1263">
      <c r="A1263" s="83">
        <v>44706.0</v>
      </c>
      <c r="B1263" s="83">
        <v>44706.0</v>
      </c>
      <c r="C1263" s="66">
        <v>2025.0</v>
      </c>
      <c r="D1263" s="66" t="s">
        <v>226</v>
      </c>
      <c r="E1263" s="66">
        <v>0.0</v>
      </c>
      <c r="F1263" s="66" t="s">
        <v>227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2">
        <f t="shared" si="2"/>
        <v>0.26</v>
      </c>
      <c r="L1263" s="82">
        <f t="shared" si="3"/>
        <v>0.1522</v>
      </c>
    </row>
    <row r="1264">
      <c r="A1264" s="83">
        <v>44706.0</v>
      </c>
      <c r="B1264" s="83">
        <v>44706.0</v>
      </c>
      <c r="C1264" s="66">
        <v>2031.0</v>
      </c>
      <c r="D1264" s="66" t="s">
        <v>226</v>
      </c>
      <c r="E1264" s="66">
        <v>0.0</v>
      </c>
      <c r="F1264" s="66" t="s">
        <v>228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2">
        <f t="shared" si="2"/>
        <v>2.4</v>
      </c>
      <c r="L1264" s="82">
        <f t="shared" si="3"/>
        <v>1.3173</v>
      </c>
    </row>
    <row r="1265">
      <c r="A1265" s="83">
        <v>44706.0</v>
      </c>
      <c r="B1265" s="83">
        <v>44706.0</v>
      </c>
      <c r="C1265" s="66">
        <v>2092.0</v>
      </c>
      <c r="D1265" s="66" t="s">
        <v>226</v>
      </c>
      <c r="E1265" s="66">
        <v>0.0</v>
      </c>
      <c r="F1265" s="66" t="s">
        <v>228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2">
        <f t="shared" si="2"/>
        <v>2.02</v>
      </c>
      <c r="L1265" s="82">
        <f t="shared" si="3"/>
        <v>1.1237</v>
      </c>
    </row>
    <row r="1266">
      <c r="A1266" s="83">
        <v>44706.0</v>
      </c>
      <c r="B1266" s="83">
        <v>44706.0</v>
      </c>
      <c r="C1266" s="66">
        <v>2020.0</v>
      </c>
      <c r="D1266" s="66" t="s">
        <v>226</v>
      </c>
      <c r="E1266" s="66">
        <v>0.0</v>
      </c>
      <c r="F1266" s="66" t="s">
        <v>227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2">
        <f t="shared" si="2"/>
        <v>0.58</v>
      </c>
      <c r="L1266" s="82">
        <f t="shared" si="3"/>
        <v>0.318</v>
      </c>
    </row>
    <row r="1267">
      <c r="A1267" s="83">
        <v>44706.0</v>
      </c>
      <c r="B1267" s="83">
        <v>44706.0</v>
      </c>
      <c r="C1267" s="66">
        <v>2090.0</v>
      </c>
      <c r="D1267" s="66" t="s">
        <v>226</v>
      </c>
      <c r="E1267" s="66">
        <v>0.0</v>
      </c>
      <c r="F1267" s="66" t="s">
        <v>228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2">
        <f t="shared" si="2"/>
        <v>2.76</v>
      </c>
      <c r="L1267" s="82">
        <f t="shared" si="3"/>
        <v>1.5209</v>
      </c>
    </row>
    <row r="1268">
      <c r="A1268" s="83">
        <v>44706.0</v>
      </c>
      <c r="B1268" s="83">
        <v>44706.0</v>
      </c>
      <c r="C1268" s="66">
        <v>2029.0</v>
      </c>
      <c r="D1268" s="66" t="s">
        <v>226</v>
      </c>
      <c r="E1268" s="66">
        <v>1.0</v>
      </c>
      <c r="F1268" s="66" t="s">
        <v>227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2">
        <f t="shared" si="2"/>
        <v>0.57</v>
      </c>
      <c r="L1268" s="82">
        <f t="shared" si="3"/>
        <v>0.339</v>
      </c>
    </row>
    <row r="1269">
      <c r="A1269" s="83">
        <v>44706.0</v>
      </c>
      <c r="B1269" s="83">
        <v>44706.0</v>
      </c>
      <c r="C1269" s="66">
        <v>2021.0</v>
      </c>
      <c r="D1269" s="66" t="s">
        <v>226</v>
      </c>
      <c r="E1269" s="66">
        <v>1.0</v>
      </c>
      <c r="F1269" s="66" t="s">
        <v>227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2">
        <f t="shared" si="2"/>
        <v>0.28</v>
      </c>
      <c r="L1269" s="82">
        <f t="shared" si="3"/>
        <v>0.1632</v>
      </c>
    </row>
    <row r="1270">
      <c r="A1270" s="83">
        <v>44706.0</v>
      </c>
      <c r="B1270" s="83">
        <v>44706.0</v>
      </c>
      <c r="C1270" s="66">
        <v>2006.0</v>
      </c>
      <c r="D1270" s="66" t="s">
        <v>226</v>
      </c>
      <c r="E1270" s="66">
        <v>0.0</v>
      </c>
      <c r="F1270" s="66" t="s">
        <v>227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2">
        <f t="shared" si="2"/>
        <v>0.4</v>
      </c>
      <c r="L1270" s="82">
        <f t="shared" si="3"/>
        <v>0.2254</v>
      </c>
    </row>
    <row r="1271">
      <c r="A1271" s="83">
        <v>44706.0</v>
      </c>
      <c r="B1271" s="83">
        <v>44706.0</v>
      </c>
      <c r="C1271" s="66">
        <v>2030.0</v>
      </c>
      <c r="D1271" s="66" t="s">
        <v>226</v>
      </c>
      <c r="E1271" s="66">
        <v>1.0</v>
      </c>
      <c r="F1271" s="66" t="s">
        <v>227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2">
        <f t="shared" si="2"/>
        <v>0.61</v>
      </c>
      <c r="L1271" s="82">
        <f t="shared" si="3"/>
        <v>0.3709</v>
      </c>
    </row>
    <row r="1272">
      <c r="A1272" s="83">
        <v>44706.0</v>
      </c>
      <c r="B1272" s="83">
        <v>44706.0</v>
      </c>
      <c r="C1272" s="66">
        <v>2020.0</v>
      </c>
      <c r="D1272" s="66" t="s">
        <v>226</v>
      </c>
      <c r="E1272" s="66">
        <v>1.0</v>
      </c>
      <c r="F1272" s="66" t="s">
        <v>227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2">
        <f t="shared" si="2"/>
        <v>0.83</v>
      </c>
      <c r="L1272" s="82">
        <f t="shared" si="3"/>
        <v>0.4667</v>
      </c>
    </row>
    <row r="1273">
      <c r="A1273" s="83">
        <v>44706.0</v>
      </c>
      <c r="B1273" s="83">
        <v>44706.0</v>
      </c>
      <c r="C1273" s="66">
        <v>2092.0</v>
      </c>
      <c r="D1273" s="66" t="s">
        <v>226</v>
      </c>
      <c r="E1273" s="66">
        <v>0.0</v>
      </c>
      <c r="F1273" s="66" t="s">
        <v>227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2">
        <f t="shared" si="2"/>
        <v>0.68</v>
      </c>
      <c r="L1273" s="82">
        <f t="shared" si="3"/>
        <v>0.3666</v>
      </c>
    </row>
    <row r="1274">
      <c r="A1274" s="83">
        <v>44706.0</v>
      </c>
      <c r="B1274" s="83">
        <v>44706.0</v>
      </c>
      <c r="C1274" s="66">
        <v>2013.0</v>
      </c>
      <c r="D1274" s="66" t="s">
        <v>226</v>
      </c>
      <c r="E1274" s="66">
        <v>0.0</v>
      </c>
      <c r="F1274" s="66" t="s">
        <v>228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2">
        <f t="shared" si="2"/>
        <v>3.28</v>
      </c>
      <c r="L1274" s="82">
        <f t="shared" si="3"/>
        <v>1.7613</v>
      </c>
    </row>
    <row r="1275">
      <c r="A1275" s="83">
        <v>44706.0</v>
      </c>
      <c r="B1275" s="83">
        <v>44706.0</v>
      </c>
      <c r="C1275" s="66">
        <v>1478.0</v>
      </c>
      <c r="D1275" s="66" t="s">
        <v>226</v>
      </c>
      <c r="E1275" s="66">
        <v>1.0</v>
      </c>
      <c r="F1275" s="66" t="s">
        <v>227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2">
        <f t="shared" si="2"/>
        <v>0.32</v>
      </c>
      <c r="L1275" s="82">
        <f t="shared" si="3"/>
        <v>0.1741</v>
      </c>
    </row>
    <row r="1276">
      <c r="A1276" s="83">
        <v>44706.0</v>
      </c>
      <c r="B1276" s="83">
        <v>44706.0</v>
      </c>
      <c r="C1276" s="66">
        <v>2088.0</v>
      </c>
      <c r="D1276" s="66" t="s">
        <v>226</v>
      </c>
      <c r="E1276" s="66">
        <v>0.0</v>
      </c>
      <c r="F1276" s="66" t="s">
        <v>228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2">
        <f t="shared" si="2"/>
        <v>2.73</v>
      </c>
      <c r="L1276" s="82">
        <f t="shared" si="3"/>
        <v>1.4096</v>
      </c>
    </row>
    <row r="1277">
      <c r="A1277" s="83">
        <v>44706.0</v>
      </c>
      <c r="B1277" s="83">
        <v>44706.0</v>
      </c>
      <c r="C1277" s="66">
        <v>2022.0</v>
      </c>
      <c r="D1277" s="66" t="s">
        <v>226</v>
      </c>
      <c r="E1277" s="66">
        <v>0.0</v>
      </c>
      <c r="F1277" s="66" t="s">
        <v>227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2">
        <f t="shared" si="2"/>
        <v>0.13</v>
      </c>
      <c r="L1277" s="82">
        <f t="shared" si="3"/>
        <v>0.075</v>
      </c>
    </row>
    <row r="1278">
      <c r="A1278" s="83">
        <v>44706.0</v>
      </c>
      <c r="B1278" s="83">
        <v>44706.0</v>
      </c>
      <c r="C1278" s="66">
        <v>2015.0</v>
      </c>
      <c r="D1278" s="66" t="s">
        <v>226</v>
      </c>
      <c r="E1278" s="66">
        <v>1.0</v>
      </c>
      <c r="F1278" s="66" t="s">
        <v>227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2">
        <f t="shared" si="2"/>
        <v>0.55</v>
      </c>
      <c r="L1278" s="82">
        <f t="shared" si="3"/>
        <v>0.3325</v>
      </c>
    </row>
    <row r="1279">
      <c r="A1279" s="83">
        <v>44706.0</v>
      </c>
      <c r="B1279" s="83">
        <v>44706.0</v>
      </c>
      <c r="C1279" s="66">
        <v>2088.0</v>
      </c>
      <c r="D1279" s="66" t="s">
        <v>226</v>
      </c>
      <c r="E1279" s="66">
        <v>1.0</v>
      </c>
      <c r="F1279" s="66" t="s">
        <v>227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2">
        <f t="shared" si="2"/>
        <v>0.33</v>
      </c>
      <c r="L1279" s="82">
        <f t="shared" si="3"/>
        <v>0.1891</v>
      </c>
    </row>
    <row r="1280">
      <c r="A1280" s="83">
        <v>44706.0</v>
      </c>
      <c r="B1280" s="83">
        <v>44706.0</v>
      </c>
      <c r="C1280" s="66">
        <v>2093.0</v>
      </c>
      <c r="D1280" s="66" t="s">
        <v>226</v>
      </c>
      <c r="E1280" s="66">
        <v>1.0</v>
      </c>
      <c r="F1280" s="66" t="s">
        <v>228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2">
        <f t="shared" si="2"/>
        <v>0.77</v>
      </c>
      <c r="L1280" s="82">
        <f t="shared" si="3"/>
        <v>0.4866</v>
      </c>
    </row>
    <row r="1281">
      <c r="A1281" s="83">
        <v>44706.0</v>
      </c>
      <c r="B1281" s="83">
        <v>44706.0</v>
      </c>
      <c r="C1281" s="66">
        <v>2087.0</v>
      </c>
      <c r="D1281" s="66" t="s">
        <v>226</v>
      </c>
      <c r="E1281" s="66">
        <v>1.0</v>
      </c>
      <c r="F1281" s="66" t="s">
        <v>227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2">
        <f t="shared" si="2"/>
        <v>0.4</v>
      </c>
      <c r="L1281" s="82">
        <f t="shared" si="3"/>
        <v>0.211</v>
      </c>
    </row>
    <row r="1282">
      <c r="A1282" s="83">
        <v>44706.0</v>
      </c>
      <c r="B1282" s="83">
        <v>44706.0</v>
      </c>
      <c r="C1282" s="66">
        <v>2004.0</v>
      </c>
      <c r="D1282" s="66" t="s">
        <v>226</v>
      </c>
      <c r="E1282" s="66">
        <v>0.0</v>
      </c>
      <c r="F1282" s="66" t="s">
        <v>227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2">
        <f t="shared" si="2"/>
        <v>0.72</v>
      </c>
      <c r="L1282" s="82">
        <f t="shared" si="3"/>
        <v>0.3902</v>
      </c>
    </row>
    <row r="1283">
      <c r="A1283" s="83">
        <v>44706.0</v>
      </c>
      <c r="B1283" s="83">
        <v>44706.0</v>
      </c>
      <c r="C1283" s="66" t="s">
        <v>245</v>
      </c>
      <c r="D1283" s="66" t="s">
        <v>226</v>
      </c>
      <c r="E1283" s="66">
        <v>0.0</v>
      </c>
      <c r="F1283" s="66" t="s">
        <v>222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2">
        <f t="shared" si="2"/>
        <v>0.35</v>
      </c>
      <c r="L1283" s="82">
        <f t="shared" si="3"/>
        <v>0.2081</v>
      </c>
    </row>
    <row r="1284">
      <c r="A1284" s="83">
        <v>44706.0</v>
      </c>
      <c r="B1284" s="83">
        <v>44706.0</v>
      </c>
      <c r="C1284" s="66">
        <v>1478.0</v>
      </c>
      <c r="D1284" s="66" t="s">
        <v>226</v>
      </c>
      <c r="E1284" s="66">
        <v>0.0</v>
      </c>
      <c r="F1284" s="66" t="s">
        <v>228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2">
        <f t="shared" si="2"/>
        <v>1.95</v>
      </c>
      <c r="L1284" s="82">
        <f t="shared" si="3"/>
        <v>1.126</v>
      </c>
    </row>
    <row r="1285">
      <c r="A1285" s="83">
        <v>44706.0</v>
      </c>
      <c r="B1285" s="83">
        <v>44706.0</v>
      </c>
      <c r="C1285" s="66">
        <v>2085.0</v>
      </c>
      <c r="D1285" s="66" t="s">
        <v>226</v>
      </c>
      <c r="E1285" s="66">
        <v>1.0</v>
      </c>
      <c r="F1285" s="66" t="s">
        <v>227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2">
        <f t="shared" si="2"/>
        <v>0.41</v>
      </c>
      <c r="L1285" s="82">
        <f t="shared" si="3"/>
        <v>0.2349</v>
      </c>
    </row>
    <row r="1286">
      <c r="A1286" s="83">
        <v>44706.0</v>
      </c>
      <c r="B1286" s="83">
        <v>44706.0</v>
      </c>
      <c r="C1286" s="66">
        <v>2028.0</v>
      </c>
      <c r="D1286" s="66" t="s">
        <v>226</v>
      </c>
      <c r="E1286" s="66">
        <v>0.0</v>
      </c>
      <c r="F1286" s="66" t="s">
        <v>227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2">
        <f t="shared" si="2"/>
        <v>0.2</v>
      </c>
      <c r="L1286" s="82">
        <f t="shared" si="3"/>
        <v>0.1117</v>
      </c>
    </row>
    <row r="1287">
      <c r="A1287" s="83">
        <v>44706.0</v>
      </c>
      <c r="B1287" s="83">
        <v>44706.0</v>
      </c>
      <c r="C1287" s="66">
        <v>2006.0</v>
      </c>
      <c r="D1287" s="66" t="s">
        <v>226</v>
      </c>
      <c r="E1287" s="66">
        <v>1.0</v>
      </c>
      <c r="F1287" s="66" t="s">
        <v>227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2">
        <f t="shared" si="2"/>
        <v>0.35</v>
      </c>
      <c r="L1287" s="82">
        <f t="shared" si="3"/>
        <v>0.211</v>
      </c>
    </row>
    <row r="1288">
      <c r="A1288" s="83">
        <v>44706.0</v>
      </c>
      <c r="B1288" s="83">
        <v>44706.0</v>
      </c>
      <c r="C1288" s="66">
        <v>2012.0</v>
      </c>
      <c r="D1288" s="66" t="s">
        <v>226</v>
      </c>
      <c r="E1288" s="66">
        <v>0.0</v>
      </c>
      <c r="F1288" s="66" t="s">
        <v>228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2">
        <f t="shared" si="2"/>
        <v>2.5</v>
      </c>
      <c r="L1288" s="82">
        <f t="shared" si="3"/>
        <v>1.434</v>
      </c>
    </row>
    <row r="1289">
      <c r="A1289" s="83">
        <v>44706.0</v>
      </c>
      <c r="B1289" s="83">
        <v>44706.0</v>
      </c>
      <c r="C1289" s="66">
        <v>2024.0</v>
      </c>
      <c r="D1289" s="66" t="s">
        <v>226</v>
      </c>
      <c r="E1289" s="66">
        <v>0.0</v>
      </c>
      <c r="F1289" s="66" t="s">
        <v>228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2">
        <f t="shared" si="2"/>
        <v>2.39</v>
      </c>
      <c r="L1289" s="82">
        <f t="shared" si="3"/>
        <v>1.2887</v>
      </c>
    </row>
    <row r="1290">
      <c r="A1290" s="83">
        <v>44706.0</v>
      </c>
      <c r="B1290" s="83">
        <v>44706.0</v>
      </c>
      <c r="C1290" s="66">
        <v>2008.0</v>
      </c>
      <c r="D1290" s="66" t="s">
        <v>226</v>
      </c>
      <c r="E1290" s="66">
        <v>0.0</v>
      </c>
      <c r="F1290" s="66" t="s">
        <v>227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2">
        <f t="shared" si="2"/>
        <v>0.4</v>
      </c>
      <c r="L1290" s="82">
        <f t="shared" si="3"/>
        <v>0.225</v>
      </c>
    </row>
    <row r="1291">
      <c r="A1291" s="83">
        <v>44706.0</v>
      </c>
      <c r="B1291" s="83">
        <v>44706.0</v>
      </c>
      <c r="C1291" s="66">
        <v>2030.0</v>
      </c>
      <c r="D1291" s="66" t="s">
        <v>226</v>
      </c>
      <c r="E1291" s="66">
        <v>0.0</v>
      </c>
      <c r="F1291" s="66" t="s">
        <v>227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2">
        <f t="shared" si="2"/>
        <v>0.32</v>
      </c>
      <c r="L1291" s="82">
        <f t="shared" si="3"/>
        <v>0.18</v>
      </c>
    </row>
    <row r="1292">
      <c r="A1292" s="83">
        <v>44706.0</v>
      </c>
      <c r="B1292" s="83">
        <v>44706.0</v>
      </c>
      <c r="C1292" s="66">
        <v>2089.0</v>
      </c>
      <c r="D1292" s="66" t="s">
        <v>226</v>
      </c>
      <c r="E1292" s="66">
        <v>1.0</v>
      </c>
      <c r="F1292" s="66" t="s">
        <v>227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2">
        <f t="shared" si="2"/>
        <v>0.37</v>
      </c>
      <c r="L1292" s="82">
        <f t="shared" si="3"/>
        <v>0.2166</v>
      </c>
    </row>
    <row r="1293">
      <c r="A1293" s="83">
        <v>44706.0</v>
      </c>
      <c r="B1293" s="83">
        <v>44706.0</v>
      </c>
      <c r="C1293" s="66">
        <v>2007.0</v>
      </c>
      <c r="D1293" s="66" t="s">
        <v>226</v>
      </c>
      <c r="E1293" s="66">
        <v>1.0</v>
      </c>
      <c r="F1293" s="66" t="s">
        <v>227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2">
        <f t="shared" si="2"/>
        <v>0.51</v>
      </c>
      <c r="L1293" s="82">
        <f t="shared" si="3"/>
        <v>0.306</v>
      </c>
    </row>
    <row r="1294">
      <c r="A1294" s="83">
        <v>44706.0</v>
      </c>
      <c r="B1294" s="83">
        <v>44706.0</v>
      </c>
      <c r="C1294" s="66">
        <v>2024.0</v>
      </c>
      <c r="D1294" s="66" t="s">
        <v>226</v>
      </c>
      <c r="E1294" s="66">
        <v>0.0</v>
      </c>
      <c r="F1294" s="66" t="s">
        <v>227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2">
        <f t="shared" si="2"/>
        <v>0.35</v>
      </c>
      <c r="L1294" s="82">
        <f t="shared" si="3"/>
        <v>0.2053</v>
      </c>
    </row>
    <row r="1295">
      <c r="A1295" s="83">
        <v>44706.0</v>
      </c>
      <c r="B1295" s="83">
        <v>44706.0</v>
      </c>
      <c r="C1295" s="66">
        <v>2092.0</v>
      </c>
      <c r="D1295" s="66" t="s">
        <v>226</v>
      </c>
      <c r="E1295" s="66">
        <v>1.0</v>
      </c>
      <c r="F1295" s="66" t="s">
        <v>227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2">
        <f t="shared" si="2"/>
        <v>0.21</v>
      </c>
      <c r="L1295" s="82">
        <f t="shared" si="3"/>
        <v>0.1073</v>
      </c>
    </row>
    <row r="1296">
      <c r="A1296" s="83">
        <v>44706.0</v>
      </c>
      <c r="B1296" s="83">
        <v>44706.0</v>
      </c>
      <c r="C1296" s="66">
        <v>2029.0</v>
      </c>
      <c r="D1296" s="66" t="s">
        <v>226</v>
      </c>
      <c r="E1296" s="66">
        <v>1.0</v>
      </c>
      <c r="F1296" s="66" t="s">
        <v>228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2">
        <f t="shared" si="2"/>
        <v>0.9</v>
      </c>
      <c r="L1296" s="82">
        <f t="shared" si="3"/>
        <v>0.5913</v>
      </c>
    </row>
    <row r="1297">
      <c r="A1297" s="83">
        <v>44706.0</v>
      </c>
      <c r="B1297" s="83">
        <v>44706.0</v>
      </c>
      <c r="C1297" s="66">
        <v>2093.0</v>
      </c>
      <c r="D1297" s="66" t="s">
        <v>226</v>
      </c>
      <c r="E1297" s="66">
        <v>0.0</v>
      </c>
      <c r="F1297" s="66" t="s">
        <v>227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2">
        <f t="shared" si="2"/>
        <v>0.16</v>
      </c>
      <c r="L1297" s="82">
        <f t="shared" si="3"/>
        <v>0.0846</v>
      </c>
    </row>
    <row r="1298">
      <c r="A1298" s="83">
        <v>44706.0</v>
      </c>
      <c r="B1298" s="83">
        <v>44706.0</v>
      </c>
      <c r="C1298" s="66">
        <v>2087.0</v>
      </c>
      <c r="D1298" s="66" t="s">
        <v>226</v>
      </c>
      <c r="E1298" s="66">
        <v>0.0</v>
      </c>
      <c r="F1298" s="66" t="s">
        <v>227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2">
        <f t="shared" si="2"/>
        <v>0.32</v>
      </c>
      <c r="L1298" s="82">
        <f t="shared" si="3"/>
        <v>0.147</v>
      </c>
    </row>
    <row r="1299">
      <c r="A1299" s="83">
        <v>44706.0</v>
      </c>
      <c r="B1299" s="83">
        <v>44706.0</v>
      </c>
      <c r="C1299" s="66">
        <v>2091.0</v>
      </c>
      <c r="D1299" s="66" t="s">
        <v>226</v>
      </c>
      <c r="E1299" s="66">
        <v>0.0</v>
      </c>
      <c r="F1299" s="66" t="s">
        <v>227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2">
        <f t="shared" si="2"/>
        <v>0.28</v>
      </c>
      <c r="L1299" s="82">
        <f t="shared" si="3"/>
        <v>0.135</v>
      </c>
    </row>
    <row r="1300">
      <c r="A1300" s="83">
        <v>44706.0</v>
      </c>
      <c r="B1300" s="83">
        <v>44706.0</v>
      </c>
      <c r="C1300" s="66">
        <v>2005.0</v>
      </c>
      <c r="D1300" s="66" t="s">
        <v>226</v>
      </c>
      <c r="E1300" s="66">
        <v>0.0</v>
      </c>
      <c r="F1300" s="66" t="s">
        <v>227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2">
        <f t="shared" si="2"/>
        <v>0.77</v>
      </c>
      <c r="L1300" s="82">
        <f t="shared" si="3"/>
        <v>0.42</v>
      </c>
    </row>
    <row r="1301">
      <c r="A1301" s="83">
        <v>44706.0</v>
      </c>
      <c r="B1301" s="83">
        <v>44706.0</v>
      </c>
      <c r="C1301" s="66" t="s">
        <v>246</v>
      </c>
      <c r="D1301" s="66" t="s">
        <v>226</v>
      </c>
      <c r="E1301" s="66">
        <v>0.0</v>
      </c>
      <c r="F1301" s="66" t="s">
        <v>222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2">
        <f t="shared" si="2"/>
        <v>1.05</v>
      </c>
      <c r="L1301" s="82">
        <f t="shared" si="3"/>
        <v>0.61</v>
      </c>
    </row>
    <row r="1302">
      <c r="A1302" s="83">
        <v>44706.0</v>
      </c>
      <c r="B1302" s="83">
        <v>44706.0</v>
      </c>
      <c r="C1302" s="66">
        <v>2013.0</v>
      </c>
      <c r="D1302" s="66" t="s">
        <v>226</v>
      </c>
      <c r="E1302" s="66">
        <v>0.0</v>
      </c>
      <c r="F1302" s="66" t="s">
        <v>227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2">
        <f t="shared" si="2"/>
        <v>0.47</v>
      </c>
      <c r="L1302" s="82">
        <f t="shared" si="3"/>
        <v>0.255</v>
      </c>
    </row>
    <row r="1303">
      <c r="A1303" s="83">
        <v>44706.0</v>
      </c>
      <c r="B1303" s="83">
        <v>44706.0</v>
      </c>
      <c r="C1303" s="66">
        <v>2086.0</v>
      </c>
      <c r="D1303" s="66" t="s">
        <v>226</v>
      </c>
      <c r="E1303" s="66">
        <v>0.0</v>
      </c>
      <c r="F1303" s="66" t="s">
        <v>227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2">
        <f t="shared" si="2"/>
        <v>0.44</v>
      </c>
      <c r="L1303" s="82">
        <f t="shared" si="3"/>
        <v>0.2222</v>
      </c>
    </row>
    <row r="1304">
      <c r="A1304" s="83">
        <v>44706.0</v>
      </c>
      <c r="B1304" s="83">
        <v>44706.0</v>
      </c>
      <c r="C1304" s="66">
        <v>2091.0</v>
      </c>
      <c r="D1304" s="66" t="s">
        <v>226</v>
      </c>
      <c r="E1304" s="66">
        <v>1.0</v>
      </c>
      <c r="F1304" s="66" t="s">
        <v>227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2">
        <f t="shared" si="2"/>
        <v>0.4</v>
      </c>
      <c r="L1304" s="82">
        <f t="shared" si="3"/>
        <v>0.23</v>
      </c>
    </row>
    <row r="1305">
      <c r="A1305" s="83">
        <v>44706.0</v>
      </c>
      <c r="B1305" s="83">
        <v>44706.0</v>
      </c>
      <c r="C1305" s="66">
        <v>2091.0</v>
      </c>
      <c r="D1305" s="66" t="s">
        <v>226</v>
      </c>
      <c r="E1305" s="66">
        <v>1.0</v>
      </c>
      <c r="F1305" s="66" t="s">
        <v>228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2">
        <f t="shared" si="2"/>
        <v>1.32</v>
      </c>
      <c r="L1305" s="82">
        <f t="shared" si="3"/>
        <v>0.812</v>
      </c>
    </row>
    <row r="1306">
      <c r="A1306" s="83">
        <v>44706.0</v>
      </c>
      <c r="B1306" s="83">
        <v>44706.0</v>
      </c>
      <c r="C1306" s="66">
        <v>2007.0</v>
      </c>
      <c r="D1306" s="66" t="s">
        <v>226</v>
      </c>
      <c r="E1306" s="66">
        <v>0.0</v>
      </c>
      <c r="F1306" s="66" t="s">
        <v>227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2">
        <f t="shared" si="2"/>
        <v>0.34</v>
      </c>
      <c r="L1306" s="82">
        <f t="shared" si="3"/>
        <v>0.194</v>
      </c>
    </row>
    <row r="1307">
      <c r="A1307" s="83">
        <v>44706.0</v>
      </c>
      <c r="B1307" s="83">
        <v>44706.0</v>
      </c>
      <c r="C1307" s="66">
        <v>2021.0</v>
      </c>
      <c r="D1307" s="66" t="s">
        <v>226</v>
      </c>
      <c r="E1307" s="66">
        <v>0.0</v>
      </c>
      <c r="F1307" s="66" t="s">
        <v>227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2">
        <f t="shared" si="2"/>
        <v>0.2</v>
      </c>
      <c r="L1307" s="82">
        <f t="shared" si="3"/>
        <v>0.11</v>
      </c>
    </row>
    <row r="1308">
      <c r="A1308" s="83">
        <v>44706.0</v>
      </c>
      <c r="B1308" s="83">
        <v>44706.0</v>
      </c>
      <c r="C1308" s="66">
        <v>2090.0</v>
      </c>
      <c r="D1308" s="66" t="s">
        <v>226</v>
      </c>
      <c r="E1308" s="66">
        <v>0.0</v>
      </c>
      <c r="F1308" s="66" t="s">
        <v>227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2">
        <f t="shared" si="2"/>
        <v>0.43</v>
      </c>
      <c r="L1308" s="82">
        <f t="shared" si="3"/>
        <v>0.2175</v>
      </c>
    </row>
    <row r="1309">
      <c r="A1309" s="83">
        <v>44706.0</v>
      </c>
      <c r="B1309" s="83">
        <v>44706.0</v>
      </c>
      <c r="C1309" s="66">
        <v>2015.0</v>
      </c>
      <c r="D1309" s="66" t="s">
        <v>226</v>
      </c>
      <c r="E1309" s="66">
        <v>0.0</v>
      </c>
      <c r="F1309" s="66" t="s">
        <v>227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2">
        <f t="shared" si="2"/>
        <v>0.44</v>
      </c>
      <c r="L1309" s="82">
        <f t="shared" si="3"/>
        <v>0.1744</v>
      </c>
    </row>
    <row r="1310">
      <c r="A1310" s="83">
        <v>44706.0</v>
      </c>
      <c r="B1310" s="83">
        <v>44706.0</v>
      </c>
      <c r="C1310" s="66">
        <v>2031.0</v>
      </c>
      <c r="D1310" s="66" t="s">
        <v>226</v>
      </c>
      <c r="E1310" s="66">
        <v>1.0</v>
      </c>
      <c r="F1310" s="66" t="s">
        <v>227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2">
        <f t="shared" si="2"/>
        <v>0.45</v>
      </c>
      <c r="L1310" s="82">
        <f t="shared" si="3"/>
        <v>0.2757</v>
      </c>
    </row>
    <row r="1311">
      <c r="A1311" s="83">
        <v>44706.0</v>
      </c>
      <c r="B1311" s="83">
        <v>44706.0</v>
      </c>
      <c r="C1311" s="66">
        <v>2023.0</v>
      </c>
      <c r="D1311" s="66" t="s">
        <v>226</v>
      </c>
      <c r="E1311" s="66">
        <v>1.0</v>
      </c>
      <c r="F1311" s="66" t="s">
        <v>228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2">
        <f t="shared" si="2"/>
        <v>3.01</v>
      </c>
      <c r="L1311" s="82">
        <f t="shared" si="3"/>
        <v>1.921</v>
      </c>
    </row>
    <row r="1312">
      <c r="A1312" s="83">
        <v>44706.0</v>
      </c>
      <c r="B1312" s="83">
        <v>44706.0</v>
      </c>
      <c r="C1312" s="66">
        <v>2093.0</v>
      </c>
      <c r="D1312" s="66" t="s">
        <v>226</v>
      </c>
      <c r="E1312" s="66">
        <v>1.0</v>
      </c>
      <c r="F1312" s="66" t="s">
        <v>227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2">
        <f t="shared" si="2"/>
        <v>0.21</v>
      </c>
      <c r="L1312" s="82">
        <f t="shared" si="3"/>
        <v>0.1181</v>
      </c>
    </row>
    <row r="1313">
      <c r="A1313" s="83">
        <v>44706.0</v>
      </c>
      <c r="B1313" s="83">
        <v>44706.0</v>
      </c>
      <c r="C1313" s="66">
        <v>2026.0</v>
      </c>
      <c r="D1313" s="66" t="s">
        <v>226</v>
      </c>
      <c r="E1313" s="66">
        <v>0.0</v>
      </c>
      <c r="F1313" s="66" t="s">
        <v>227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2">
        <f t="shared" si="2"/>
        <v>0.42</v>
      </c>
      <c r="L1313" s="82">
        <f t="shared" si="3"/>
        <v>0.246</v>
      </c>
    </row>
    <row r="1314">
      <c r="A1314" s="83">
        <v>44706.0</v>
      </c>
      <c r="B1314" s="83">
        <v>44706.0</v>
      </c>
      <c r="C1314" s="66" t="s">
        <v>246</v>
      </c>
      <c r="D1314" s="66" t="s">
        <v>226</v>
      </c>
      <c r="E1314" s="66">
        <v>0.0</v>
      </c>
      <c r="F1314" s="66" t="s">
        <v>222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2">
        <f t="shared" si="2"/>
        <v>1.67</v>
      </c>
      <c r="L1314" s="82">
        <f t="shared" si="3"/>
        <v>0.962</v>
      </c>
    </row>
    <row r="1315">
      <c r="A1315" s="83">
        <v>44706.0</v>
      </c>
      <c r="B1315" s="83">
        <v>44706.0</v>
      </c>
      <c r="C1315" s="66">
        <v>2085.0</v>
      </c>
      <c r="D1315" s="66" t="s">
        <v>226</v>
      </c>
      <c r="E1315" s="66">
        <v>0.0</v>
      </c>
      <c r="F1315" s="66" t="s">
        <v>228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2">
        <f t="shared" si="2"/>
        <v>2.14</v>
      </c>
      <c r="L1315" s="82">
        <f t="shared" si="3"/>
        <v>1.121</v>
      </c>
    </row>
    <row r="1316">
      <c r="A1316" s="83">
        <v>44706.0</v>
      </c>
      <c r="B1316" s="83">
        <v>44706.0</v>
      </c>
      <c r="C1316" s="66">
        <v>2007.0</v>
      </c>
      <c r="D1316" s="66" t="s">
        <v>226</v>
      </c>
      <c r="E1316" s="66">
        <v>0.0</v>
      </c>
      <c r="F1316" s="66" t="s">
        <v>228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2">
        <f t="shared" si="2"/>
        <v>2.23</v>
      </c>
      <c r="L1316" s="82">
        <f t="shared" si="3"/>
        <v>1.187</v>
      </c>
    </row>
    <row r="1317">
      <c r="A1317" s="83">
        <v>44706.0</v>
      </c>
      <c r="B1317" s="83">
        <v>44706.0</v>
      </c>
      <c r="C1317" s="66">
        <v>2026.0</v>
      </c>
      <c r="D1317" s="66" t="s">
        <v>226</v>
      </c>
      <c r="E1317" s="66">
        <v>1.0</v>
      </c>
      <c r="F1317" s="66" t="s">
        <v>227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2">
        <f t="shared" si="2"/>
        <v>0.25</v>
      </c>
      <c r="L1317" s="82">
        <f t="shared" si="3"/>
        <v>0.1522</v>
      </c>
    </row>
    <row r="1318">
      <c r="A1318" s="83">
        <v>44706.0</v>
      </c>
      <c r="B1318" s="83">
        <v>44706.0</v>
      </c>
      <c r="C1318" s="66">
        <v>2013.0</v>
      </c>
      <c r="D1318" s="66" t="s">
        <v>226</v>
      </c>
      <c r="E1318" s="66">
        <v>1.0</v>
      </c>
      <c r="F1318" s="66" t="s">
        <v>227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2">
        <f t="shared" si="2"/>
        <v>0.69</v>
      </c>
      <c r="L1318" s="82">
        <f t="shared" si="3"/>
        <v>0.397</v>
      </c>
    </row>
    <row r="1319">
      <c r="A1319" s="83">
        <v>44706.0</v>
      </c>
      <c r="B1319" s="83">
        <v>44706.0</v>
      </c>
      <c r="C1319" s="66">
        <v>2022.0</v>
      </c>
      <c r="D1319" s="66" t="s">
        <v>226</v>
      </c>
      <c r="E1319" s="66">
        <v>1.0</v>
      </c>
      <c r="F1319" s="66" t="s">
        <v>227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2">
        <f t="shared" si="2"/>
        <v>0.37</v>
      </c>
      <c r="L1319" s="82">
        <f t="shared" si="3"/>
        <v>0.224</v>
      </c>
    </row>
    <row r="1320">
      <c r="A1320" s="83">
        <v>44706.0</v>
      </c>
      <c r="B1320" s="83">
        <v>44706.0</v>
      </c>
      <c r="C1320" s="66">
        <v>2015.0</v>
      </c>
      <c r="D1320" s="66" t="s">
        <v>226</v>
      </c>
      <c r="E1320" s="66">
        <v>0.0</v>
      </c>
      <c r="F1320" s="66" t="s">
        <v>228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2">
        <f t="shared" si="2"/>
        <v>3</v>
      </c>
      <c r="L1320" s="82">
        <f t="shared" si="3"/>
        <v>1.65</v>
      </c>
    </row>
    <row r="1321">
      <c r="A1321" s="83">
        <v>44706.0</v>
      </c>
      <c r="B1321" s="83">
        <v>44706.0</v>
      </c>
      <c r="C1321" s="66">
        <v>2023.0</v>
      </c>
      <c r="D1321" s="66" t="s">
        <v>226</v>
      </c>
      <c r="E1321" s="66">
        <v>0.0</v>
      </c>
      <c r="F1321" s="66" t="s">
        <v>227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2">
        <f t="shared" si="2"/>
        <v>0.18</v>
      </c>
      <c r="L1321" s="82">
        <f t="shared" si="3"/>
        <v>0.102</v>
      </c>
    </row>
    <row r="1322">
      <c r="A1322" s="83">
        <v>44706.0</v>
      </c>
      <c r="B1322" s="83">
        <v>44706.0</v>
      </c>
      <c r="C1322" s="66">
        <v>2025.0</v>
      </c>
      <c r="D1322" s="66" t="s">
        <v>226</v>
      </c>
      <c r="E1322" s="66">
        <v>0.0</v>
      </c>
      <c r="F1322" s="66" t="s">
        <v>228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2">
        <f t="shared" si="2"/>
        <v>2.65</v>
      </c>
      <c r="L1322" s="82">
        <f t="shared" si="3"/>
        <v>1.478</v>
      </c>
    </row>
    <row r="1323">
      <c r="A1323" s="83">
        <v>44706.0</v>
      </c>
      <c r="B1323" s="83">
        <v>44706.0</v>
      </c>
      <c r="C1323" s="66">
        <v>2020.0</v>
      </c>
      <c r="D1323" s="66" t="s">
        <v>226</v>
      </c>
      <c r="E1323" s="66">
        <v>0.0</v>
      </c>
      <c r="F1323" s="66" t="s">
        <v>228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2">
        <f t="shared" si="2"/>
        <v>4.05</v>
      </c>
      <c r="L1323" s="82">
        <f t="shared" si="3"/>
        <v>2.243</v>
      </c>
    </row>
    <row r="1324">
      <c r="A1324" s="83">
        <v>44706.0</v>
      </c>
      <c r="B1324" s="83">
        <v>44706.0</v>
      </c>
      <c r="C1324" s="66">
        <v>2089.0</v>
      </c>
      <c r="D1324" s="66" t="s">
        <v>226</v>
      </c>
      <c r="E1324" s="66">
        <v>1.0</v>
      </c>
      <c r="F1324" s="66" t="s">
        <v>228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2">
        <f t="shared" si="2"/>
        <v>2.39</v>
      </c>
      <c r="L1324" s="82">
        <f t="shared" si="3"/>
        <v>1.435</v>
      </c>
    </row>
    <row r="1325">
      <c r="A1325" s="83">
        <v>44706.0</v>
      </c>
      <c r="B1325" s="83">
        <v>44706.0</v>
      </c>
      <c r="C1325" s="66">
        <v>2030.0</v>
      </c>
      <c r="D1325" s="66" t="s">
        <v>226</v>
      </c>
      <c r="E1325" s="66">
        <v>1.0</v>
      </c>
      <c r="F1325" s="66" t="s">
        <v>228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2">
        <f t="shared" si="2"/>
        <v>1.9</v>
      </c>
      <c r="L1325" s="82">
        <f t="shared" si="3"/>
        <v>1.168</v>
      </c>
    </row>
    <row r="1326">
      <c r="A1326" s="83">
        <v>44706.0</v>
      </c>
      <c r="B1326" s="83">
        <v>44706.0</v>
      </c>
      <c r="C1326" s="66">
        <v>2008.0</v>
      </c>
      <c r="D1326" s="66" t="s">
        <v>226</v>
      </c>
      <c r="E1326" s="66">
        <v>0.0</v>
      </c>
      <c r="F1326" s="66" t="s">
        <v>228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2">
        <f t="shared" si="2"/>
        <v>2.62</v>
      </c>
      <c r="L1326" s="82">
        <f t="shared" si="3"/>
        <v>1.4543</v>
      </c>
    </row>
    <row r="1327">
      <c r="A1327" s="83">
        <v>44706.0</v>
      </c>
      <c r="B1327" s="83">
        <v>44706.0</v>
      </c>
      <c r="C1327" s="66">
        <v>2024.0</v>
      </c>
      <c r="D1327" s="66" t="s">
        <v>226</v>
      </c>
      <c r="E1327" s="66">
        <v>1.0</v>
      </c>
      <c r="F1327" s="66" t="s">
        <v>227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2">
        <f t="shared" si="2"/>
        <v>0.54</v>
      </c>
      <c r="L1327" s="82">
        <f t="shared" si="3"/>
        <v>0.325</v>
      </c>
    </row>
    <row r="1328">
      <c r="A1328" s="83">
        <v>44706.0</v>
      </c>
      <c r="B1328" s="83">
        <v>44706.0</v>
      </c>
      <c r="C1328" s="66">
        <v>2089.0</v>
      </c>
      <c r="D1328" s="66" t="s">
        <v>226</v>
      </c>
      <c r="E1328" s="66">
        <v>0.0</v>
      </c>
      <c r="F1328" s="66" t="s">
        <v>228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2">
        <f t="shared" si="2"/>
        <v>2.31</v>
      </c>
      <c r="L1328" s="82">
        <f t="shared" si="3"/>
        <v>1.294</v>
      </c>
    </row>
    <row r="1329">
      <c r="A1329" s="83">
        <v>44706.0</v>
      </c>
      <c r="B1329" s="83">
        <v>44706.0</v>
      </c>
      <c r="C1329" s="66">
        <v>2026.0</v>
      </c>
      <c r="D1329" s="66" t="s">
        <v>221</v>
      </c>
      <c r="E1329" s="66">
        <v>0.0</v>
      </c>
      <c r="F1329" s="66" t="s">
        <v>227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2">
        <f t="shared" si="2"/>
        <v>0.1724</v>
      </c>
      <c r="L1329" s="82">
        <f t="shared" si="3"/>
        <v>0.1075</v>
      </c>
    </row>
    <row r="1330">
      <c r="A1330" s="83">
        <v>44706.0</v>
      </c>
      <c r="B1330" s="83">
        <v>44706.0</v>
      </c>
      <c r="C1330" s="66">
        <v>2026.0</v>
      </c>
      <c r="D1330" s="66" t="s">
        <v>221</v>
      </c>
      <c r="E1330" s="66">
        <v>0.0</v>
      </c>
      <c r="F1330" s="66" t="s">
        <v>228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2">
        <f t="shared" si="2"/>
        <v>1.3371</v>
      </c>
      <c r="L1330" s="82">
        <f t="shared" si="3"/>
        <v>0.7742</v>
      </c>
    </row>
    <row r="1331">
      <c r="A1331" s="83">
        <v>44706.0</v>
      </c>
      <c r="B1331" s="83">
        <v>44706.0</v>
      </c>
      <c r="C1331" s="66">
        <v>2026.0</v>
      </c>
      <c r="D1331" s="66" t="s">
        <v>221</v>
      </c>
      <c r="E1331" s="66">
        <v>1.0</v>
      </c>
      <c r="F1331" s="66" t="s">
        <v>227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2">
        <f t="shared" si="2"/>
        <v>0.2254</v>
      </c>
      <c r="L1331" s="82">
        <f t="shared" si="3"/>
        <v>0.1416</v>
      </c>
    </row>
    <row r="1332">
      <c r="A1332" s="83">
        <v>44706.0</v>
      </c>
      <c r="B1332" s="83">
        <v>44706.0</v>
      </c>
      <c r="C1332" s="66">
        <v>2023.0</v>
      </c>
      <c r="D1332" s="66" t="s">
        <v>221</v>
      </c>
      <c r="E1332" s="66">
        <v>0.0</v>
      </c>
      <c r="F1332" s="66" t="s">
        <v>228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2">
        <f t="shared" si="2"/>
        <v>2.6665</v>
      </c>
      <c r="L1332" s="82">
        <f t="shared" si="3"/>
        <v>1.5799</v>
      </c>
    </row>
    <row r="1333">
      <c r="A1333" s="83">
        <v>44706.0</v>
      </c>
      <c r="B1333" s="83">
        <v>44706.0</v>
      </c>
      <c r="C1333" s="66">
        <v>2023.0</v>
      </c>
      <c r="D1333" s="66" t="s">
        <v>221</v>
      </c>
      <c r="E1333" s="66">
        <v>0.0</v>
      </c>
      <c r="F1333" s="66" t="s">
        <v>227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2">
        <f t="shared" si="2"/>
        <v>1.1317</v>
      </c>
      <c r="L1333" s="82">
        <f t="shared" si="3"/>
        <v>0.0762</v>
      </c>
    </row>
    <row r="1334">
      <c r="A1334" s="83">
        <v>44706.0</v>
      </c>
      <c r="B1334" s="83">
        <v>44706.0</v>
      </c>
      <c r="C1334" s="66">
        <v>2023.0</v>
      </c>
      <c r="D1334" s="66" t="s">
        <v>221</v>
      </c>
      <c r="E1334" s="66">
        <v>1.0</v>
      </c>
      <c r="F1334" s="66" t="s">
        <v>227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2">
        <f t="shared" si="2"/>
        <v>0.0678</v>
      </c>
      <c r="L1334" s="82">
        <f t="shared" si="3"/>
        <v>0.042</v>
      </c>
    </row>
    <row r="1335">
      <c r="A1335" s="83">
        <v>44712.0</v>
      </c>
      <c r="B1335" s="83">
        <v>44712.0</v>
      </c>
      <c r="C1335" s="66" t="s">
        <v>236</v>
      </c>
      <c r="D1335" s="66" t="s">
        <v>221</v>
      </c>
      <c r="E1335" s="66">
        <v>0.0</v>
      </c>
      <c r="F1335" s="66" t="s">
        <v>227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2">
        <f t="shared" si="2"/>
        <v>1.1595</v>
      </c>
      <c r="L1335" s="82">
        <f t="shared" si="3"/>
        <v>0.2875</v>
      </c>
      <c r="M1335" s="66">
        <v>1.0</v>
      </c>
    </row>
    <row r="1336">
      <c r="A1336" s="83">
        <v>44712.0</v>
      </c>
      <c r="B1336" s="83">
        <v>44712.0</v>
      </c>
      <c r="C1336" s="66" t="s">
        <v>236</v>
      </c>
      <c r="D1336" s="66" t="s">
        <v>221</v>
      </c>
      <c r="E1336" s="66">
        <v>0.0</v>
      </c>
      <c r="F1336" s="66" t="s">
        <v>227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2">
        <f t="shared" si="2"/>
        <v>1.5727</v>
      </c>
      <c r="L1336" s="82">
        <f t="shared" si="3"/>
        <v>0.3698</v>
      </c>
      <c r="M1336" s="66">
        <v>5.0</v>
      </c>
    </row>
    <row r="1337">
      <c r="A1337" s="83">
        <v>44712.0</v>
      </c>
      <c r="B1337" s="83">
        <v>44712.0</v>
      </c>
      <c r="C1337" s="66" t="s">
        <v>235</v>
      </c>
      <c r="D1337" s="66" t="s">
        <v>221</v>
      </c>
      <c r="E1337" s="66">
        <v>0.0</v>
      </c>
      <c r="F1337" s="66" t="s">
        <v>227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2">
        <f t="shared" si="2"/>
        <v>0.2543</v>
      </c>
      <c r="L1337" s="82">
        <f t="shared" si="3"/>
        <v>0.2365</v>
      </c>
      <c r="M1337" s="66">
        <v>1.0</v>
      </c>
    </row>
    <row r="1338">
      <c r="A1338" s="83">
        <v>44712.0</v>
      </c>
      <c r="B1338" s="83">
        <v>44712.0</v>
      </c>
      <c r="C1338" s="66" t="s">
        <v>95</v>
      </c>
      <c r="D1338" s="66" t="s">
        <v>221</v>
      </c>
      <c r="E1338" s="66">
        <v>0.0</v>
      </c>
      <c r="F1338" s="66" t="s">
        <v>227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2">
        <f t="shared" si="2"/>
        <v>0.1717</v>
      </c>
      <c r="L1338" s="82">
        <f t="shared" si="3"/>
        <v>0.2685</v>
      </c>
      <c r="M1338" s="66">
        <v>3.0</v>
      </c>
    </row>
    <row r="1339">
      <c r="A1339" s="83">
        <v>44712.0</v>
      </c>
      <c r="B1339" s="83">
        <v>44712.0</v>
      </c>
      <c r="C1339" s="66" t="s">
        <v>95</v>
      </c>
      <c r="D1339" s="66" t="s">
        <v>221</v>
      </c>
      <c r="E1339" s="66">
        <v>0.0</v>
      </c>
      <c r="F1339" s="66" t="s">
        <v>228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2">
        <f t="shared" si="2"/>
        <v>2.439</v>
      </c>
      <c r="L1339" s="82">
        <f t="shared" si="3"/>
        <v>0.6442</v>
      </c>
      <c r="M1339" s="66">
        <v>5.0</v>
      </c>
    </row>
    <row r="1340">
      <c r="A1340" s="83">
        <v>44712.0</v>
      </c>
      <c r="B1340" s="83">
        <v>44712.0</v>
      </c>
      <c r="C1340" s="66" t="s">
        <v>236</v>
      </c>
      <c r="D1340" s="66" t="s">
        <v>221</v>
      </c>
      <c r="E1340" s="66">
        <v>0.0</v>
      </c>
      <c r="F1340" s="66" t="s">
        <v>228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2">
        <f t="shared" si="2"/>
        <v>8.1342</v>
      </c>
      <c r="L1340" s="82">
        <f t="shared" si="3"/>
        <v>1.9318</v>
      </c>
      <c r="M1340" s="66">
        <v>4.0</v>
      </c>
    </row>
    <row r="1341">
      <c r="A1341" s="83">
        <v>44712.0</v>
      </c>
      <c r="B1341" s="83">
        <v>44712.0</v>
      </c>
      <c r="C1341" s="66" t="s">
        <v>236</v>
      </c>
      <c r="D1341" s="66" t="s">
        <v>221</v>
      </c>
      <c r="E1341" s="66">
        <v>0.0</v>
      </c>
      <c r="F1341" s="66" t="s">
        <v>228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2">
        <f t="shared" si="2"/>
        <v>5.198</v>
      </c>
      <c r="L1341" s="82">
        <f t="shared" si="3"/>
        <v>1.2906</v>
      </c>
      <c r="M1341" s="66">
        <v>5.0</v>
      </c>
    </row>
    <row r="1342">
      <c r="A1342" s="83">
        <v>44712.0</v>
      </c>
      <c r="B1342" s="83">
        <v>44712.0</v>
      </c>
      <c r="C1342" s="66" t="s">
        <v>236</v>
      </c>
      <c r="D1342" s="66" t="s">
        <v>221</v>
      </c>
      <c r="E1342" s="66">
        <v>0.0</v>
      </c>
      <c r="F1342" s="66" t="s">
        <v>228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2">
        <f t="shared" si="2"/>
        <v>7.3596</v>
      </c>
      <c r="L1342" s="82">
        <f t="shared" si="3"/>
        <v>2.0052</v>
      </c>
      <c r="M1342" s="66">
        <v>2.2</v>
      </c>
    </row>
    <row r="1343">
      <c r="A1343" s="83">
        <v>44712.0</v>
      </c>
      <c r="B1343" s="83">
        <v>44712.0</v>
      </c>
      <c r="C1343" s="66" t="s">
        <v>236</v>
      </c>
      <c r="D1343" s="66" t="s">
        <v>221</v>
      </c>
      <c r="E1343" s="66">
        <v>0.0</v>
      </c>
      <c r="F1343" s="66" t="s">
        <v>227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2">
        <f t="shared" si="2"/>
        <v>2.0566</v>
      </c>
      <c r="L1343" s="82">
        <f t="shared" si="3"/>
        <v>0.6507</v>
      </c>
      <c r="M1343" s="66">
        <v>5.0</v>
      </c>
    </row>
    <row r="1344">
      <c r="A1344" s="83">
        <v>44712.0</v>
      </c>
      <c r="B1344" s="83">
        <v>44712.0</v>
      </c>
      <c r="C1344" s="66" t="s">
        <v>235</v>
      </c>
      <c r="D1344" s="66" t="s">
        <v>221</v>
      </c>
      <c r="E1344" s="66">
        <v>0.0</v>
      </c>
      <c r="F1344" s="66" t="s">
        <v>227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2">
        <f t="shared" si="2"/>
        <v>1.0324</v>
      </c>
      <c r="L1344" s="82">
        <f t="shared" si="3"/>
        <v>0.1987</v>
      </c>
      <c r="M1344" s="66">
        <v>2.1</v>
      </c>
    </row>
    <row r="1345">
      <c r="A1345" s="83">
        <v>44712.0</v>
      </c>
      <c r="B1345" s="83">
        <v>44712.0</v>
      </c>
      <c r="C1345" s="66" t="s">
        <v>95</v>
      </c>
      <c r="D1345" s="66" t="s">
        <v>221</v>
      </c>
      <c r="E1345" s="66">
        <v>0.0</v>
      </c>
      <c r="F1345" s="66" t="s">
        <v>228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2">
        <f t="shared" si="2"/>
        <v>2.1336</v>
      </c>
      <c r="L1345" s="82">
        <f t="shared" si="3"/>
        <v>0.9702</v>
      </c>
      <c r="M1345" s="66">
        <v>2.2</v>
      </c>
    </row>
    <row r="1346">
      <c r="A1346" s="83">
        <v>44712.0</v>
      </c>
      <c r="B1346" s="83">
        <v>44712.0</v>
      </c>
      <c r="C1346" s="66" t="s">
        <v>95</v>
      </c>
      <c r="D1346" s="66" t="s">
        <v>221</v>
      </c>
      <c r="E1346" s="66">
        <v>0.0</v>
      </c>
      <c r="F1346" s="66" t="s">
        <v>227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2">
        <f t="shared" si="2"/>
        <v>0.0919</v>
      </c>
      <c r="L1346" s="82">
        <f t="shared" si="3"/>
        <v>0.2115</v>
      </c>
      <c r="M1346" s="66">
        <v>3.0</v>
      </c>
    </row>
    <row r="1347">
      <c r="A1347" s="83">
        <v>44712.0</v>
      </c>
      <c r="B1347" s="83">
        <v>44712.0</v>
      </c>
      <c r="C1347" s="66" t="s">
        <v>95</v>
      </c>
      <c r="D1347" s="66" t="s">
        <v>221</v>
      </c>
      <c r="E1347" s="66">
        <v>0.0</v>
      </c>
      <c r="F1347" s="66" t="s">
        <v>227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2">
        <f t="shared" si="2"/>
        <v>0.8872</v>
      </c>
      <c r="L1347" s="82">
        <f t="shared" si="3"/>
        <v>0.2277</v>
      </c>
      <c r="M1347" s="66">
        <v>1.0</v>
      </c>
    </row>
    <row r="1348">
      <c r="A1348" s="83">
        <v>44712.0</v>
      </c>
      <c r="B1348" s="83">
        <v>44712.0</v>
      </c>
      <c r="C1348" s="66" t="s">
        <v>95</v>
      </c>
      <c r="D1348" s="66" t="s">
        <v>221</v>
      </c>
      <c r="E1348" s="66">
        <v>0.0</v>
      </c>
      <c r="F1348" s="66" t="s">
        <v>227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2">
        <f t="shared" si="2"/>
        <v>0.8826</v>
      </c>
      <c r="L1348" s="82">
        <f t="shared" si="3"/>
        <v>0.1634</v>
      </c>
      <c r="M1348" s="66">
        <v>5.0</v>
      </c>
    </row>
    <row r="1349">
      <c r="A1349" s="83">
        <v>44712.0</v>
      </c>
      <c r="B1349" s="83">
        <v>44712.0</v>
      </c>
      <c r="C1349" s="66" t="s">
        <v>235</v>
      </c>
      <c r="D1349" s="66" t="s">
        <v>221</v>
      </c>
      <c r="E1349" s="66">
        <v>0.0</v>
      </c>
      <c r="F1349" s="66" t="s">
        <v>228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2">
        <f t="shared" si="2"/>
        <v>3.9619</v>
      </c>
      <c r="L1349" s="82">
        <f t="shared" si="3"/>
        <v>1.222</v>
      </c>
      <c r="M1349" s="66">
        <v>3.0</v>
      </c>
    </row>
    <row r="1350">
      <c r="A1350" s="83">
        <v>44712.0</v>
      </c>
      <c r="B1350" s="83">
        <v>44712.0</v>
      </c>
      <c r="C1350" s="66" t="s">
        <v>236</v>
      </c>
      <c r="D1350" s="66" t="s">
        <v>221</v>
      </c>
      <c r="E1350" s="66">
        <v>0.0</v>
      </c>
      <c r="F1350" s="66" t="s">
        <v>228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2">
        <f t="shared" si="2"/>
        <v>4.3479</v>
      </c>
      <c r="L1350" s="82">
        <f t="shared" si="3"/>
        <v>1.0077</v>
      </c>
      <c r="M1350" s="66">
        <v>5.0</v>
      </c>
    </row>
    <row r="1351">
      <c r="A1351" s="83">
        <v>44712.0</v>
      </c>
      <c r="B1351" s="83">
        <v>44712.0</v>
      </c>
      <c r="C1351" s="66" t="s">
        <v>235</v>
      </c>
      <c r="D1351" s="66" t="s">
        <v>221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2">
        <f t="shared" si="2"/>
        <v>2.8735</v>
      </c>
      <c r="L1351" s="82">
        <f t="shared" si="3"/>
        <v>0.9518</v>
      </c>
      <c r="M1351" s="66">
        <v>4.0</v>
      </c>
    </row>
    <row r="1352">
      <c r="A1352" s="83">
        <v>44712.0</v>
      </c>
      <c r="B1352" s="83">
        <v>44712.0</v>
      </c>
      <c r="C1352" s="66" t="s">
        <v>235</v>
      </c>
      <c r="D1352" s="66" t="s">
        <v>221</v>
      </c>
      <c r="E1352" s="66">
        <v>0.0</v>
      </c>
      <c r="F1352" s="66" t="s">
        <v>228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2">
        <f t="shared" si="2"/>
        <v>2.4454</v>
      </c>
      <c r="L1352" s="82">
        <f t="shared" si="3"/>
        <v>1.0574</v>
      </c>
      <c r="M1352" s="66">
        <v>4.0</v>
      </c>
    </row>
    <row r="1353">
      <c r="A1353" s="83">
        <v>44712.0</v>
      </c>
      <c r="B1353" s="83">
        <v>44712.0</v>
      </c>
      <c r="C1353" s="66" t="s">
        <v>95</v>
      </c>
      <c r="D1353" s="66" t="s">
        <v>221</v>
      </c>
      <c r="E1353" s="66">
        <v>0.0</v>
      </c>
      <c r="F1353" s="66" t="s">
        <v>228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2">
        <f t="shared" si="2"/>
        <v>2.3583</v>
      </c>
      <c r="L1353" s="82">
        <f t="shared" si="3"/>
        <v>0.9183</v>
      </c>
      <c r="M1353" s="66">
        <v>1.0</v>
      </c>
    </row>
    <row r="1354">
      <c r="A1354" s="83">
        <v>44712.0</v>
      </c>
      <c r="B1354" s="83">
        <v>44712.0</v>
      </c>
      <c r="C1354" s="66" t="s">
        <v>95</v>
      </c>
      <c r="D1354" s="66" t="s">
        <v>221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2">
        <f t="shared" si="2"/>
        <v>2.0406</v>
      </c>
      <c r="L1354" s="82">
        <f t="shared" si="3"/>
        <v>0.6604</v>
      </c>
      <c r="M1354" s="66">
        <v>3.0</v>
      </c>
    </row>
    <row r="1355">
      <c r="A1355" s="83">
        <v>44712.0</v>
      </c>
      <c r="B1355" s="83">
        <v>44712.0</v>
      </c>
      <c r="C1355" s="66" t="s">
        <v>235</v>
      </c>
      <c r="D1355" s="66" t="s">
        <v>221</v>
      </c>
      <c r="E1355" s="66">
        <v>0.0</v>
      </c>
      <c r="F1355" s="66" t="s">
        <v>227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2">
        <f t="shared" si="2"/>
        <v>0.9457</v>
      </c>
      <c r="L1355" s="82">
        <f t="shared" si="3"/>
        <v>0.1829</v>
      </c>
      <c r="M1355" s="66">
        <v>4.0</v>
      </c>
    </row>
    <row r="1356">
      <c r="A1356" s="83">
        <v>44712.0</v>
      </c>
      <c r="B1356" s="83">
        <v>44712.0</v>
      </c>
      <c r="C1356" s="66" t="s">
        <v>236</v>
      </c>
      <c r="D1356" s="66" t="s">
        <v>221</v>
      </c>
      <c r="E1356" s="66">
        <v>0.0</v>
      </c>
      <c r="F1356" s="66" t="s">
        <v>227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2">
        <f t="shared" si="2"/>
        <v>1.2863</v>
      </c>
      <c r="L1356" s="82">
        <f t="shared" si="3"/>
        <v>0.3176</v>
      </c>
      <c r="M1356" s="66">
        <v>2.1</v>
      </c>
    </row>
    <row r="1357">
      <c r="A1357" s="83">
        <v>44839.0</v>
      </c>
      <c r="B1357" s="83">
        <v>44839.0</v>
      </c>
      <c r="C1357" s="66">
        <v>2052.0</v>
      </c>
      <c r="D1357" s="66" t="s">
        <v>221</v>
      </c>
      <c r="E1357" s="66">
        <v>0.0</v>
      </c>
      <c r="F1357" s="66" t="s">
        <v>227</v>
      </c>
      <c r="G1357" s="66">
        <v>0.0</v>
      </c>
      <c r="K1357" s="66">
        <v>0.543</v>
      </c>
      <c r="L1357" s="66">
        <v>0.3547</v>
      </c>
      <c r="N1357" s="66" t="s">
        <v>195</v>
      </c>
    </row>
    <row r="1358">
      <c r="A1358" s="83">
        <v>44839.0</v>
      </c>
      <c r="B1358" s="83">
        <v>44839.0</v>
      </c>
      <c r="C1358" s="66">
        <v>2052.0</v>
      </c>
      <c r="D1358" s="66" t="s">
        <v>221</v>
      </c>
      <c r="E1358" s="66">
        <f>if(C1358="old",1,0)</f>
        <v>0</v>
      </c>
      <c r="F1358" s="66" t="s">
        <v>228</v>
      </c>
      <c r="G1358" s="66">
        <f>if(E1358="old",1,0)</f>
        <v>0</v>
      </c>
      <c r="H1358" s="66"/>
      <c r="I1358" s="66"/>
      <c r="J1358" s="66"/>
      <c r="K1358" s="66">
        <v>0.985</v>
      </c>
      <c r="L1358" s="66">
        <v>0.5873</v>
      </c>
      <c r="N1358" s="66" t="s">
        <v>195</v>
      </c>
    </row>
    <row r="1359">
      <c r="A1359" s="83">
        <v>44839.0</v>
      </c>
      <c r="B1359" s="83">
        <v>44839.0</v>
      </c>
      <c r="C1359" s="66">
        <v>2042.0</v>
      </c>
      <c r="D1359" s="66" t="s">
        <v>221</v>
      </c>
      <c r="E1359" s="66">
        <v>1.0</v>
      </c>
      <c r="F1359" s="66" t="s">
        <v>227</v>
      </c>
      <c r="G1359" s="66">
        <v>1.0</v>
      </c>
      <c r="H1359" s="66"/>
      <c r="I1359" s="66"/>
      <c r="J1359" s="66"/>
      <c r="K1359" s="66">
        <v>0.3081</v>
      </c>
      <c r="L1359" s="66">
        <v>0.1442</v>
      </c>
      <c r="N1359" s="66" t="s">
        <v>195</v>
      </c>
    </row>
    <row r="1360">
      <c r="A1360" s="83">
        <v>44839.0</v>
      </c>
      <c r="B1360" s="83">
        <v>44839.0</v>
      </c>
      <c r="C1360" s="66">
        <v>2052.0</v>
      </c>
      <c r="D1360" s="66" t="s">
        <v>221</v>
      </c>
      <c r="E1360" s="66" t="s">
        <v>247</v>
      </c>
      <c r="F1360" s="66" t="s">
        <v>227</v>
      </c>
      <c r="G1360" s="66" t="s">
        <v>247</v>
      </c>
      <c r="H1360" s="66"/>
      <c r="I1360" s="66"/>
      <c r="J1360" s="66"/>
      <c r="K1360" s="66">
        <v>1.148</v>
      </c>
      <c r="L1360" s="66">
        <v>0.7004</v>
      </c>
      <c r="N1360" s="66" t="s">
        <v>195</v>
      </c>
    </row>
    <row r="1361">
      <c r="A1361" s="83">
        <v>44839.0</v>
      </c>
      <c r="B1361" s="83">
        <v>44839.0</v>
      </c>
      <c r="C1361" s="66">
        <v>2049.0</v>
      </c>
      <c r="D1361" s="66" t="s">
        <v>221</v>
      </c>
      <c r="E1361" s="66">
        <f t="shared" ref="E1361:E1362" si="14">if(C1361="old",1,0)</f>
        <v>0</v>
      </c>
      <c r="F1361" s="66" t="s">
        <v>227</v>
      </c>
      <c r="G1361" s="66">
        <f t="shared" ref="G1361:G1362" si="15">if(E1361="old",1,0)</f>
        <v>0</v>
      </c>
      <c r="H1361" s="66"/>
      <c r="I1361" s="66"/>
      <c r="J1361" s="66"/>
      <c r="K1361" s="66">
        <v>0.1118</v>
      </c>
      <c r="L1361" s="66">
        <v>0.0697</v>
      </c>
      <c r="N1361" s="66" t="s">
        <v>195</v>
      </c>
    </row>
    <row r="1362">
      <c r="A1362" s="83">
        <v>44839.0</v>
      </c>
      <c r="B1362" s="83">
        <v>44839.0</v>
      </c>
      <c r="C1362" s="66">
        <v>2049.0</v>
      </c>
      <c r="D1362" s="66" t="s">
        <v>221</v>
      </c>
      <c r="E1362" s="66">
        <f t="shared" si="14"/>
        <v>0</v>
      </c>
      <c r="F1362" s="66" t="s">
        <v>228</v>
      </c>
      <c r="G1362" s="66">
        <f t="shared" si="15"/>
        <v>0</v>
      </c>
      <c r="H1362" s="66"/>
      <c r="I1362" s="66"/>
      <c r="J1362" s="66"/>
      <c r="K1362" s="66">
        <v>0.9318</v>
      </c>
      <c r="L1362" s="66">
        <v>0.5818</v>
      </c>
      <c r="N1362" s="66" t="s">
        <v>195</v>
      </c>
    </row>
    <row r="1363">
      <c r="A1363" s="83">
        <v>44839.0</v>
      </c>
      <c r="B1363" s="83">
        <v>44839.0</v>
      </c>
      <c r="C1363" s="66">
        <v>2049.0</v>
      </c>
      <c r="D1363" s="66" t="s">
        <v>221</v>
      </c>
      <c r="E1363" s="66">
        <v>1.0</v>
      </c>
      <c r="F1363" s="66" t="s">
        <v>227</v>
      </c>
      <c r="G1363" s="66">
        <v>1.0</v>
      </c>
      <c r="H1363" s="66"/>
      <c r="I1363" s="66"/>
      <c r="J1363" s="66"/>
      <c r="K1363" s="66">
        <v>0.2471</v>
      </c>
      <c r="L1363" s="66">
        <v>0.1511</v>
      </c>
      <c r="N1363" s="66" t="s">
        <v>195</v>
      </c>
    </row>
    <row r="1364">
      <c r="A1364" s="83">
        <v>44839.0</v>
      </c>
      <c r="B1364" s="83">
        <v>44839.0</v>
      </c>
      <c r="C1364" s="66">
        <v>2040.0</v>
      </c>
      <c r="D1364" s="66" t="s">
        <v>221</v>
      </c>
      <c r="E1364" s="66">
        <f t="shared" ref="E1364:E1365" si="16">if(C1364="old",1,0)</f>
        <v>0</v>
      </c>
      <c r="F1364" s="66" t="s">
        <v>228</v>
      </c>
      <c r="G1364" s="66">
        <f t="shared" ref="G1364:G1365" si="17">if(E1364="old",1,0)</f>
        <v>0</v>
      </c>
      <c r="H1364" s="66"/>
      <c r="I1364" s="66"/>
      <c r="J1364" s="66"/>
      <c r="K1364" s="66">
        <v>0.1477</v>
      </c>
      <c r="L1364" s="66">
        <v>0.0899</v>
      </c>
      <c r="N1364" s="66" t="s">
        <v>195</v>
      </c>
    </row>
    <row r="1365">
      <c r="A1365" s="83">
        <v>44839.0</v>
      </c>
      <c r="B1365" s="83">
        <v>44839.0</v>
      </c>
      <c r="C1365" s="66">
        <v>2040.0</v>
      </c>
      <c r="D1365" s="66" t="s">
        <v>221</v>
      </c>
      <c r="E1365" s="66">
        <f t="shared" si="16"/>
        <v>0</v>
      </c>
      <c r="F1365" s="66" t="s">
        <v>227</v>
      </c>
      <c r="G1365" s="66">
        <f t="shared" si="17"/>
        <v>0</v>
      </c>
      <c r="H1365" s="66"/>
      <c r="I1365" s="66"/>
      <c r="J1365" s="66"/>
      <c r="K1365" s="66">
        <v>0.1056</v>
      </c>
      <c r="L1365" s="66">
        <v>0.0732</v>
      </c>
      <c r="N1365" s="66" t="s">
        <v>195</v>
      </c>
    </row>
    <row r="1366">
      <c r="A1366" s="83">
        <v>44839.0</v>
      </c>
      <c r="B1366" s="83">
        <v>44839.0</v>
      </c>
      <c r="C1366" s="66">
        <v>2040.0</v>
      </c>
      <c r="D1366" s="66" t="s">
        <v>221</v>
      </c>
      <c r="E1366" s="66">
        <v>1.0</v>
      </c>
      <c r="F1366" s="66" t="s">
        <v>227</v>
      </c>
      <c r="G1366" s="66">
        <v>1.0</v>
      </c>
      <c r="H1366" s="66"/>
      <c r="I1366" s="66"/>
      <c r="J1366" s="66"/>
      <c r="K1366" s="66">
        <v>0.1122</v>
      </c>
      <c r="L1366" s="66">
        <v>0.0683</v>
      </c>
      <c r="N1366" s="66" t="s">
        <v>195</v>
      </c>
    </row>
    <row r="1367">
      <c r="A1367" s="83">
        <v>44839.0</v>
      </c>
      <c r="B1367" s="83">
        <v>44839.0</v>
      </c>
      <c r="C1367" s="66">
        <v>2046.0</v>
      </c>
      <c r="D1367" s="66" t="s">
        <v>221</v>
      </c>
      <c r="E1367" s="66">
        <f>if(C1367="old",1,0)</f>
        <v>0</v>
      </c>
      <c r="F1367" s="66" t="s">
        <v>228</v>
      </c>
      <c r="G1367" s="66">
        <f>if(E1367="old",1,0)</f>
        <v>0</v>
      </c>
      <c r="H1367" s="66"/>
      <c r="I1367" s="66"/>
      <c r="J1367" s="66"/>
      <c r="K1367" s="66">
        <v>0.5114</v>
      </c>
      <c r="L1367" s="66">
        <v>0.3505</v>
      </c>
      <c r="N1367" s="66" t="s">
        <v>195</v>
      </c>
    </row>
    <row r="1368">
      <c r="A1368" s="83">
        <v>44839.0</v>
      </c>
      <c r="B1368" s="83">
        <v>44839.0</v>
      </c>
      <c r="C1368" s="66">
        <v>2046.0</v>
      </c>
      <c r="D1368" s="66" t="s">
        <v>221</v>
      </c>
      <c r="E1368" s="66">
        <v>1.0</v>
      </c>
      <c r="F1368" s="66" t="s">
        <v>227</v>
      </c>
      <c r="G1368" s="66">
        <v>1.0</v>
      </c>
      <c r="H1368" s="66"/>
      <c r="I1368" s="66"/>
      <c r="J1368" s="66"/>
      <c r="K1368" s="66">
        <v>0.1651</v>
      </c>
      <c r="L1368" s="66">
        <v>0.1106</v>
      </c>
      <c r="N1368" s="66" t="s">
        <v>195</v>
      </c>
    </row>
    <row r="1369">
      <c r="A1369" s="83">
        <v>44839.0</v>
      </c>
      <c r="B1369" s="83">
        <v>44839.0</v>
      </c>
      <c r="C1369" s="66">
        <v>2041.0</v>
      </c>
      <c r="D1369" s="66" t="s">
        <v>221</v>
      </c>
      <c r="E1369" s="66">
        <f t="shared" ref="E1369:E1370" si="18">if(C1369="old",1,0)</f>
        <v>0</v>
      </c>
      <c r="F1369" s="66" t="s">
        <v>228</v>
      </c>
      <c r="G1369" s="66">
        <f t="shared" ref="G1369:G1370" si="19">if(E1369="old",1,0)</f>
        <v>0</v>
      </c>
      <c r="H1369" s="66"/>
      <c r="I1369" s="66"/>
      <c r="J1369" s="66"/>
      <c r="K1369" s="66">
        <v>2.2795</v>
      </c>
      <c r="L1369" s="66">
        <v>1.3736</v>
      </c>
      <c r="N1369" s="66" t="s">
        <v>195</v>
      </c>
    </row>
    <row r="1370">
      <c r="A1370" s="83">
        <v>44839.0</v>
      </c>
      <c r="B1370" s="83">
        <v>44839.0</v>
      </c>
      <c r="C1370" s="66">
        <v>2041.0</v>
      </c>
      <c r="D1370" s="66" t="s">
        <v>221</v>
      </c>
      <c r="E1370" s="66">
        <f t="shared" si="18"/>
        <v>0</v>
      </c>
      <c r="F1370" s="66" t="s">
        <v>227</v>
      </c>
      <c r="G1370" s="66">
        <f t="shared" si="19"/>
        <v>0</v>
      </c>
      <c r="H1370" s="66"/>
      <c r="I1370" s="66"/>
      <c r="J1370" s="66"/>
      <c r="K1370" s="66">
        <v>0.9146</v>
      </c>
      <c r="L1370" s="66">
        <v>0.5848</v>
      </c>
      <c r="N1370" s="66" t="s">
        <v>195</v>
      </c>
    </row>
    <row r="1371">
      <c r="A1371" s="83">
        <v>44839.0</v>
      </c>
      <c r="B1371" s="83">
        <v>44839.0</v>
      </c>
      <c r="C1371" s="66">
        <v>2041.0</v>
      </c>
      <c r="D1371" s="66" t="s">
        <v>221</v>
      </c>
      <c r="E1371" s="66">
        <v>1.0</v>
      </c>
      <c r="F1371" s="66" t="s">
        <v>227</v>
      </c>
      <c r="G1371" s="66">
        <v>1.0</v>
      </c>
      <c r="H1371" s="66"/>
      <c r="I1371" s="66"/>
      <c r="J1371" s="66"/>
      <c r="K1371" s="66">
        <v>0.8733</v>
      </c>
      <c r="L1371" s="66">
        <v>0.5564</v>
      </c>
      <c r="N1371" s="66" t="s">
        <v>195</v>
      </c>
    </row>
    <row r="1372">
      <c r="A1372" s="83">
        <v>44839.0</v>
      </c>
      <c r="B1372" s="83">
        <v>44839.0</v>
      </c>
      <c r="C1372" s="66">
        <v>2044.0</v>
      </c>
      <c r="D1372" s="66" t="s">
        <v>221</v>
      </c>
      <c r="E1372" s="66">
        <f t="shared" ref="E1372:E1373" si="20">if(C1372="old",1,0)</f>
        <v>0</v>
      </c>
      <c r="F1372" s="66" t="s">
        <v>228</v>
      </c>
      <c r="G1372" s="66">
        <f t="shared" ref="G1372:G1373" si="21">if(E1372="old",1,0)</f>
        <v>0</v>
      </c>
      <c r="H1372" s="66"/>
      <c r="I1372" s="66"/>
      <c r="J1372" s="66"/>
      <c r="K1372" s="66">
        <v>0.6512</v>
      </c>
      <c r="L1372" s="66">
        <v>0.4147</v>
      </c>
      <c r="N1372" s="66" t="s">
        <v>195</v>
      </c>
    </row>
    <row r="1373">
      <c r="A1373" s="83">
        <v>44839.0</v>
      </c>
      <c r="B1373" s="83">
        <v>44839.0</v>
      </c>
      <c r="C1373" s="66">
        <v>2044.0</v>
      </c>
      <c r="D1373" s="66" t="s">
        <v>221</v>
      </c>
      <c r="E1373" s="66">
        <f t="shared" si="20"/>
        <v>0</v>
      </c>
      <c r="F1373" s="66" t="s">
        <v>227</v>
      </c>
      <c r="G1373" s="66">
        <f t="shared" si="21"/>
        <v>0</v>
      </c>
      <c r="H1373" s="66"/>
      <c r="I1373" s="66"/>
      <c r="J1373" s="66"/>
      <c r="K1373" s="66">
        <v>0.3433</v>
      </c>
      <c r="L1373" s="66">
        <v>0.2224</v>
      </c>
      <c r="N1373" s="66" t="s">
        <v>195</v>
      </c>
    </row>
    <row r="1374">
      <c r="A1374" s="83">
        <v>44839.0</v>
      </c>
      <c r="B1374" s="83">
        <v>44839.0</v>
      </c>
      <c r="C1374" s="66">
        <v>2044.0</v>
      </c>
      <c r="D1374" s="66" t="s">
        <v>221</v>
      </c>
      <c r="E1374" s="66">
        <v>1.0</v>
      </c>
      <c r="F1374" s="66" t="s">
        <v>227</v>
      </c>
      <c r="G1374" s="66">
        <v>1.0</v>
      </c>
      <c r="H1374" s="66"/>
      <c r="I1374" s="66"/>
      <c r="J1374" s="66"/>
      <c r="K1374" s="66">
        <v>0.663</v>
      </c>
      <c r="L1374" s="66">
        <v>0.4209</v>
      </c>
      <c r="N1374" s="66" t="s">
        <v>195</v>
      </c>
    </row>
    <row r="1375">
      <c r="A1375" s="83">
        <v>44839.0</v>
      </c>
      <c r="B1375" s="83">
        <v>44839.0</v>
      </c>
      <c r="C1375" s="66">
        <v>2046.0</v>
      </c>
      <c r="D1375" s="66" t="s">
        <v>221</v>
      </c>
      <c r="E1375" s="66">
        <f t="shared" ref="E1375:E1377" si="22">if(C1375="old",1,0)</f>
        <v>0</v>
      </c>
      <c r="F1375" s="66" t="s">
        <v>227</v>
      </c>
      <c r="G1375" s="66">
        <f t="shared" ref="G1375:G1377" si="23">if(E1375="old",1,0)</f>
        <v>0</v>
      </c>
      <c r="H1375" s="66"/>
      <c r="I1375" s="66"/>
      <c r="J1375" s="66"/>
      <c r="K1375" s="66">
        <v>0.0792</v>
      </c>
      <c r="L1375" s="66">
        <v>0.0542</v>
      </c>
      <c r="N1375" s="66" t="s">
        <v>195</v>
      </c>
    </row>
    <row r="1376">
      <c r="A1376" s="83">
        <v>44839.0</v>
      </c>
      <c r="B1376" s="83">
        <v>44839.0</v>
      </c>
      <c r="C1376" s="66">
        <v>2045.0</v>
      </c>
      <c r="D1376" s="66" t="s">
        <v>221</v>
      </c>
      <c r="E1376" s="66">
        <f t="shared" si="22"/>
        <v>0</v>
      </c>
      <c r="F1376" s="66" t="s">
        <v>228</v>
      </c>
      <c r="G1376" s="66">
        <f t="shared" si="23"/>
        <v>0</v>
      </c>
      <c r="H1376" s="66"/>
      <c r="I1376" s="66"/>
      <c r="J1376" s="66"/>
      <c r="K1376" s="66">
        <v>0.3188</v>
      </c>
      <c r="L1376" s="66">
        <v>0.2118</v>
      </c>
      <c r="N1376" s="66" t="s">
        <v>195</v>
      </c>
    </row>
    <row r="1377">
      <c r="A1377" s="83">
        <v>44839.0</v>
      </c>
      <c r="B1377" s="83">
        <v>44839.0</v>
      </c>
      <c r="C1377" s="66">
        <v>2045.0</v>
      </c>
      <c r="D1377" s="66" t="s">
        <v>221</v>
      </c>
      <c r="E1377" s="66">
        <f t="shared" si="22"/>
        <v>0</v>
      </c>
      <c r="F1377" s="66" t="s">
        <v>227</v>
      </c>
      <c r="G1377" s="66">
        <f t="shared" si="23"/>
        <v>0</v>
      </c>
      <c r="H1377" s="66"/>
      <c r="I1377" s="66"/>
      <c r="J1377" s="66"/>
      <c r="K1377" s="66">
        <v>0.0985</v>
      </c>
      <c r="L1377" s="66">
        <v>0.0647</v>
      </c>
      <c r="N1377" s="66" t="s">
        <v>195</v>
      </c>
    </row>
    <row r="1378">
      <c r="A1378" s="83">
        <v>44839.0</v>
      </c>
      <c r="B1378" s="83">
        <v>44839.0</v>
      </c>
      <c r="C1378" s="66">
        <v>2045.0</v>
      </c>
      <c r="D1378" s="66" t="s">
        <v>221</v>
      </c>
      <c r="E1378" s="66">
        <v>1.0</v>
      </c>
      <c r="F1378" s="66" t="s">
        <v>227</v>
      </c>
      <c r="G1378" s="66">
        <v>1.0</v>
      </c>
      <c r="H1378" s="66"/>
      <c r="I1378" s="66"/>
      <c r="J1378" s="66"/>
      <c r="K1378" s="66">
        <v>0.5459</v>
      </c>
      <c r="L1378" s="66">
        <v>0.3319</v>
      </c>
      <c r="N1378" s="66" t="s">
        <v>195</v>
      </c>
    </row>
    <row r="1379">
      <c r="A1379" s="83">
        <v>44839.0</v>
      </c>
      <c r="B1379" s="83">
        <v>44839.0</v>
      </c>
      <c r="C1379" s="66">
        <v>2043.0</v>
      </c>
      <c r="D1379" s="66" t="s">
        <v>221</v>
      </c>
      <c r="E1379" s="66">
        <f t="shared" ref="E1379:E1380" si="24">if(C1379="old",1,0)</f>
        <v>0</v>
      </c>
      <c r="F1379" s="66" t="s">
        <v>228</v>
      </c>
      <c r="G1379" s="66">
        <f t="shared" ref="G1379:G1380" si="25">if(E1379="old",1,0)</f>
        <v>0</v>
      </c>
      <c r="H1379" s="66"/>
      <c r="I1379" s="66"/>
      <c r="J1379" s="66"/>
      <c r="K1379" s="66">
        <v>0.8765</v>
      </c>
      <c r="L1379" s="66">
        <v>0.5413</v>
      </c>
      <c r="N1379" s="66" t="s">
        <v>195</v>
      </c>
    </row>
    <row r="1380">
      <c r="A1380" s="83">
        <v>44839.0</v>
      </c>
      <c r="B1380" s="83">
        <v>44839.0</v>
      </c>
      <c r="C1380" s="66">
        <v>2043.0</v>
      </c>
      <c r="D1380" s="66" t="s">
        <v>221</v>
      </c>
      <c r="E1380" s="66">
        <f t="shared" si="24"/>
        <v>0</v>
      </c>
      <c r="F1380" s="66" t="s">
        <v>227</v>
      </c>
      <c r="G1380" s="66">
        <f t="shared" si="25"/>
        <v>0</v>
      </c>
      <c r="H1380" s="66"/>
      <c r="I1380" s="66"/>
      <c r="J1380" s="66"/>
      <c r="K1380" s="66">
        <v>0.7793</v>
      </c>
      <c r="L1380" s="66">
        <v>0.5105</v>
      </c>
      <c r="N1380" s="66" t="s">
        <v>195</v>
      </c>
    </row>
    <row r="1381">
      <c r="A1381" s="83">
        <v>44839.0</v>
      </c>
      <c r="B1381" s="83">
        <v>44839.0</v>
      </c>
      <c r="C1381" s="66">
        <v>2043.0</v>
      </c>
      <c r="D1381" s="66" t="s">
        <v>221</v>
      </c>
      <c r="E1381" s="66">
        <v>1.0</v>
      </c>
      <c r="F1381" s="66" t="s">
        <v>227</v>
      </c>
      <c r="G1381" s="66">
        <v>1.0</v>
      </c>
      <c r="H1381" s="66"/>
      <c r="I1381" s="66"/>
      <c r="J1381" s="66"/>
      <c r="K1381" s="66">
        <v>0.6089</v>
      </c>
      <c r="L1381" s="66">
        <v>0.3871</v>
      </c>
      <c r="N1381" s="66" t="s">
        <v>195</v>
      </c>
    </row>
    <row r="1382">
      <c r="A1382" s="83">
        <v>44839.0</v>
      </c>
      <c r="B1382" s="83">
        <v>44839.0</v>
      </c>
      <c r="C1382" s="66">
        <v>2042.0</v>
      </c>
      <c r="D1382" s="66" t="s">
        <v>221</v>
      </c>
      <c r="E1382" s="66">
        <f t="shared" ref="E1382:E1383" si="26">if(C1382="old",1,0)</f>
        <v>0</v>
      </c>
      <c r="F1382" s="66" t="s">
        <v>227</v>
      </c>
      <c r="G1382" s="66">
        <f t="shared" ref="G1382:G1383" si="27">if(E1382="old",1,0)</f>
        <v>0</v>
      </c>
      <c r="H1382" s="66"/>
      <c r="I1382" s="66"/>
      <c r="J1382" s="66"/>
      <c r="K1382" s="66">
        <v>0.172</v>
      </c>
      <c r="L1382" s="66">
        <v>0.1081</v>
      </c>
      <c r="N1382" s="66" t="s">
        <v>195</v>
      </c>
    </row>
    <row r="1383">
      <c r="A1383" s="83">
        <v>44839.0</v>
      </c>
      <c r="B1383" s="83">
        <v>44839.0</v>
      </c>
      <c r="C1383" s="66">
        <v>2042.0</v>
      </c>
      <c r="D1383" s="66" t="s">
        <v>221</v>
      </c>
      <c r="E1383" s="66">
        <f t="shared" si="26"/>
        <v>0</v>
      </c>
      <c r="F1383" s="66" t="s">
        <v>228</v>
      </c>
      <c r="G1383" s="66">
        <f t="shared" si="27"/>
        <v>0</v>
      </c>
      <c r="H1383" s="66"/>
      <c r="I1383" s="66"/>
      <c r="J1383" s="66"/>
      <c r="K1383" s="66">
        <v>0.6387</v>
      </c>
      <c r="L1383" s="66">
        <v>0.3941</v>
      </c>
      <c r="N1383" s="66" t="s">
        <v>195</v>
      </c>
    </row>
    <row r="1384">
      <c r="A1384" s="83">
        <v>44839.0</v>
      </c>
      <c r="B1384" s="83">
        <v>44839.0</v>
      </c>
      <c r="C1384" s="66">
        <v>2050.0</v>
      </c>
      <c r="D1384" s="66" t="s">
        <v>221</v>
      </c>
      <c r="E1384" s="66">
        <v>1.0</v>
      </c>
      <c r="F1384" s="66" t="s">
        <v>227</v>
      </c>
      <c r="G1384" s="66">
        <v>1.0</v>
      </c>
      <c r="H1384" s="66"/>
      <c r="I1384" s="66"/>
      <c r="J1384" s="66"/>
      <c r="K1384" s="66">
        <v>0.386</v>
      </c>
      <c r="L1384" s="66">
        <v>0.2339</v>
      </c>
      <c r="N1384" s="66" t="s">
        <v>195</v>
      </c>
    </row>
    <row r="1385">
      <c r="A1385" s="83">
        <v>44839.0</v>
      </c>
      <c r="B1385" s="83">
        <v>44839.0</v>
      </c>
      <c r="C1385" s="66">
        <v>2050.0</v>
      </c>
      <c r="D1385" s="66" t="s">
        <v>221</v>
      </c>
      <c r="E1385" s="66">
        <f t="shared" ref="E1385:E1388" si="28">if(C1385="old",1,0)</f>
        <v>0</v>
      </c>
      <c r="F1385" s="66" t="s">
        <v>227</v>
      </c>
      <c r="G1385" s="66">
        <f t="shared" ref="G1385:G1388" si="29">if(E1385="old",1,0)</f>
        <v>0</v>
      </c>
      <c r="H1385" s="66"/>
      <c r="I1385" s="66"/>
      <c r="J1385" s="66"/>
      <c r="K1385" s="66">
        <v>0.4462</v>
      </c>
      <c r="L1385" s="66">
        <v>0.308</v>
      </c>
      <c r="N1385" s="66" t="s">
        <v>195</v>
      </c>
    </row>
    <row r="1386">
      <c r="A1386" s="83">
        <v>44839.0</v>
      </c>
      <c r="B1386" s="83">
        <v>44839.0</v>
      </c>
      <c r="C1386" s="66">
        <v>2050.0</v>
      </c>
      <c r="D1386" s="66" t="s">
        <v>221</v>
      </c>
      <c r="E1386" s="66">
        <f t="shared" si="28"/>
        <v>0</v>
      </c>
      <c r="F1386" s="66" t="s">
        <v>228</v>
      </c>
      <c r="G1386" s="66">
        <f t="shared" si="29"/>
        <v>0</v>
      </c>
      <c r="H1386" s="66"/>
      <c r="I1386" s="66"/>
      <c r="J1386" s="66"/>
      <c r="K1386" s="66">
        <v>1.4376</v>
      </c>
      <c r="L1386" s="66">
        <v>0.863</v>
      </c>
      <c r="N1386" s="66" t="s">
        <v>195</v>
      </c>
    </row>
    <row r="1387">
      <c r="A1387" s="83">
        <v>44839.0</v>
      </c>
      <c r="B1387" s="83">
        <v>44839.0</v>
      </c>
      <c r="C1387" s="66">
        <v>2048.0</v>
      </c>
      <c r="D1387" s="66" t="s">
        <v>221</v>
      </c>
      <c r="E1387" s="66">
        <f t="shared" si="28"/>
        <v>0</v>
      </c>
      <c r="F1387" s="66" t="s">
        <v>227</v>
      </c>
      <c r="G1387" s="66">
        <f t="shared" si="29"/>
        <v>0</v>
      </c>
      <c r="H1387" s="66"/>
      <c r="I1387" s="66"/>
      <c r="J1387" s="66"/>
      <c r="K1387" s="66">
        <v>0.4332</v>
      </c>
      <c r="L1387" s="66">
        <v>0.2766</v>
      </c>
      <c r="N1387" s="66" t="s">
        <v>195</v>
      </c>
    </row>
    <row r="1388">
      <c r="A1388" s="83">
        <v>44839.0</v>
      </c>
      <c r="B1388" s="83">
        <v>44839.0</v>
      </c>
      <c r="C1388" s="66">
        <v>2048.0</v>
      </c>
      <c r="D1388" s="66" t="s">
        <v>221</v>
      </c>
      <c r="E1388" s="66">
        <f t="shared" si="28"/>
        <v>0</v>
      </c>
      <c r="F1388" s="66" t="s">
        <v>228</v>
      </c>
      <c r="G1388" s="66">
        <f t="shared" si="29"/>
        <v>0</v>
      </c>
      <c r="H1388" s="66"/>
      <c r="I1388" s="66"/>
      <c r="J1388" s="66"/>
      <c r="K1388" s="66">
        <v>1.3705</v>
      </c>
      <c r="L1388" s="66">
        <v>0.8033</v>
      </c>
      <c r="N1388" s="66" t="s">
        <v>195</v>
      </c>
    </row>
    <row r="1389">
      <c r="A1389" s="83">
        <v>44839.0</v>
      </c>
      <c r="B1389" s="83">
        <v>44839.0</v>
      </c>
      <c r="C1389" s="66">
        <v>2048.0</v>
      </c>
      <c r="D1389" s="66" t="s">
        <v>221</v>
      </c>
      <c r="E1389" s="66">
        <v>1.0</v>
      </c>
      <c r="F1389" s="66" t="s">
        <v>227</v>
      </c>
      <c r="G1389" s="66">
        <v>1.0</v>
      </c>
      <c r="H1389" s="66"/>
      <c r="I1389" s="66"/>
      <c r="J1389" s="66"/>
      <c r="K1389" s="66">
        <v>0.4523</v>
      </c>
      <c r="L1389" s="66">
        <v>0.2777</v>
      </c>
      <c r="N1389" s="66" t="s">
        <v>195</v>
      </c>
    </row>
    <row r="1390">
      <c r="A1390" s="83">
        <v>44839.0</v>
      </c>
      <c r="B1390" s="83">
        <v>44839.0</v>
      </c>
      <c r="C1390" s="66">
        <v>2051.0</v>
      </c>
      <c r="D1390" s="66" t="s">
        <v>221</v>
      </c>
      <c r="E1390" s="66">
        <v>1.0</v>
      </c>
      <c r="F1390" s="66" t="s">
        <v>227</v>
      </c>
      <c r="G1390" s="66">
        <v>1.0</v>
      </c>
      <c r="H1390" s="66"/>
      <c r="I1390" s="66"/>
      <c r="J1390" s="66"/>
      <c r="K1390" s="66">
        <v>0.585</v>
      </c>
      <c r="L1390" s="66">
        <v>0.3652</v>
      </c>
      <c r="N1390" s="66" t="s">
        <v>195</v>
      </c>
    </row>
    <row r="1391">
      <c r="A1391" s="83">
        <v>44839.0</v>
      </c>
      <c r="B1391" s="83">
        <v>44839.0</v>
      </c>
      <c r="C1391" s="66">
        <v>2051.0</v>
      </c>
      <c r="D1391" s="66" t="s">
        <v>221</v>
      </c>
      <c r="E1391" s="66">
        <f>if(C1391="old",1,0)</f>
        <v>0</v>
      </c>
      <c r="F1391" s="66" t="s">
        <v>227</v>
      </c>
      <c r="G1391" s="66">
        <f>if(E1391="old",1,0)</f>
        <v>0</v>
      </c>
      <c r="H1391" s="66"/>
      <c r="I1391" s="66"/>
      <c r="J1391" s="66"/>
      <c r="K1391" s="66">
        <v>0.6243</v>
      </c>
      <c r="L1391" s="66">
        <v>0.407</v>
      </c>
      <c r="N1391" s="66" t="s">
        <v>195</v>
      </c>
    </row>
    <row r="1392">
      <c r="A1392" s="83">
        <v>44819.0</v>
      </c>
      <c r="B1392" s="83">
        <v>44819.0</v>
      </c>
      <c r="C1392" s="66">
        <v>2345.0</v>
      </c>
      <c r="D1392" s="66" t="s">
        <v>221</v>
      </c>
      <c r="E1392" s="66">
        <v>1.0</v>
      </c>
      <c r="F1392" s="66" t="s">
        <v>227</v>
      </c>
      <c r="G1392" s="66">
        <v>1.0</v>
      </c>
      <c r="H1392" s="66"/>
      <c r="I1392" s="66"/>
      <c r="J1392" s="66"/>
      <c r="K1392" s="66">
        <v>0.9969</v>
      </c>
      <c r="L1392" s="66">
        <v>0.63</v>
      </c>
    </row>
    <row r="1393">
      <c r="A1393" s="83">
        <v>44791.0</v>
      </c>
      <c r="B1393" s="83">
        <v>44791.0</v>
      </c>
      <c r="C1393" s="66">
        <v>2377.0</v>
      </c>
      <c r="D1393" s="66" t="s">
        <v>226</v>
      </c>
      <c r="F1393" s="66" t="s">
        <v>248</v>
      </c>
      <c r="H1393" s="66"/>
      <c r="I1393" s="66"/>
      <c r="J1393" s="66"/>
      <c r="K1393" s="66">
        <v>1.43</v>
      </c>
      <c r="L1393" s="66">
        <v>0.9015</v>
      </c>
      <c r="N1393" s="66" t="s">
        <v>249</v>
      </c>
    </row>
    <row r="1394">
      <c r="A1394" s="83">
        <v>44791.0</v>
      </c>
      <c r="B1394" s="83">
        <v>44791.0</v>
      </c>
      <c r="C1394" s="66">
        <v>2384.0</v>
      </c>
      <c r="D1394" s="66" t="s">
        <v>221</v>
      </c>
      <c r="F1394" s="66" t="s">
        <v>248</v>
      </c>
      <c r="H1394" s="66"/>
      <c r="I1394" s="66"/>
      <c r="J1394" s="66"/>
      <c r="K1394" s="66">
        <v>1.2229</v>
      </c>
      <c r="L1394" s="66">
        <v>0.7869</v>
      </c>
      <c r="N1394" s="66" t="s">
        <v>249</v>
      </c>
    </row>
    <row r="1395">
      <c r="A1395" s="90">
        <v>44816.0</v>
      </c>
      <c r="B1395" s="90">
        <v>44816.0</v>
      </c>
      <c r="C1395" s="102">
        <v>2006.0</v>
      </c>
      <c r="D1395" s="103" t="s">
        <v>226</v>
      </c>
      <c r="E1395" s="102">
        <v>0.0</v>
      </c>
      <c r="F1395" s="103" t="s">
        <v>227</v>
      </c>
      <c r="G1395" s="102">
        <v>0.0</v>
      </c>
      <c r="H1395" s="103"/>
      <c r="I1395" s="103"/>
      <c r="J1395" s="103"/>
      <c r="K1395" s="89">
        <v>0.741</v>
      </c>
      <c r="L1395" s="89">
        <v>0.4687</v>
      </c>
      <c r="M1395" s="88"/>
      <c r="N1395" s="88"/>
    </row>
    <row r="1396">
      <c r="A1396" s="90">
        <v>44816.0</v>
      </c>
      <c r="B1396" s="90">
        <v>44816.0</v>
      </c>
      <c r="C1396" s="102">
        <v>2086.0</v>
      </c>
      <c r="D1396" s="103" t="s">
        <v>226</v>
      </c>
      <c r="E1396" s="102">
        <v>0.0</v>
      </c>
      <c r="F1396" s="103" t="s">
        <v>228</v>
      </c>
      <c r="G1396" s="102">
        <v>0.0</v>
      </c>
      <c r="H1396" s="103"/>
      <c r="I1396" s="103"/>
      <c r="J1396" s="103"/>
      <c r="K1396" s="89">
        <v>3.982</v>
      </c>
      <c r="L1396" s="89">
        <v>2.0991</v>
      </c>
      <c r="M1396" s="88"/>
      <c r="N1396" s="88"/>
    </row>
    <row r="1397">
      <c r="A1397" s="90">
        <v>44816.0</v>
      </c>
      <c r="B1397" s="90">
        <v>44816.0</v>
      </c>
      <c r="C1397" s="102">
        <v>2022.0</v>
      </c>
      <c r="D1397" s="103" t="s">
        <v>221</v>
      </c>
      <c r="E1397" s="102">
        <v>1.0</v>
      </c>
      <c r="F1397" s="103" t="s">
        <v>227</v>
      </c>
      <c r="G1397" s="102">
        <v>1.0</v>
      </c>
      <c r="H1397" s="103"/>
      <c r="I1397" s="103"/>
      <c r="J1397" s="103"/>
      <c r="K1397" s="89">
        <v>0.1586</v>
      </c>
      <c r="L1397" s="89">
        <v>0.0962</v>
      </c>
      <c r="M1397" s="88"/>
      <c r="N1397" s="88"/>
    </row>
    <row r="1398">
      <c r="A1398" s="90">
        <v>44816.0</v>
      </c>
      <c r="B1398" s="90">
        <v>44816.0</v>
      </c>
      <c r="C1398" s="102">
        <v>2022.0</v>
      </c>
      <c r="D1398" s="103" t="s">
        <v>221</v>
      </c>
      <c r="E1398" s="102">
        <v>0.0</v>
      </c>
      <c r="F1398" s="103" t="s">
        <v>228</v>
      </c>
      <c r="G1398" s="102">
        <v>0.0</v>
      </c>
      <c r="H1398" s="103"/>
      <c r="I1398" s="103"/>
      <c r="J1398" s="103"/>
      <c r="K1398" s="89">
        <v>2.4069</v>
      </c>
      <c r="L1398" s="89">
        <v>1.4854</v>
      </c>
      <c r="M1398" s="88"/>
      <c r="N1398" s="88"/>
    </row>
    <row r="1399">
      <c r="A1399" s="90">
        <v>44816.0</v>
      </c>
      <c r="B1399" s="90">
        <v>44816.0</v>
      </c>
      <c r="C1399" s="102">
        <v>2022.0</v>
      </c>
      <c r="D1399" s="103" t="s">
        <v>221</v>
      </c>
      <c r="E1399" s="102">
        <v>0.0</v>
      </c>
      <c r="F1399" s="103" t="s">
        <v>227</v>
      </c>
      <c r="G1399" s="102">
        <v>0.0</v>
      </c>
      <c r="H1399" s="103"/>
      <c r="I1399" s="103"/>
      <c r="J1399" s="103"/>
      <c r="K1399" s="89">
        <v>0.2048</v>
      </c>
      <c r="L1399" s="89">
        <v>0.1259</v>
      </c>
      <c r="M1399" s="88"/>
      <c r="N1399" s="88"/>
    </row>
    <row r="1400">
      <c r="A1400" s="90">
        <v>44839.0</v>
      </c>
      <c r="B1400" s="90">
        <v>44839.0</v>
      </c>
      <c r="C1400" s="102">
        <v>2051.0</v>
      </c>
      <c r="D1400" s="103" t="s">
        <v>221</v>
      </c>
      <c r="E1400" s="102">
        <v>0.0</v>
      </c>
      <c r="F1400" s="103" t="s">
        <v>228</v>
      </c>
      <c r="G1400" s="102">
        <v>0.0</v>
      </c>
      <c r="H1400" s="103"/>
      <c r="I1400" s="103"/>
      <c r="J1400" s="103"/>
      <c r="K1400" s="89">
        <v>2.1617</v>
      </c>
      <c r="L1400" s="89">
        <v>1.2436</v>
      </c>
      <c r="M1400" s="88"/>
      <c r="N1400" s="88"/>
    </row>
    <row r="1401">
      <c r="A1401" s="90">
        <v>44839.0</v>
      </c>
      <c r="B1401" s="90">
        <v>44839.0</v>
      </c>
      <c r="C1401" s="102">
        <v>2047.0</v>
      </c>
      <c r="D1401" s="103" t="s">
        <v>221</v>
      </c>
      <c r="E1401" s="102">
        <v>2.0</v>
      </c>
      <c r="F1401" s="103" t="s">
        <v>227</v>
      </c>
      <c r="G1401" s="102">
        <v>2.0</v>
      </c>
      <c r="H1401" s="103"/>
      <c r="I1401" s="103"/>
      <c r="J1401" s="103"/>
      <c r="K1401" s="89">
        <v>0.7681</v>
      </c>
      <c r="L1401" s="89">
        <v>0.4524</v>
      </c>
      <c r="M1401" s="88"/>
      <c r="N1401" s="88"/>
    </row>
    <row r="1402">
      <c r="A1402" s="90">
        <v>44839.0</v>
      </c>
      <c r="B1402" s="90">
        <v>44839.0</v>
      </c>
      <c r="C1402" s="102">
        <v>2047.0</v>
      </c>
      <c r="D1402" s="103" t="s">
        <v>221</v>
      </c>
      <c r="E1402" s="102">
        <v>0.0</v>
      </c>
      <c r="F1402" s="103" t="s">
        <v>227</v>
      </c>
      <c r="G1402" s="102">
        <v>0.0</v>
      </c>
      <c r="H1402" s="103"/>
      <c r="I1402" s="103"/>
      <c r="J1402" s="103"/>
      <c r="K1402" s="89">
        <v>0.4001</v>
      </c>
      <c r="L1402" s="89">
        <v>0.2486</v>
      </c>
      <c r="M1402" s="88"/>
      <c r="N1402" s="88"/>
    </row>
    <row r="1403">
      <c r="A1403" s="90">
        <v>44839.0</v>
      </c>
      <c r="B1403" s="90">
        <v>44839.0</v>
      </c>
      <c r="C1403" s="102">
        <v>2047.0</v>
      </c>
      <c r="D1403" s="103" t="s">
        <v>221</v>
      </c>
      <c r="E1403" s="102">
        <v>0.0</v>
      </c>
      <c r="F1403" s="103" t="s">
        <v>228</v>
      </c>
      <c r="G1403" s="102">
        <v>0.0</v>
      </c>
      <c r="H1403" s="103"/>
      <c r="I1403" s="103"/>
      <c r="J1403" s="103"/>
      <c r="K1403" s="89">
        <v>1.8153</v>
      </c>
      <c r="L1403" s="89">
        <v>1.0453</v>
      </c>
      <c r="M1403" s="88"/>
      <c r="N1403" s="88"/>
    </row>
    <row r="1404">
      <c r="A1404" s="90">
        <v>44816.0</v>
      </c>
      <c r="B1404" s="90">
        <v>44816.0</v>
      </c>
      <c r="C1404" s="102">
        <v>2365.0</v>
      </c>
      <c r="D1404" s="103" t="s">
        <v>226</v>
      </c>
      <c r="E1404" s="102">
        <v>1.0</v>
      </c>
      <c r="F1404" s="103" t="s">
        <v>227</v>
      </c>
      <c r="G1404" s="102">
        <v>1.0</v>
      </c>
      <c r="H1404" s="103"/>
      <c r="I1404" s="103"/>
      <c r="J1404" s="103"/>
      <c r="K1404" s="89">
        <v>0.1383</v>
      </c>
      <c r="L1404" s="89">
        <v>0.0873</v>
      </c>
      <c r="M1404" s="88"/>
      <c r="N1404" s="88"/>
    </row>
    <row r="1405">
      <c r="A1405" s="90">
        <v>44816.0</v>
      </c>
      <c r="B1405" s="90">
        <v>44816.0</v>
      </c>
      <c r="C1405" s="102">
        <v>2365.0</v>
      </c>
      <c r="D1405" s="103" t="s">
        <v>226</v>
      </c>
      <c r="E1405" s="102">
        <v>0.0</v>
      </c>
      <c r="F1405" s="103" t="s">
        <v>227</v>
      </c>
      <c r="G1405" s="102">
        <v>0.0</v>
      </c>
      <c r="H1405" s="103"/>
      <c r="I1405" s="103"/>
      <c r="J1405" s="103"/>
      <c r="K1405" s="89">
        <v>0.1826</v>
      </c>
      <c r="L1405" s="89">
        <v>0.1209</v>
      </c>
      <c r="M1405" s="88"/>
      <c r="N1405" s="88"/>
    </row>
    <row r="1406">
      <c r="A1406" s="90">
        <v>44816.0</v>
      </c>
      <c r="B1406" s="90">
        <v>44816.0</v>
      </c>
      <c r="C1406" s="102">
        <v>2365.0</v>
      </c>
      <c r="D1406" s="103" t="s">
        <v>226</v>
      </c>
      <c r="E1406" s="102">
        <v>0.0</v>
      </c>
      <c r="F1406" s="103" t="s">
        <v>228</v>
      </c>
      <c r="G1406" s="102">
        <v>0.0</v>
      </c>
      <c r="H1406" s="103"/>
      <c r="I1406" s="103"/>
      <c r="J1406" s="103"/>
      <c r="K1406" s="89">
        <v>0.3868</v>
      </c>
      <c r="L1406" s="89">
        <v>0.231</v>
      </c>
      <c r="M1406" s="88"/>
      <c r="N1406" s="88"/>
    </row>
    <row r="1407">
      <c r="A1407" s="90">
        <v>44819.0</v>
      </c>
      <c r="B1407" s="90">
        <v>44819.0</v>
      </c>
      <c r="C1407" s="102">
        <v>2371.0</v>
      </c>
      <c r="D1407" s="103" t="s">
        <v>221</v>
      </c>
      <c r="E1407" s="102">
        <v>0.0</v>
      </c>
      <c r="F1407" s="103" t="s">
        <v>227</v>
      </c>
      <c r="G1407" s="102">
        <v>0.0</v>
      </c>
      <c r="H1407" s="103"/>
      <c r="I1407" s="103"/>
      <c r="J1407" s="103"/>
      <c r="K1407" s="89">
        <v>0.3318</v>
      </c>
      <c r="L1407" s="89">
        <v>0.2212</v>
      </c>
      <c r="M1407" s="88"/>
      <c r="N1407" s="88"/>
    </row>
    <row r="1408">
      <c r="A1408" s="90">
        <v>44819.0</v>
      </c>
      <c r="B1408" s="90">
        <v>44819.0</v>
      </c>
      <c r="C1408" s="102">
        <v>2371.0</v>
      </c>
      <c r="D1408" s="103" t="s">
        <v>221</v>
      </c>
      <c r="E1408" s="102">
        <v>0.0</v>
      </c>
      <c r="F1408" s="103" t="s">
        <v>228</v>
      </c>
      <c r="G1408" s="102">
        <v>0.0</v>
      </c>
      <c r="H1408" s="103"/>
      <c r="I1408" s="103"/>
      <c r="J1408" s="103"/>
      <c r="K1408" s="104">
        <v>3.634</v>
      </c>
      <c r="L1408" s="89">
        <v>2.3237</v>
      </c>
      <c r="M1408" s="88"/>
      <c r="N1408" s="88"/>
    </row>
    <row r="1409">
      <c r="A1409" s="90">
        <v>44819.0</v>
      </c>
      <c r="B1409" s="90">
        <v>44819.0</v>
      </c>
      <c r="C1409" s="102">
        <v>2371.0</v>
      </c>
      <c r="D1409" s="103" t="s">
        <v>221</v>
      </c>
      <c r="E1409" s="102">
        <v>1.0</v>
      </c>
      <c r="F1409" s="103" t="s">
        <v>227</v>
      </c>
      <c r="G1409" s="102">
        <v>1.0</v>
      </c>
      <c r="H1409" s="103"/>
      <c r="I1409" s="103"/>
      <c r="J1409" s="103"/>
      <c r="K1409" s="89">
        <v>1.0993</v>
      </c>
      <c r="L1409" s="89">
        <v>0.7299</v>
      </c>
      <c r="M1409" s="88"/>
      <c r="N1409" s="88"/>
    </row>
    <row r="1410">
      <c r="A1410" s="90">
        <v>44819.0</v>
      </c>
      <c r="B1410" s="90">
        <v>44819.0</v>
      </c>
      <c r="C1410" s="102">
        <v>2006.0</v>
      </c>
      <c r="D1410" s="103" t="s">
        <v>221</v>
      </c>
      <c r="E1410" s="102">
        <v>0.0</v>
      </c>
      <c r="F1410" s="103" t="s">
        <v>228</v>
      </c>
      <c r="G1410" s="102">
        <v>0.0</v>
      </c>
      <c r="H1410" s="103"/>
      <c r="I1410" s="103"/>
      <c r="J1410" s="103"/>
      <c r="K1410" s="89">
        <v>1.3458</v>
      </c>
      <c r="L1410" s="89">
        <v>0.8516</v>
      </c>
      <c r="M1410" s="88"/>
      <c r="N1410" s="88"/>
    </row>
    <row r="1411">
      <c r="A1411" s="90">
        <v>44819.0</v>
      </c>
      <c r="B1411" s="90">
        <v>44819.0</v>
      </c>
      <c r="C1411" s="102">
        <v>2006.0</v>
      </c>
      <c r="D1411" s="103" t="s">
        <v>221</v>
      </c>
      <c r="E1411" s="102">
        <v>0.0</v>
      </c>
      <c r="F1411" s="103" t="s">
        <v>227</v>
      </c>
      <c r="G1411" s="102">
        <v>0.0</v>
      </c>
      <c r="H1411" s="103"/>
      <c r="I1411" s="103"/>
      <c r="J1411" s="103"/>
      <c r="K1411" s="104">
        <v>1.371</v>
      </c>
      <c r="L1411" s="89">
        <v>0.9285</v>
      </c>
      <c r="M1411" s="88"/>
      <c r="N1411" s="88"/>
    </row>
    <row r="1412">
      <c r="A1412" s="90">
        <v>44819.0</v>
      </c>
      <c r="B1412" s="90">
        <v>44819.0</v>
      </c>
      <c r="C1412" s="102">
        <v>2352.0</v>
      </c>
      <c r="D1412" s="103" t="s">
        <v>221</v>
      </c>
      <c r="E1412" s="102">
        <v>1.0</v>
      </c>
      <c r="F1412" s="103" t="s">
        <v>227</v>
      </c>
      <c r="G1412" s="102">
        <v>1.0</v>
      </c>
      <c r="H1412" s="103"/>
      <c r="I1412" s="103"/>
      <c r="J1412" s="103"/>
      <c r="K1412" s="89">
        <v>0.6109</v>
      </c>
      <c r="L1412" s="89">
        <v>0.4055</v>
      </c>
      <c r="M1412" s="88"/>
      <c r="N1412" s="88"/>
    </row>
    <row r="1413">
      <c r="A1413" s="90">
        <v>44819.0</v>
      </c>
      <c r="B1413" s="90">
        <v>44819.0</v>
      </c>
      <c r="C1413" s="102">
        <v>2352.0</v>
      </c>
      <c r="D1413" s="103" t="s">
        <v>221</v>
      </c>
      <c r="E1413" s="102">
        <v>0.0</v>
      </c>
      <c r="F1413" s="103" t="s">
        <v>228</v>
      </c>
      <c r="G1413" s="102">
        <v>0.0</v>
      </c>
      <c r="H1413" s="103"/>
      <c r="I1413" s="103"/>
      <c r="J1413" s="103"/>
      <c r="K1413" s="89">
        <v>2.2146</v>
      </c>
      <c r="L1413" s="89">
        <v>1.4052</v>
      </c>
      <c r="M1413" s="88"/>
      <c r="N1413" s="88"/>
    </row>
    <row r="1414">
      <c r="A1414" s="90">
        <v>44819.0</v>
      </c>
      <c r="B1414" s="90">
        <v>44819.0</v>
      </c>
      <c r="C1414" s="102">
        <v>2352.0</v>
      </c>
      <c r="D1414" s="103" t="s">
        <v>221</v>
      </c>
      <c r="E1414" s="102">
        <v>0.0</v>
      </c>
      <c r="F1414" s="103" t="s">
        <v>227</v>
      </c>
      <c r="G1414" s="102">
        <v>0.0</v>
      </c>
      <c r="H1414" s="103"/>
      <c r="I1414" s="103"/>
      <c r="J1414" s="103"/>
      <c r="K1414" s="89">
        <v>0.1209</v>
      </c>
      <c r="L1414" s="89">
        <v>0.0803</v>
      </c>
      <c r="M1414" s="88"/>
      <c r="N1414" s="88"/>
    </row>
    <row r="1415">
      <c r="A1415" s="90">
        <v>44819.0</v>
      </c>
      <c r="B1415" s="90">
        <v>44819.0</v>
      </c>
      <c r="C1415" s="102">
        <v>2006.0</v>
      </c>
      <c r="D1415" s="103" t="s">
        <v>221</v>
      </c>
      <c r="E1415" s="102">
        <v>1.0</v>
      </c>
      <c r="F1415" s="103" t="s">
        <v>227</v>
      </c>
      <c r="G1415" s="102">
        <v>1.0</v>
      </c>
      <c r="H1415" s="103"/>
      <c r="I1415" s="103"/>
      <c r="J1415" s="103"/>
      <c r="K1415" s="89">
        <v>0.7427</v>
      </c>
      <c r="L1415" s="89">
        <v>0.5071</v>
      </c>
      <c r="M1415" s="88"/>
      <c r="N1415" s="88"/>
    </row>
    <row r="1416">
      <c r="A1416" s="90">
        <v>44819.0</v>
      </c>
      <c r="B1416" s="90">
        <v>44819.0</v>
      </c>
      <c r="C1416" s="102">
        <v>2331.0</v>
      </c>
      <c r="D1416" s="103" t="s">
        <v>221</v>
      </c>
      <c r="E1416" s="102">
        <v>1.0</v>
      </c>
      <c r="F1416" s="103" t="s">
        <v>228</v>
      </c>
      <c r="G1416" s="102">
        <v>1.0</v>
      </c>
      <c r="H1416" s="103"/>
      <c r="I1416" s="103"/>
      <c r="J1416" s="103"/>
      <c r="K1416" s="89">
        <v>2.1328</v>
      </c>
      <c r="L1416" s="89">
        <v>1.4087</v>
      </c>
      <c r="M1416" s="88"/>
      <c r="N1416" s="88"/>
    </row>
    <row r="1417">
      <c r="A1417" s="90">
        <v>44819.0</v>
      </c>
      <c r="B1417" s="90">
        <v>44819.0</v>
      </c>
      <c r="C1417" s="102">
        <v>2331.0</v>
      </c>
      <c r="D1417" s="103" t="s">
        <v>221</v>
      </c>
      <c r="E1417" s="102">
        <v>0.0</v>
      </c>
      <c r="F1417" s="103" t="s">
        <v>228</v>
      </c>
      <c r="G1417" s="102">
        <v>0.0</v>
      </c>
      <c r="H1417" s="103"/>
      <c r="I1417" s="103"/>
      <c r="J1417" s="103"/>
      <c r="K1417" s="89">
        <v>3.1941</v>
      </c>
      <c r="L1417" s="89">
        <v>2.0427</v>
      </c>
      <c r="M1417" s="88"/>
      <c r="N1417" s="88"/>
    </row>
    <row r="1418">
      <c r="A1418" s="90">
        <v>44819.0</v>
      </c>
      <c r="B1418" s="90">
        <v>44819.0</v>
      </c>
      <c r="C1418" s="102">
        <v>2331.0</v>
      </c>
      <c r="D1418" s="103" t="s">
        <v>221</v>
      </c>
      <c r="E1418" s="102">
        <v>0.0</v>
      </c>
      <c r="F1418" s="103" t="s">
        <v>227</v>
      </c>
      <c r="G1418" s="102">
        <v>0.0</v>
      </c>
      <c r="H1418" s="103"/>
      <c r="I1418" s="103"/>
      <c r="J1418" s="103"/>
      <c r="K1418" s="89">
        <v>0.5753</v>
      </c>
      <c r="L1418" s="89">
        <v>0.375</v>
      </c>
      <c r="M1418" s="88"/>
      <c r="N1418" s="88"/>
    </row>
    <row r="1419">
      <c r="A1419" s="90">
        <v>44819.0</v>
      </c>
      <c r="B1419" s="90">
        <v>44819.0</v>
      </c>
      <c r="C1419" s="102">
        <v>2331.0</v>
      </c>
      <c r="D1419" s="103" t="s">
        <v>221</v>
      </c>
      <c r="E1419" s="102">
        <v>1.0</v>
      </c>
      <c r="F1419" s="103" t="s">
        <v>227</v>
      </c>
      <c r="G1419" s="102">
        <v>1.0</v>
      </c>
      <c r="H1419" s="103"/>
      <c r="I1419" s="103"/>
      <c r="J1419" s="103"/>
      <c r="K1419" s="89">
        <v>0.6486</v>
      </c>
      <c r="L1419" s="89">
        <v>0.4214</v>
      </c>
      <c r="M1419" s="88"/>
      <c r="N1419" s="88"/>
    </row>
    <row r="1420">
      <c r="A1420" s="90">
        <v>44819.0</v>
      </c>
      <c r="B1420" s="90">
        <v>44819.0</v>
      </c>
      <c r="C1420" s="102">
        <v>2026.0</v>
      </c>
      <c r="D1420" s="103" t="s">
        <v>221</v>
      </c>
      <c r="E1420" s="102">
        <v>0.0</v>
      </c>
      <c r="F1420" s="103" t="s">
        <v>228</v>
      </c>
      <c r="G1420" s="102">
        <v>0.0</v>
      </c>
      <c r="H1420" s="103"/>
      <c r="I1420" s="103"/>
      <c r="J1420" s="103"/>
      <c r="K1420" s="89">
        <v>2.8926</v>
      </c>
      <c r="L1420" s="89">
        <v>1.8336</v>
      </c>
      <c r="M1420" s="88"/>
      <c r="N1420" s="88" t="s">
        <v>250</v>
      </c>
    </row>
    <row r="1421">
      <c r="A1421" s="90">
        <v>44819.0</v>
      </c>
      <c r="B1421" s="90">
        <v>44819.0</v>
      </c>
      <c r="C1421" s="102">
        <v>2026.0</v>
      </c>
      <c r="D1421" s="103" t="s">
        <v>221</v>
      </c>
      <c r="E1421" s="102">
        <v>0.0</v>
      </c>
      <c r="F1421" s="103" t="s">
        <v>227</v>
      </c>
      <c r="G1421" s="102">
        <v>0.0</v>
      </c>
      <c r="H1421" s="103"/>
      <c r="I1421" s="103"/>
      <c r="J1421" s="103"/>
      <c r="K1421" s="89">
        <v>1.2531</v>
      </c>
      <c r="L1421" s="104">
        <v>0.931</v>
      </c>
      <c r="M1421" s="88"/>
      <c r="N1421" s="88" t="s">
        <v>250</v>
      </c>
    </row>
    <row r="1422">
      <c r="A1422" s="90">
        <v>44819.0</v>
      </c>
      <c r="B1422" s="90">
        <v>44819.0</v>
      </c>
      <c r="C1422" s="102">
        <v>2026.0</v>
      </c>
      <c r="D1422" s="103" t="s">
        <v>221</v>
      </c>
      <c r="E1422" s="102">
        <v>1.0</v>
      </c>
      <c r="F1422" s="103" t="s">
        <v>227</v>
      </c>
      <c r="G1422" s="102">
        <v>1.0</v>
      </c>
      <c r="H1422" s="103"/>
      <c r="I1422" s="103"/>
      <c r="J1422" s="103"/>
      <c r="K1422" s="89">
        <v>1.2361</v>
      </c>
      <c r="L1422" s="89">
        <v>0.8507</v>
      </c>
      <c r="M1422" s="88"/>
      <c r="N1422" s="88" t="s">
        <v>250</v>
      </c>
    </row>
    <row r="1423">
      <c r="A1423" s="90">
        <v>44819.0</v>
      </c>
      <c r="B1423" s="90">
        <v>44819.0</v>
      </c>
      <c r="C1423" s="102">
        <v>2375.0</v>
      </c>
      <c r="D1423" s="103" t="s">
        <v>221</v>
      </c>
      <c r="E1423" s="102">
        <v>0.0</v>
      </c>
      <c r="F1423" s="103" t="s">
        <v>228</v>
      </c>
      <c r="G1423" s="102">
        <v>0.0</v>
      </c>
      <c r="H1423" s="103"/>
      <c r="I1423" s="103"/>
      <c r="J1423" s="103"/>
      <c r="K1423" s="89">
        <v>3.0167</v>
      </c>
      <c r="L1423" s="89">
        <v>1.9339</v>
      </c>
      <c r="M1423" s="88"/>
      <c r="N1423" s="88"/>
    </row>
    <row r="1424">
      <c r="A1424" s="90">
        <v>44819.0</v>
      </c>
      <c r="B1424" s="90">
        <v>44819.0</v>
      </c>
      <c r="C1424" s="102">
        <v>2375.0</v>
      </c>
      <c r="D1424" s="103" t="s">
        <v>221</v>
      </c>
      <c r="E1424" s="102">
        <v>0.0</v>
      </c>
      <c r="F1424" s="103" t="s">
        <v>227</v>
      </c>
      <c r="G1424" s="102">
        <v>0.0</v>
      </c>
      <c r="H1424" s="103"/>
      <c r="I1424" s="103"/>
      <c r="J1424" s="103"/>
      <c r="K1424" s="89">
        <v>0.5314</v>
      </c>
      <c r="L1424" s="89">
        <v>0.3625</v>
      </c>
      <c r="M1424" s="88"/>
      <c r="N1424" s="88"/>
    </row>
    <row r="1425">
      <c r="A1425" s="90">
        <v>44819.0</v>
      </c>
      <c r="B1425" s="90">
        <v>44819.0</v>
      </c>
      <c r="C1425" s="102">
        <v>2375.0</v>
      </c>
      <c r="D1425" s="103" t="s">
        <v>221</v>
      </c>
      <c r="E1425" s="102">
        <v>1.0</v>
      </c>
      <c r="F1425" s="103" t="s">
        <v>227</v>
      </c>
      <c r="G1425" s="102">
        <v>1.0</v>
      </c>
      <c r="H1425" s="103"/>
      <c r="I1425" s="103"/>
      <c r="J1425" s="103"/>
      <c r="K1425" s="89">
        <v>0.6135</v>
      </c>
      <c r="L1425" s="89">
        <v>0.4105</v>
      </c>
      <c r="M1425" s="88"/>
      <c r="N1425" s="88"/>
    </row>
    <row r="1426">
      <c r="A1426" s="90">
        <v>44819.0</v>
      </c>
      <c r="B1426" s="90">
        <v>44819.0</v>
      </c>
      <c r="C1426" s="102">
        <v>2025.0</v>
      </c>
      <c r="D1426" s="103" t="s">
        <v>221</v>
      </c>
      <c r="E1426" s="102">
        <v>0.0</v>
      </c>
      <c r="F1426" s="103" t="s">
        <v>228</v>
      </c>
      <c r="G1426" s="102">
        <v>0.0</v>
      </c>
      <c r="H1426" s="103"/>
      <c r="I1426" s="103"/>
      <c r="J1426" s="103"/>
      <c r="K1426" s="89">
        <v>4.9477</v>
      </c>
      <c r="L1426" s="89">
        <v>3.0592</v>
      </c>
      <c r="M1426" s="88"/>
      <c r="N1426" s="88"/>
    </row>
    <row r="1427">
      <c r="A1427" s="90">
        <v>44819.0</v>
      </c>
      <c r="B1427" s="90">
        <v>44819.0</v>
      </c>
      <c r="C1427" s="102">
        <v>2025.0</v>
      </c>
      <c r="D1427" s="103" t="s">
        <v>221</v>
      </c>
      <c r="E1427" s="102">
        <v>0.0</v>
      </c>
      <c r="F1427" s="103" t="s">
        <v>227</v>
      </c>
      <c r="G1427" s="102">
        <v>0.0</v>
      </c>
      <c r="H1427" s="103"/>
      <c r="I1427" s="103"/>
      <c r="J1427" s="103"/>
      <c r="K1427" s="89">
        <v>0.7122</v>
      </c>
      <c r="L1427" s="104">
        <v>0.492</v>
      </c>
      <c r="M1427" s="88"/>
      <c r="N1427" s="88"/>
    </row>
    <row r="1428">
      <c r="A1428" s="90">
        <v>44819.0</v>
      </c>
      <c r="B1428" s="90">
        <v>44819.0</v>
      </c>
      <c r="C1428" s="102">
        <v>2025.0</v>
      </c>
      <c r="D1428" s="103" t="s">
        <v>221</v>
      </c>
      <c r="E1428" s="102">
        <v>1.0</v>
      </c>
      <c r="F1428" s="103" t="s">
        <v>227</v>
      </c>
      <c r="G1428" s="102">
        <v>1.0</v>
      </c>
      <c r="H1428" s="103"/>
      <c r="I1428" s="103"/>
      <c r="J1428" s="103"/>
      <c r="K1428" s="104">
        <v>0.7016</v>
      </c>
      <c r="L1428" s="89">
        <v>0.4662</v>
      </c>
      <c r="M1428" s="88"/>
      <c r="N1428" s="88"/>
    </row>
    <row r="1429">
      <c r="A1429" s="90">
        <v>44819.0</v>
      </c>
      <c r="B1429" s="90">
        <v>44819.0</v>
      </c>
      <c r="C1429" s="102">
        <v>2030.0</v>
      </c>
      <c r="D1429" s="103" t="s">
        <v>221</v>
      </c>
      <c r="E1429" s="102">
        <v>0.0</v>
      </c>
      <c r="F1429" s="103" t="s">
        <v>228</v>
      </c>
      <c r="G1429" s="102">
        <v>0.0</v>
      </c>
      <c r="H1429" s="103"/>
      <c r="I1429" s="103"/>
      <c r="J1429" s="103"/>
      <c r="K1429" s="89">
        <v>3.3803</v>
      </c>
      <c r="L1429" s="89">
        <v>2.1783</v>
      </c>
      <c r="M1429" s="88"/>
      <c r="N1429" s="88"/>
    </row>
    <row r="1430">
      <c r="A1430" s="90">
        <v>44819.0</v>
      </c>
      <c r="B1430" s="90">
        <v>44819.0</v>
      </c>
      <c r="C1430" s="102">
        <v>2030.0</v>
      </c>
      <c r="D1430" s="103" t="s">
        <v>221</v>
      </c>
      <c r="E1430" s="102">
        <v>0.0</v>
      </c>
      <c r="F1430" s="103" t="s">
        <v>227</v>
      </c>
      <c r="G1430" s="102">
        <v>0.0</v>
      </c>
      <c r="H1430" s="103"/>
      <c r="I1430" s="103"/>
      <c r="J1430" s="103"/>
      <c r="K1430" s="104">
        <v>0.37</v>
      </c>
      <c r="L1430" s="89">
        <v>0.2415</v>
      </c>
      <c r="M1430" s="88"/>
      <c r="N1430" s="88"/>
    </row>
    <row r="1431">
      <c r="A1431" s="90">
        <v>44819.0</v>
      </c>
      <c r="B1431" s="90">
        <v>44819.0</v>
      </c>
      <c r="C1431" s="102">
        <v>2030.0</v>
      </c>
      <c r="D1431" s="103" t="s">
        <v>221</v>
      </c>
      <c r="E1431" s="102">
        <v>1.0</v>
      </c>
      <c r="F1431" s="103" t="s">
        <v>227</v>
      </c>
      <c r="G1431" s="102">
        <v>1.0</v>
      </c>
      <c r="H1431" s="103"/>
      <c r="I1431" s="103"/>
      <c r="J1431" s="103"/>
      <c r="K1431" s="89">
        <v>1.2934</v>
      </c>
      <c r="L1431" s="104">
        <v>0.865</v>
      </c>
      <c r="M1431" s="88"/>
      <c r="N1431" s="88"/>
    </row>
    <row r="1432">
      <c r="A1432" s="90">
        <v>44819.0</v>
      </c>
      <c r="B1432" s="90">
        <v>44819.0</v>
      </c>
      <c r="C1432" s="102">
        <v>2030.0</v>
      </c>
      <c r="D1432" s="103" t="s">
        <v>221</v>
      </c>
      <c r="E1432" s="102">
        <v>1.0</v>
      </c>
      <c r="F1432" s="103" t="s">
        <v>228</v>
      </c>
      <c r="G1432" s="102">
        <v>1.0</v>
      </c>
      <c r="H1432" s="103"/>
      <c r="I1432" s="103"/>
      <c r="J1432" s="103"/>
      <c r="K1432" s="104">
        <v>3.327</v>
      </c>
      <c r="L1432" s="89">
        <v>2.1642</v>
      </c>
      <c r="M1432" s="88"/>
      <c r="N1432" s="88"/>
    </row>
    <row r="1433">
      <c r="A1433" s="90">
        <v>44819.0</v>
      </c>
      <c r="B1433" s="90">
        <v>44819.0</v>
      </c>
      <c r="C1433" s="102">
        <v>2346.0</v>
      </c>
      <c r="D1433" s="103" t="s">
        <v>221</v>
      </c>
      <c r="E1433" s="102">
        <v>0.0</v>
      </c>
      <c r="F1433" s="103" t="s">
        <v>228</v>
      </c>
      <c r="G1433" s="102">
        <v>0.0</v>
      </c>
      <c r="H1433" s="103"/>
      <c r="I1433" s="103"/>
      <c r="J1433" s="103"/>
      <c r="K1433" s="104">
        <v>2.107</v>
      </c>
      <c r="L1433" s="89">
        <v>1.4117</v>
      </c>
      <c r="M1433" s="88"/>
      <c r="N1433" s="88"/>
    </row>
    <row r="1434">
      <c r="A1434" s="90">
        <v>44819.0</v>
      </c>
      <c r="B1434" s="90">
        <v>44819.0</v>
      </c>
      <c r="C1434" s="102">
        <v>2346.0</v>
      </c>
      <c r="D1434" s="103" t="s">
        <v>221</v>
      </c>
      <c r="E1434" s="102">
        <v>0.0</v>
      </c>
      <c r="F1434" s="103" t="s">
        <v>227</v>
      </c>
      <c r="G1434" s="102">
        <v>0.0</v>
      </c>
      <c r="H1434" s="103"/>
      <c r="I1434" s="103"/>
      <c r="J1434" s="103"/>
      <c r="K1434" s="89">
        <v>0.3289</v>
      </c>
      <c r="L1434" s="89">
        <v>0.2302</v>
      </c>
      <c r="M1434" s="88"/>
      <c r="N1434" s="88"/>
    </row>
    <row r="1435">
      <c r="A1435" s="90">
        <v>44819.0</v>
      </c>
      <c r="B1435" s="90">
        <v>44819.0</v>
      </c>
      <c r="C1435" s="102">
        <v>2346.0</v>
      </c>
      <c r="D1435" s="103" t="s">
        <v>221</v>
      </c>
      <c r="E1435" s="102">
        <v>1.0</v>
      </c>
      <c r="F1435" s="103" t="s">
        <v>227</v>
      </c>
      <c r="G1435" s="102">
        <v>1.0</v>
      </c>
      <c r="H1435" s="103"/>
      <c r="I1435" s="103"/>
      <c r="J1435" s="103"/>
      <c r="K1435" s="89">
        <v>0.3482</v>
      </c>
      <c r="L1435" s="89">
        <v>0.2339</v>
      </c>
      <c r="M1435" s="88"/>
      <c r="N1435" s="88"/>
    </row>
    <row r="1436">
      <c r="A1436" s="90">
        <v>44819.0</v>
      </c>
      <c r="B1436" s="90">
        <v>44819.0</v>
      </c>
      <c r="C1436" s="102">
        <v>2029.0</v>
      </c>
      <c r="D1436" s="103" t="s">
        <v>221</v>
      </c>
      <c r="E1436" s="102">
        <v>0.0</v>
      </c>
      <c r="F1436" s="103" t="s">
        <v>228</v>
      </c>
      <c r="G1436" s="102">
        <v>0.0</v>
      </c>
      <c r="H1436" s="103"/>
      <c r="I1436" s="103"/>
      <c r="J1436" s="103"/>
      <c r="K1436" s="104">
        <v>9.239</v>
      </c>
      <c r="L1436" s="104">
        <v>5.959</v>
      </c>
      <c r="M1436" s="88"/>
      <c r="N1436" s="88"/>
    </row>
    <row r="1437">
      <c r="A1437" s="90">
        <v>44819.0</v>
      </c>
      <c r="B1437" s="90">
        <v>44819.0</v>
      </c>
      <c r="C1437" s="102">
        <v>2376.0</v>
      </c>
      <c r="D1437" s="103" t="s">
        <v>221</v>
      </c>
      <c r="E1437" s="102">
        <v>1.0</v>
      </c>
      <c r="F1437" s="103" t="s">
        <v>228</v>
      </c>
      <c r="G1437" s="102">
        <v>1.0</v>
      </c>
      <c r="H1437" s="103"/>
      <c r="I1437" s="103"/>
      <c r="J1437" s="103"/>
      <c r="K1437" s="89">
        <v>7.3271</v>
      </c>
      <c r="L1437" s="89">
        <v>4.8423</v>
      </c>
      <c r="M1437" s="88"/>
      <c r="N1437" s="88" t="s">
        <v>251</v>
      </c>
    </row>
    <row r="1438">
      <c r="A1438" s="90">
        <v>44819.0</v>
      </c>
      <c r="B1438" s="90">
        <v>44819.0</v>
      </c>
      <c r="C1438" s="102">
        <v>2022.0</v>
      </c>
      <c r="D1438" s="103" t="s">
        <v>221</v>
      </c>
      <c r="E1438" s="102">
        <v>0.0</v>
      </c>
      <c r="F1438" s="103" t="s">
        <v>228</v>
      </c>
      <c r="G1438" s="102">
        <v>0.0</v>
      </c>
      <c r="H1438" s="103"/>
      <c r="I1438" s="103"/>
      <c r="J1438" s="103"/>
      <c r="K1438" s="89">
        <v>8.2543</v>
      </c>
      <c r="L1438" s="89">
        <v>5.2921</v>
      </c>
      <c r="M1438" s="88"/>
      <c r="N1438" s="88"/>
    </row>
    <row r="1439">
      <c r="A1439" s="90">
        <v>44819.0</v>
      </c>
      <c r="B1439" s="90">
        <v>44819.0</v>
      </c>
      <c r="C1439" s="102">
        <v>2376.0</v>
      </c>
      <c r="D1439" s="103" t="s">
        <v>221</v>
      </c>
      <c r="E1439" s="102">
        <v>1.0</v>
      </c>
      <c r="F1439" s="103" t="s">
        <v>227</v>
      </c>
      <c r="G1439" s="102">
        <v>1.0</v>
      </c>
      <c r="H1439" s="103"/>
      <c r="I1439" s="103"/>
      <c r="J1439" s="103"/>
      <c r="K1439" s="89">
        <v>1.3057</v>
      </c>
      <c r="L1439" s="104">
        <v>0.874</v>
      </c>
      <c r="M1439" s="88"/>
      <c r="N1439" s="88" t="s">
        <v>252</v>
      </c>
    </row>
    <row r="1440">
      <c r="A1440" s="90">
        <v>44819.0</v>
      </c>
      <c r="B1440" s="90">
        <v>44819.0</v>
      </c>
      <c r="C1440" s="102">
        <v>2007.0</v>
      </c>
      <c r="D1440" s="103" t="s">
        <v>221</v>
      </c>
      <c r="E1440" s="102">
        <v>0.0</v>
      </c>
      <c r="F1440" s="103" t="s">
        <v>228</v>
      </c>
      <c r="G1440" s="102">
        <v>0.0</v>
      </c>
      <c r="H1440" s="103"/>
      <c r="I1440" s="103"/>
      <c r="J1440" s="103"/>
      <c r="K1440" s="89">
        <v>1.9945</v>
      </c>
      <c r="L1440" s="89">
        <v>1.3284</v>
      </c>
      <c r="M1440" s="88"/>
      <c r="N1440" s="88"/>
    </row>
    <row r="1441">
      <c r="A1441" s="90">
        <v>44819.0</v>
      </c>
      <c r="B1441" s="90">
        <v>44819.0</v>
      </c>
      <c r="C1441" s="102">
        <v>2007.0</v>
      </c>
      <c r="D1441" s="103" t="s">
        <v>221</v>
      </c>
      <c r="E1441" s="102">
        <v>0.0</v>
      </c>
      <c r="F1441" s="103" t="s">
        <v>227</v>
      </c>
      <c r="G1441" s="102">
        <v>0.0</v>
      </c>
      <c r="H1441" s="103"/>
      <c r="I1441" s="103"/>
      <c r="J1441" s="103"/>
      <c r="K1441" s="89">
        <v>1.1502</v>
      </c>
      <c r="L1441" s="89">
        <v>0.7486</v>
      </c>
      <c r="M1441" s="88"/>
      <c r="N1441" s="88"/>
    </row>
    <row r="1442">
      <c r="A1442" s="90">
        <v>44819.0</v>
      </c>
      <c r="B1442" s="90">
        <v>44819.0</v>
      </c>
      <c r="C1442" s="102">
        <v>2007.0</v>
      </c>
      <c r="D1442" s="103" t="s">
        <v>221</v>
      </c>
      <c r="E1442" s="102">
        <v>1.0</v>
      </c>
      <c r="F1442" s="103" t="s">
        <v>227</v>
      </c>
      <c r="G1442" s="102">
        <v>1.0</v>
      </c>
      <c r="H1442" s="103"/>
      <c r="I1442" s="103"/>
      <c r="J1442" s="103"/>
      <c r="K1442" s="89">
        <v>1.0561</v>
      </c>
      <c r="L1442" s="89">
        <v>0.7056</v>
      </c>
      <c r="M1442" s="88"/>
      <c r="N1442" s="88"/>
    </row>
    <row r="1443">
      <c r="A1443" s="90">
        <v>44819.0</v>
      </c>
      <c r="B1443" s="90">
        <v>44819.0</v>
      </c>
      <c r="C1443" s="102">
        <v>2354.0</v>
      </c>
      <c r="D1443" s="103" t="s">
        <v>221</v>
      </c>
      <c r="E1443" s="102">
        <v>1.0</v>
      </c>
      <c r="F1443" s="103" t="s">
        <v>228</v>
      </c>
      <c r="G1443" s="102">
        <v>1.0</v>
      </c>
      <c r="H1443" s="103"/>
      <c r="I1443" s="103"/>
      <c r="J1443" s="103"/>
      <c r="K1443" s="104">
        <v>5.374</v>
      </c>
      <c r="L1443" s="89">
        <v>3.6767</v>
      </c>
      <c r="M1443" s="88"/>
      <c r="N1443" s="88" t="s">
        <v>252</v>
      </c>
    </row>
    <row r="1444">
      <c r="A1444" s="90">
        <v>44819.0</v>
      </c>
      <c r="B1444" s="90">
        <v>44819.0</v>
      </c>
      <c r="C1444" s="102">
        <v>2354.0</v>
      </c>
      <c r="D1444" s="103" t="s">
        <v>221</v>
      </c>
      <c r="E1444" s="102">
        <v>1.0</v>
      </c>
      <c r="F1444" s="103" t="s">
        <v>227</v>
      </c>
      <c r="G1444" s="102">
        <v>1.0</v>
      </c>
      <c r="H1444" s="103"/>
      <c r="I1444" s="103"/>
      <c r="J1444" s="103"/>
      <c r="K1444" s="89">
        <v>1.0848</v>
      </c>
      <c r="L1444" s="89">
        <v>0.7181</v>
      </c>
      <c r="M1444" s="88"/>
      <c r="N1444" s="88" t="s">
        <v>252</v>
      </c>
    </row>
    <row r="1445">
      <c r="A1445" s="90">
        <v>44819.0</v>
      </c>
      <c r="B1445" s="90">
        <v>44819.0</v>
      </c>
      <c r="C1445" s="102">
        <v>2023.0</v>
      </c>
      <c r="D1445" s="103" t="s">
        <v>221</v>
      </c>
      <c r="E1445" s="102">
        <v>0.0</v>
      </c>
      <c r="F1445" s="103" t="s">
        <v>227</v>
      </c>
      <c r="G1445" s="102">
        <v>0.0</v>
      </c>
      <c r="H1445" s="103"/>
      <c r="I1445" s="103"/>
      <c r="J1445" s="103"/>
      <c r="K1445" s="89">
        <v>0.4157</v>
      </c>
      <c r="L1445" s="89">
        <v>0.2619</v>
      </c>
      <c r="M1445" s="88"/>
      <c r="N1445" s="88"/>
    </row>
    <row r="1446">
      <c r="A1446" s="90">
        <v>44819.0</v>
      </c>
      <c r="B1446" s="90">
        <v>44819.0</v>
      </c>
      <c r="C1446" s="102">
        <v>2023.0</v>
      </c>
      <c r="D1446" s="103" t="s">
        <v>221</v>
      </c>
      <c r="E1446" s="102">
        <v>1.0</v>
      </c>
      <c r="F1446" s="103" t="s">
        <v>228</v>
      </c>
      <c r="G1446" s="102">
        <v>1.0</v>
      </c>
      <c r="H1446" s="103"/>
      <c r="I1446" s="103"/>
      <c r="J1446" s="103"/>
      <c r="K1446" s="89">
        <v>2.6093</v>
      </c>
      <c r="L1446" s="89">
        <v>1.7463</v>
      </c>
      <c r="M1446" s="88"/>
      <c r="N1446" s="88"/>
    </row>
    <row r="1447">
      <c r="A1447" s="90">
        <v>44819.0</v>
      </c>
      <c r="B1447" s="90">
        <v>44819.0</v>
      </c>
      <c r="C1447" s="102">
        <v>2023.0</v>
      </c>
      <c r="D1447" s="103" t="s">
        <v>221</v>
      </c>
      <c r="E1447" s="102">
        <v>1.0</v>
      </c>
      <c r="F1447" s="103" t="s">
        <v>227</v>
      </c>
      <c r="G1447" s="102">
        <v>1.0</v>
      </c>
      <c r="H1447" s="103"/>
      <c r="I1447" s="103"/>
      <c r="J1447" s="103"/>
      <c r="K1447" s="89">
        <v>0.6064</v>
      </c>
      <c r="L1447" s="89">
        <v>0.3792</v>
      </c>
      <c r="M1447" s="88"/>
      <c r="N1447" s="88"/>
    </row>
    <row r="1448">
      <c r="A1448" s="90">
        <v>44819.0</v>
      </c>
      <c r="B1448" s="90">
        <v>44819.0</v>
      </c>
      <c r="C1448" s="102">
        <v>2009.0</v>
      </c>
      <c r="D1448" s="103" t="s">
        <v>221</v>
      </c>
      <c r="E1448" s="102">
        <v>0.0</v>
      </c>
      <c r="F1448" s="103" t="s">
        <v>228</v>
      </c>
      <c r="G1448" s="102">
        <v>0.0</v>
      </c>
      <c r="H1448" s="103"/>
      <c r="I1448" s="103"/>
      <c r="J1448" s="103"/>
      <c r="K1448" s="89">
        <v>3.3078</v>
      </c>
      <c r="L1448" s="89">
        <v>2.2096</v>
      </c>
      <c r="M1448" s="88"/>
      <c r="N1448" s="88"/>
    </row>
    <row r="1449">
      <c r="A1449" s="90">
        <v>44819.0</v>
      </c>
      <c r="B1449" s="90">
        <v>44819.0</v>
      </c>
      <c r="C1449" s="102">
        <v>2009.0</v>
      </c>
      <c r="D1449" s="103" t="s">
        <v>221</v>
      </c>
      <c r="E1449" s="102">
        <v>0.0</v>
      </c>
      <c r="F1449" s="103" t="s">
        <v>227</v>
      </c>
      <c r="G1449" s="102">
        <v>0.0</v>
      </c>
      <c r="H1449" s="103"/>
      <c r="I1449" s="103"/>
      <c r="J1449" s="103"/>
      <c r="K1449" s="89">
        <v>0.8229</v>
      </c>
      <c r="L1449" s="104">
        <v>0.568</v>
      </c>
      <c r="M1449" s="88"/>
      <c r="N1449" s="88"/>
    </row>
    <row r="1450">
      <c r="A1450" s="90">
        <v>44819.0</v>
      </c>
      <c r="B1450" s="90">
        <v>44819.0</v>
      </c>
      <c r="C1450" s="102">
        <v>2009.0</v>
      </c>
      <c r="D1450" s="103" t="s">
        <v>221</v>
      </c>
      <c r="E1450" s="102">
        <v>1.0</v>
      </c>
      <c r="F1450" s="103" t="s">
        <v>227</v>
      </c>
      <c r="G1450" s="102">
        <v>1.0</v>
      </c>
      <c r="H1450" s="103"/>
      <c r="I1450" s="103"/>
      <c r="J1450" s="103"/>
      <c r="K1450" s="89">
        <v>1.1189</v>
      </c>
      <c r="L1450" s="89">
        <v>0.7679</v>
      </c>
      <c r="M1450" s="88"/>
      <c r="N1450" s="88"/>
    </row>
    <row r="1451">
      <c r="A1451" s="90">
        <v>44819.0</v>
      </c>
      <c r="B1451" s="90">
        <v>44819.0</v>
      </c>
      <c r="C1451" s="102">
        <v>2022.0</v>
      </c>
      <c r="D1451" s="103" t="s">
        <v>221</v>
      </c>
      <c r="E1451" s="102">
        <v>0.0</v>
      </c>
      <c r="F1451" s="103" t="s">
        <v>227</v>
      </c>
      <c r="G1451" s="102">
        <v>0.0</v>
      </c>
      <c r="H1451" s="103"/>
      <c r="I1451" s="103"/>
      <c r="J1451" s="103"/>
      <c r="K1451" s="89">
        <v>0.7334</v>
      </c>
      <c r="L1451" s="89">
        <v>0.4702</v>
      </c>
      <c r="M1451" s="88"/>
      <c r="N1451" s="88"/>
    </row>
    <row r="1452">
      <c r="A1452" s="90">
        <v>44819.0</v>
      </c>
      <c r="B1452" s="90">
        <v>44819.0</v>
      </c>
      <c r="C1452" s="102">
        <v>2022.0</v>
      </c>
      <c r="D1452" s="103" t="s">
        <v>221</v>
      </c>
      <c r="E1452" s="102">
        <v>1.0</v>
      </c>
      <c r="F1452" s="103" t="s">
        <v>227</v>
      </c>
      <c r="G1452" s="102">
        <v>1.0</v>
      </c>
      <c r="H1452" s="103"/>
      <c r="I1452" s="103"/>
      <c r="J1452" s="103"/>
      <c r="K1452" s="89">
        <v>0.9212</v>
      </c>
      <c r="L1452" s="89">
        <v>0.5957</v>
      </c>
      <c r="M1452" s="88"/>
      <c r="N1452" s="88"/>
    </row>
    <row r="1453">
      <c r="A1453" s="90">
        <v>44819.0</v>
      </c>
      <c r="B1453" s="90">
        <v>44819.0</v>
      </c>
      <c r="C1453" s="102">
        <v>2022.0</v>
      </c>
      <c r="D1453" s="103" t="s">
        <v>221</v>
      </c>
      <c r="E1453" s="102">
        <v>1.0</v>
      </c>
      <c r="F1453" s="103" t="s">
        <v>228</v>
      </c>
      <c r="G1453" s="102">
        <v>1.0</v>
      </c>
      <c r="H1453" s="103"/>
      <c r="I1453" s="103"/>
      <c r="J1453" s="103"/>
      <c r="K1453" s="89">
        <v>2.5818</v>
      </c>
      <c r="L1453" s="89">
        <v>1.6938</v>
      </c>
      <c r="M1453" s="88"/>
      <c r="N1453" s="88"/>
    </row>
    <row r="1454">
      <c r="A1454" s="90">
        <v>44819.0</v>
      </c>
      <c r="B1454" s="90">
        <v>44819.0</v>
      </c>
      <c r="C1454" s="102">
        <v>2029.0</v>
      </c>
      <c r="D1454" s="103" t="s">
        <v>221</v>
      </c>
      <c r="E1454" s="102">
        <v>1.0</v>
      </c>
      <c r="F1454" s="103" t="s">
        <v>228</v>
      </c>
      <c r="G1454" s="102">
        <v>1.0</v>
      </c>
      <c r="H1454" s="103"/>
      <c r="I1454" s="103"/>
      <c r="J1454" s="103"/>
      <c r="K1454" s="89">
        <v>2.1137</v>
      </c>
      <c r="L1454" s="89">
        <v>1.4319</v>
      </c>
      <c r="M1454" s="88"/>
      <c r="N1454" s="88"/>
    </row>
    <row r="1455">
      <c r="A1455" s="90">
        <v>44819.0</v>
      </c>
      <c r="B1455" s="90">
        <v>44819.0</v>
      </c>
      <c r="C1455" s="102">
        <v>2029.0</v>
      </c>
      <c r="D1455" s="103" t="s">
        <v>221</v>
      </c>
      <c r="E1455" s="102">
        <v>1.0</v>
      </c>
      <c r="F1455" s="103" t="s">
        <v>227</v>
      </c>
      <c r="G1455" s="102">
        <v>1.0</v>
      </c>
      <c r="H1455" s="103"/>
      <c r="I1455" s="103"/>
      <c r="J1455" s="103"/>
      <c r="K1455" s="89">
        <v>0.9143</v>
      </c>
      <c r="L1455" s="89">
        <v>0.6087</v>
      </c>
      <c r="M1455" s="88"/>
      <c r="N1455" s="88"/>
    </row>
    <row r="1456">
      <c r="A1456" s="90">
        <v>44819.0</v>
      </c>
      <c r="B1456" s="90">
        <v>44819.0</v>
      </c>
      <c r="C1456" s="102">
        <v>2029.0</v>
      </c>
      <c r="D1456" s="103" t="s">
        <v>221</v>
      </c>
      <c r="E1456" s="102">
        <v>0.0</v>
      </c>
      <c r="F1456" s="103" t="s">
        <v>227</v>
      </c>
      <c r="G1456" s="102">
        <v>0.0</v>
      </c>
      <c r="H1456" s="103"/>
      <c r="I1456" s="103"/>
      <c r="J1456" s="103"/>
      <c r="K1456" s="89">
        <v>0.4243</v>
      </c>
      <c r="L1456" s="89">
        <v>0.2266</v>
      </c>
      <c r="M1456" s="88"/>
      <c r="N1456" s="88"/>
    </row>
    <row r="1457">
      <c r="A1457" s="90">
        <v>44819.0</v>
      </c>
      <c r="B1457" s="90">
        <v>44819.0</v>
      </c>
      <c r="C1457" s="102">
        <v>2021.0</v>
      </c>
      <c r="D1457" s="103" t="s">
        <v>221</v>
      </c>
      <c r="E1457" s="102">
        <v>0.0</v>
      </c>
      <c r="F1457" s="103" t="s">
        <v>228</v>
      </c>
      <c r="G1457" s="102">
        <v>0.0</v>
      </c>
      <c r="H1457" s="103"/>
      <c r="I1457" s="103"/>
      <c r="J1457" s="103"/>
      <c r="K1457" s="89">
        <v>2.4805</v>
      </c>
      <c r="L1457" s="89">
        <v>1.5931</v>
      </c>
      <c r="M1457" s="88"/>
      <c r="N1457" s="88"/>
    </row>
    <row r="1458">
      <c r="A1458" s="90">
        <v>44819.0</v>
      </c>
      <c r="B1458" s="90">
        <v>44819.0</v>
      </c>
      <c r="C1458" s="102">
        <v>2021.0</v>
      </c>
      <c r="D1458" s="103" t="s">
        <v>221</v>
      </c>
      <c r="E1458" s="102">
        <v>0.0</v>
      </c>
      <c r="F1458" s="103" t="s">
        <v>227</v>
      </c>
      <c r="G1458" s="102">
        <v>0.0</v>
      </c>
      <c r="H1458" s="103"/>
      <c r="I1458" s="103"/>
      <c r="J1458" s="103"/>
      <c r="K1458" s="89">
        <v>0.6574</v>
      </c>
      <c r="L1458" s="89">
        <v>0.4424</v>
      </c>
      <c r="M1458" s="88"/>
      <c r="N1458" s="88"/>
    </row>
    <row r="1459">
      <c r="A1459" s="90">
        <v>44819.0</v>
      </c>
      <c r="B1459" s="90">
        <v>44819.0</v>
      </c>
      <c r="C1459" s="102">
        <v>2021.0</v>
      </c>
      <c r="D1459" s="103" t="s">
        <v>221</v>
      </c>
      <c r="E1459" s="102">
        <v>1.0</v>
      </c>
      <c r="F1459" s="103" t="s">
        <v>227</v>
      </c>
      <c r="G1459" s="102">
        <v>1.0</v>
      </c>
      <c r="H1459" s="103"/>
      <c r="I1459" s="103"/>
      <c r="J1459" s="103"/>
      <c r="K1459" s="89">
        <v>1.0867</v>
      </c>
      <c r="L1459" s="89">
        <v>0.7323</v>
      </c>
      <c r="M1459" s="88"/>
      <c r="N1459" s="88"/>
    </row>
    <row r="1460">
      <c r="A1460" s="90">
        <v>44819.0</v>
      </c>
      <c r="B1460" s="90">
        <v>44819.0</v>
      </c>
      <c r="C1460" s="102">
        <v>2092.0</v>
      </c>
      <c r="D1460" s="103" t="s">
        <v>221</v>
      </c>
      <c r="E1460" s="102">
        <v>0.0</v>
      </c>
      <c r="F1460" s="103" t="s">
        <v>227</v>
      </c>
      <c r="G1460" s="102">
        <v>0.0</v>
      </c>
      <c r="H1460" s="103"/>
      <c r="I1460" s="103"/>
      <c r="J1460" s="103"/>
      <c r="K1460" s="89">
        <v>0.5317</v>
      </c>
      <c r="L1460" s="89">
        <v>0.3138</v>
      </c>
      <c r="M1460" s="88"/>
      <c r="N1460" s="88"/>
    </row>
    <row r="1461">
      <c r="A1461" s="90">
        <v>44819.0</v>
      </c>
      <c r="B1461" s="90">
        <v>44819.0</v>
      </c>
      <c r="C1461" s="102">
        <v>2092.0</v>
      </c>
      <c r="D1461" s="103" t="s">
        <v>221</v>
      </c>
      <c r="E1461" s="102">
        <v>1.0</v>
      </c>
      <c r="F1461" s="103" t="s">
        <v>227</v>
      </c>
      <c r="G1461" s="102">
        <v>1.0</v>
      </c>
      <c r="H1461" s="103"/>
      <c r="I1461" s="103"/>
      <c r="J1461" s="103"/>
      <c r="K1461" s="89">
        <v>1.3011</v>
      </c>
      <c r="L1461" s="89">
        <v>0.7672</v>
      </c>
      <c r="M1461" s="88"/>
      <c r="N1461" s="88"/>
    </row>
    <row r="1462">
      <c r="A1462" s="90">
        <v>44819.0</v>
      </c>
      <c r="B1462" s="90">
        <v>44819.0</v>
      </c>
      <c r="C1462" s="102">
        <v>2384.0</v>
      </c>
      <c r="D1462" s="103" t="s">
        <v>221</v>
      </c>
      <c r="E1462" s="102">
        <v>0.0</v>
      </c>
      <c r="F1462" s="103" t="s">
        <v>228</v>
      </c>
      <c r="G1462" s="102">
        <v>0.0</v>
      </c>
      <c r="H1462" s="103"/>
      <c r="I1462" s="103"/>
      <c r="J1462" s="103"/>
      <c r="K1462" s="89">
        <v>1.4435</v>
      </c>
      <c r="L1462" s="89">
        <v>0.9053</v>
      </c>
      <c r="M1462" s="88"/>
      <c r="N1462" s="88"/>
    </row>
    <row r="1463">
      <c r="A1463" s="90">
        <v>44819.0</v>
      </c>
      <c r="B1463" s="90">
        <v>44819.0</v>
      </c>
      <c r="C1463" s="102">
        <v>2384.0</v>
      </c>
      <c r="D1463" s="103" t="s">
        <v>221</v>
      </c>
      <c r="E1463" s="102">
        <v>0.0</v>
      </c>
      <c r="F1463" s="103" t="s">
        <v>227</v>
      </c>
      <c r="G1463" s="102">
        <v>0.0</v>
      </c>
      <c r="H1463" s="103"/>
      <c r="I1463" s="103"/>
      <c r="J1463" s="103"/>
      <c r="K1463" s="89">
        <v>0.4827</v>
      </c>
      <c r="L1463" s="89">
        <v>0.3269</v>
      </c>
      <c r="M1463" s="88"/>
      <c r="N1463" s="88"/>
    </row>
    <row r="1464">
      <c r="A1464" s="90">
        <v>44819.0</v>
      </c>
      <c r="B1464" s="90">
        <v>44819.0</v>
      </c>
      <c r="C1464" s="102">
        <v>2384.0</v>
      </c>
      <c r="D1464" s="103" t="s">
        <v>221</v>
      </c>
      <c r="E1464" s="102">
        <v>1.0</v>
      </c>
      <c r="F1464" s="103" t="s">
        <v>227</v>
      </c>
      <c r="G1464" s="102">
        <v>1.0</v>
      </c>
      <c r="H1464" s="103"/>
      <c r="I1464" s="103"/>
      <c r="J1464" s="103"/>
      <c r="K1464" s="89">
        <v>1.0082</v>
      </c>
      <c r="L1464" s="89">
        <v>0.6844</v>
      </c>
      <c r="M1464" s="88"/>
      <c r="N1464" s="88"/>
    </row>
    <row r="1465">
      <c r="A1465" s="90">
        <v>44819.0</v>
      </c>
      <c r="B1465" s="90">
        <v>44819.0</v>
      </c>
      <c r="C1465" s="102">
        <v>2089.0</v>
      </c>
      <c r="D1465" s="103" t="s">
        <v>221</v>
      </c>
      <c r="E1465" s="102">
        <v>1.0</v>
      </c>
      <c r="F1465" s="103" t="s">
        <v>228</v>
      </c>
      <c r="G1465" s="102">
        <v>1.0</v>
      </c>
      <c r="H1465" s="103"/>
      <c r="I1465" s="103"/>
      <c r="J1465" s="103"/>
      <c r="K1465" s="89">
        <v>1.1474</v>
      </c>
      <c r="L1465" s="89">
        <v>0.7229</v>
      </c>
      <c r="M1465" s="88"/>
      <c r="N1465" s="88"/>
    </row>
    <row r="1466">
      <c r="A1466" s="90">
        <v>44819.0</v>
      </c>
      <c r="B1466" s="90">
        <v>44819.0</v>
      </c>
      <c r="C1466" s="102">
        <v>2089.0</v>
      </c>
      <c r="D1466" s="103" t="s">
        <v>221</v>
      </c>
      <c r="E1466" s="102">
        <v>0.0</v>
      </c>
      <c r="F1466" s="103" t="s">
        <v>228</v>
      </c>
      <c r="G1466" s="102">
        <v>0.0</v>
      </c>
      <c r="H1466" s="103"/>
      <c r="I1466" s="103"/>
      <c r="J1466" s="103"/>
      <c r="K1466" s="89">
        <v>1.4952</v>
      </c>
      <c r="L1466" s="89">
        <v>0.9235</v>
      </c>
      <c r="M1466" s="88"/>
      <c r="N1466" s="88"/>
    </row>
    <row r="1467">
      <c r="A1467" s="90">
        <v>44819.0</v>
      </c>
      <c r="B1467" s="90">
        <v>44819.0</v>
      </c>
      <c r="C1467" s="102">
        <v>2089.0</v>
      </c>
      <c r="D1467" s="103" t="s">
        <v>221</v>
      </c>
      <c r="E1467" s="102">
        <v>1.0</v>
      </c>
      <c r="F1467" s="103" t="s">
        <v>227</v>
      </c>
      <c r="G1467" s="102">
        <v>1.0</v>
      </c>
      <c r="H1467" s="103"/>
      <c r="I1467" s="103"/>
      <c r="J1467" s="103"/>
      <c r="K1467" s="89">
        <v>0.2062</v>
      </c>
      <c r="L1467" s="89">
        <v>0.1321</v>
      </c>
      <c r="M1467" s="88"/>
      <c r="N1467" s="88"/>
    </row>
    <row r="1468">
      <c r="A1468" s="90">
        <v>44819.0</v>
      </c>
      <c r="B1468" s="90">
        <v>44819.0</v>
      </c>
      <c r="C1468" s="102">
        <v>2089.0</v>
      </c>
      <c r="D1468" s="103" t="s">
        <v>221</v>
      </c>
      <c r="E1468" s="102">
        <v>0.0</v>
      </c>
      <c r="F1468" s="103" t="s">
        <v>227</v>
      </c>
      <c r="G1468" s="102">
        <v>0.0</v>
      </c>
      <c r="H1468" s="103"/>
      <c r="I1468" s="103"/>
      <c r="J1468" s="103"/>
      <c r="K1468" s="89">
        <v>0.1897</v>
      </c>
      <c r="L1468" s="89">
        <v>0.1169</v>
      </c>
      <c r="M1468" s="88"/>
      <c r="N1468" s="88"/>
    </row>
    <row r="1469">
      <c r="A1469" s="90">
        <v>44819.0</v>
      </c>
      <c r="B1469" s="90">
        <v>44819.0</v>
      </c>
      <c r="C1469" s="102">
        <v>2011.0</v>
      </c>
      <c r="D1469" s="103" t="s">
        <v>221</v>
      </c>
      <c r="E1469" s="102">
        <v>0.0</v>
      </c>
      <c r="F1469" s="103" t="s">
        <v>228</v>
      </c>
      <c r="G1469" s="102">
        <v>0.0</v>
      </c>
      <c r="H1469" s="103"/>
      <c r="I1469" s="103"/>
      <c r="J1469" s="103"/>
      <c r="K1469" s="89">
        <v>2.3067</v>
      </c>
      <c r="L1469" s="104">
        <v>1.47</v>
      </c>
      <c r="M1469" s="88"/>
      <c r="N1469" s="88"/>
    </row>
    <row r="1470">
      <c r="A1470" s="90">
        <v>44819.0</v>
      </c>
      <c r="B1470" s="90">
        <v>44819.0</v>
      </c>
      <c r="C1470" s="102">
        <v>2011.0</v>
      </c>
      <c r="D1470" s="103" t="s">
        <v>221</v>
      </c>
      <c r="E1470" s="102">
        <v>0.0</v>
      </c>
      <c r="F1470" s="103" t="s">
        <v>227</v>
      </c>
      <c r="G1470" s="102">
        <v>0.0</v>
      </c>
      <c r="H1470" s="103"/>
      <c r="I1470" s="103"/>
      <c r="J1470" s="103"/>
      <c r="K1470" s="89">
        <v>0.5961</v>
      </c>
      <c r="L1470" s="89">
        <v>0.3891</v>
      </c>
      <c r="M1470" s="88"/>
      <c r="N1470" s="88"/>
    </row>
    <row r="1471">
      <c r="A1471" s="90">
        <v>44819.0</v>
      </c>
      <c r="B1471" s="90">
        <v>44819.0</v>
      </c>
      <c r="C1471" s="102">
        <v>2011.0</v>
      </c>
      <c r="D1471" s="103" t="s">
        <v>221</v>
      </c>
      <c r="E1471" s="102">
        <v>1.0</v>
      </c>
      <c r="F1471" s="103" t="s">
        <v>227</v>
      </c>
      <c r="G1471" s="102">
        <v>1.0</v>
      </c>
      <c r="H1471" s="103"/>
      <c r="I1471" s="103"/>
      <c r="J1471" s="103"/>
      <c r="K1471" s="89">
        <v>0.9566</v>
      </c>
      <c r="L1471" s="89">
        <v>0.6114</v>
      </c>
      <c r="M1471" s="88"/>
      <c r="N1471" s="88"/>
    </row>
    <row r="1472">
      <c r="A1472" s="90">
        <v>44819.0</v>
      </c>
      <c r="B1472" s="90">
        <v>44819.0</v>
      </c>
      <c r="C1472" s="102">
        <v>2087.0</v>
      </c>
      <c r="D1472" s="103" t="s">
        <v>221</v>
      </c>
      <c r="E1472" s="102">
        <v>0.0</v>
      </c>
      <c r="F1472" s="103" t="s">
        <v>228</v>
      </c>
      <c r="G1472" s="102">
        <v>0.0</v>
      </c>
      <c r="H1472" s="103"/>
      <c r="I1472" s="103"/>
      <c r="J1472" s="103"/>
      <c r="K1472" s="89">
        <v>2.1972</v>
      </c>
      <c r="L1472" s="89">
        <v>1.3397</v>
      </c>
      <c r="M1472" s="88"/>
      <c r="N1472" s="88"/>
    </row>
    <row r="1473">
      <c r="A1473" s="90">
        <v>44819.0</v>
      </c>
      <c r="B1473" s="90">
        <v>44819.0</v>
      </c>
      <c r="C1473" s="102">
        <v>2087.0</v>
      </c>
      <c r="D1473" s="103" t="s">
        <v>221</v>
      </c>
      <c r="E1473" s="102">
        <v>0.0</v>
      </c>
      <c r="F1473" s="103" t="s">
        <v>227</v>
      </c>
      <c r="G1473" s="102">
        <v>0.0</v>
      </c>
      <c r="H1473" s="103"/>
      <c r="I1473" s="103"/>
      <c r="J1473" s="103"/>
      <c r="K1473" s="89">
        <v>0.6706</v>
      </c>
      <c r="L1473" s="89">
        <v>0.3991</v>
      </c>
      <c r="M1473" s="88"/>
      <c r="N1473" s="88"/>
    </row>
    <row r="1474">
      <c r="A1474" s="90">
        <v>44819.0</v>
      </c>
      <c r="B1474" s="90">
        <v>44819.0</v>
      </c>
      <c r="C1474" s="102">
        <v>2087.0</v>
      </c>
      <c r="D1474" s="103" t="s">
        <v>221</v>
      </c>
      <c r="E1474" s="102">
        <v>1.0</v>
      </c>
      <c r="F1474" s="103" t="s">
        <v>227</v>
      </c>
      <c r="G1474" s="102">
        <v>1.0</v>
      </c>
      <c r="H1474" s="103"/>
      <c r="I1474" s="103"/>
      <c r="J1474" s="103"/>
      <c r="K1474" s="89">
        <v>0.8284</v>
      </c>
      <c r="L1474" s="89">
        <v>0.5037</v>
      </c>
      <c r="M1474" s="88"/>
      <c r="N1474" s="88"/>
    </row>
    <row r="1475">
      <c r="A1475" s="90">
        <v>44819.0</v>
      </c>
      <c r="B1475" s="90">
        <v>44819.0</v>
      </c>
      <c r="C1475" s="102">
        <v>2093.0</v>
      </c>
      <c r="D1475" s="103" t="s">
        <v>221</v>
      </c>
      <c r="E1475" s="102">
        <v>0.0</v>
      </c>
      <c r="F1475" s="103" t="s">
        <v>228</v>
      </c>
      <c r="G1475" s="102">
        <v>0.0</v>
      </c>
      <c r="H1475" s="103"/>
      <c r="I1475" s="103"/>
      <c r="J1475" s="103"/>
      <c r="K1475" s="89">
        <v>3.9786</v>
      </c>
      <c r="L1475" s="89">
        <v>2.4384</v>
      </c>
      <c r="M1475" s="88"/>
      <c r="N1475" s="88"/>
    </row>
    <row r="1476">
      <c r="A1476" s="90">
        <v>44819.0</v>
      </c>
      <c r="B1476" s="90">
        <v>44819.0</v>
      </c>
      <c r="C1476" s="102">
        <v>2093.0</v>
      </c>
      <c r="D1476" s="103" t="s">
        <v>221</v>
      </c>
      <c r="E1476" s="102">
        <v>0.0</v>
      </c>
      <c r="F1476" s="103" t="s">
        <v>227</v>
      </c>
      <c r="G1476" s="102">
        <v>0.0</v>
      </c>
      <c r="H1476" s="103"/>
      <c r="I1476" s="103"/>
      <c r="J1476" s="103"/>
      <c r="K1476" s="89">
        <v>0.9216</v>
      </c>
      <c r="L1476" s="104">
        <v>0.86</v>
      </c>
      <c r="M1476" s="88"/>
      <c r="N1476" s="88"/>
    </row>
    <row r="1477">
      <c r="A1477" s="90">
        <v>44819.0</v>
      </c>
      <c r="B1477" s="90">
        <v>44819.0</v>
      </c>
      <c r="C1477" s="102">
        <v>2093.0</v>
      </c>
      <c r="D1477" s="103" t="s">
        <v>221</v>
      </c>
      <c r="E1477" s="102">
        <v>1.0</v>
      </c>
      <c r="F1477" s="103" t="s">
        <v>227</v>
      </c>
      <c r="G1477" s="102">
        <v>1.0</v>
      </c>
      <c r="H1477" s="103"/>
      <c r="I1477" s="103"/>
      <c r="J1477" s="103"/>
      <c r="K1477" s="89">
        <v>0.9712</v>
      </c>
      <c r="L1477" s="89">
        <v>0.5843</v>
      </c>
      <c r="M1477" s="88"/>
      <c r="N1477" s="88"/>
    </row>
    <row r="1478">
      <c r="A1478" s="90">
        <v>44819.0</v>
      </c>
      <c r="B1478" s="90">
        <v>44819.0</v>
      </c>
      <c r="C1478" s="102">
        <v>2090.0</v>
      </c>
      <c r="D1478" s="103" t="s">
        <v>221</v>
      </c>
      <c r="E1478" s="102">
        <v>0.0</v>
      </c>
      <c r="F1478" s="103" t="s">
        <v>228</v>
      </c>
      <c r="G1478" s="102">
        <v>0.0</v>
      </c>
      <c r="H1478" s="103"/>
      <c r="I1478" s="103"/>
      <c r="J1478" s="103"/>
      <c r="K1478" s="89">
        <v>3.0989</v>
      </c>
      <c r="L1478" s="89">
        <v>1.8889</v>
      </c>
      <c r="M1478" s="88"/>
      <c r="N1478" s="88"/>
    </row>
    <row r="1479">
      <c r="A1479" s="90">
        <v>44819.0</v>
      </c>
      <c r="B1479" s="90">
        <v>44819.0</v>
      </c>
      <c r="C1479" s="102">
        <v>2090.0</v>
      </c>
      <c r="D1479" s="103" t="s">
        <v>221</v>
      </c>
      <c r="E1479" s="102">
        <v>0.0</v>
      </c>
      <c r="F1479" s="103" t="s">
        <v>227</v>
      </c>
      <c r="G1479" s="102">
        <v>0.0</v>
      </c>
      <c r="H1479" s="103"/>
      <c r="I1479" s="103"/>
      <c r="J1479" s="103"/>
      <c r="K1479" s="89">
        <v>0.9004</v>
      </c>
      <c r="L1479" s="89">
        <v>0.5692</v>
      </c>
      <c r="M1479" s="88"/>
      <c r="N1479" s="88"/>
    </row>
    <row r="1480">
      <c r="A1480" s="90">
        <v>44819.0</v>
      </c>
      <c r="B1480" s="90">
        <v>44819.0</v>
      </c>
      <c r="C1480" s="102">
        <v>2093.0</v>
      </c>
      <c r="D1480" s="103" t="s">
        <v>221</v>
      </c>
      <c r="E1480" s="102">
        <v>1.0</v>
      </c>
      <c r="F1480" s="103" t="s">
        <v>228</v>
      </c>
      <c r="G1480" s="102">
        <v>1.0</v>
      </c>
      <c r="H1480" s="103"/>
      <c r="I1480" s="103"/>
      <c r="J1480" s="103"/>
      <c r="K1480" s="89">
        <v>4.3177</v>
      </c>
      <c r="L1480" s="89">
        <v>2.7443</v>
      </c>
      <c r="M1480" s="88"/>
      <c r="N1480" s="88"/>
    </row>
    <row r="1481">
      <c r="A1481" s="90">
        <v>44819.0</v>
      </c>
      <c r="B1481" s="90">
        <v>44819.0</v>
      </c>
      <c r="C1481" s="102">
        <v>2090.0</v>
      </c>
      <c r="D1481" s="103" t="s">
        <v>221</v>
      </c>
      <c r="E1481" s="102">
        <v>1.0</v>
      </c>
      <c r="F1481" s="103" t="s">
        <v>227</v>
      </c>
      <c r="G1481" s="102">
        <v>1.0</v>
      </c>
      <c r="H1481" s="103"/>
      <c r="I1481" s="103"/>
      <c r="J1481" s="103"/>
      <c r="K1481" s="89">
        <v>0.4511</v>
      </c>
      <c r="L1481" s="89">
        <v>0.2763</v>
      </c>
      <c r="M1481" s="88"/>
      <c r="N1481" s="88"/>
    </row>
    <row r="1482">
      <c r="A1482" s="90">
        <v>44819.0</v>
      </c>
      <c r="B1482" s="90">
        <v>44819.0</v>
      </c>
      <c r="C1482" s="102">
        <v>2085.0</v>
      </c>
      <c r="D1482" s="103" t="s">
        <v>221</v>
      </c>
      <c r="E1482" s="102">
        <v>0.0</v>
      </c>
      <c r="F1482" s="103" t="s">
        <v>228</v>
      </c>
      <c r="G1482" s="102">
        <v>0.0</v>
      </c>
      <c r="H1482" s="103"/>
      <c r="I1482" s="103"/>
      <c r="J1482" s="103"/>
      <c r="K1482" s="89">
        <v>2.4353</v>
      </c>
      <c r="L1482" s="89">
        <v>1.4827</v>
      </c>
      <c r="M1482" s="88"/>
      <c r="N1482" s="88"/>
    </row>
    <row r="1483">
      <c r="A1483" s="90">
        <v>44819.0</v>
      </c>
      <c r="B1483" s="90">
        <v>44819.0</v>
      </c>
      <c r="C1483" s="102">
        <v>2085.0</v>
      </c>
      <c r="D1483" s="103" t="s">
        <v>221</v>
      </c>
      <c r="E1483" s="102">
        <v>1.0</v>
      </c>
      <c r="F1483" s="103" t="s">
        <v>227</v>
      </c>
      <c r="G1483" s="102">
        <v>1.0</v>
      </c>
      <c r="H1483" s="103"/>
      <c r="I1483" s="103"/>
      <c r="J1483" s="103"/>
      <c r="K1483" s="89">
        <v>0.6317</v>
      </c>
      <c r="L1483" s="89">
        <v>0.4101</v>
      </c>
      <c r="M1483" s="88"/>
      <c r="N1483" s="88"/>
    </row>
    <row r="1484">
      <c r="A1484" s="90">
        <v>44819.0</v>
      </c>
      <c r="B1484" s="90">
        <v>44819.0</v>
      </c>
      <c r="C1484" s="102">
        <v>2085.0</v>
      </c>
      <c r="D1484" s="103" t="s">
        <v>221</v>
      </c>
      <c r="E1484" s="102">
        <v>0.0</v>
      </c>
      <c r="F1484" s="103" t="s">
        <v>227</v>
      </c>
      <c r="G1484" s="102">
        <v>0.0</v>
      </c>
      <c r="H1484" s="103"/>
      <c r="I1484" s="103"/>
      <c r="J1484" s="103"/>
      <c r="K1484" s="89">
        <v>0.5931</v>
      </c>
      <c r="L1484" s="89">
        <v>0.4027</v>
      </c>
      <c r="M1484" s="88"/>
      <c r="N1484" s="88"/>
    </row>
    <row r="1485">
      <c r="A1485" s="90">
        <v>44819.0</v>
      </c>
      <c r="B1485" s="90">
        <v>44819.0</v>
      </c>
      <c r="C1485" s="102">
        <v>2086.0</v>
      </c>
      <c r="D1485" s="103" t="s">
        <v>221</v>
      </c>
      <c r="E1485" s="102">
        <v>0.0</v>
      </c>
      <c r="F1485" s="103" t="s">
        <v>228</v>
      </c>
      <c r="G1485" s="102">
        <v>0.0</v>
      </c>
      <c r="H1485" s="103"/>
      <c r="I1485" s="103"/>
      <c r="J1485" s="103"/>
      <c r="K1485" s="89">
        <v>3.4399</v>
      </c>
      <c r="L1485" s="89">
        <v>2.1081</v>
      </c>
      <c r="M1485" s="88"/>
      <c r="N1485" s="88"/>
    </row>
    <row r="1486">
      <c r="A1486" s="90">
        <v>44819.0</v>
      </c>
      <c r="B1486" s="90">
        <v>44819.0</v>
      </c>
      <c r="C1486" s="102">
        <v>2086.0</v>
      </c>
      <c r="D1486" s="103" t="s">
        <v>221</v>
      </c>
      <c r="E1486" s="102">
        <v>0.0</v>
      </c>
      <c r="F1486" s="103" t="s">
        <v>227</v>
      </c>
      <c r="G1486" s="102">
        <v>0.0</v>
      </c>
      <c r="H1486" s="103"/>
      <c r="I1486" s="103"/>
      <c r="J1486" s="103"/>
      <c r="K1486" s="104">
        <v>0.647</v>
      </c>
      <c r="L1486" s="89">
        <v>0.4226</v>
      </c>
      <c r="M1486" s="88"/>
      <c r="N1486" s="88"/>
    </row>
    <row r="1487">
      <c r="A1487" s="90">
        <v>44819.0</v>
      </c>
      <c r="B1487" s="90">
        <v>44819.0</v>
      </c>
      <c r="C1487" s="102">
        <v>2086.0</v>
      </c>
      <c r="D1487" s="103" t="s">
        <v>221</v>
      </c>
      <c r="E1487" s="102">
        <v>1.0</v>
      </c>
      <c r="F1487" s="103" t="s">
        <v>227</v>
      </c>
      <c r="G1487" s="102">
        <v>1.0</v>
      </c>
      <c r="H1487" s="103"/>
      <c r="I1487" s="103"/>
      <c r="J1487" s="103"/>
      <c r="K1487" s="89">
        <v>0.3447</v>
      </c>
      <c r="L1487" s="89">
        <v>0.2223</v>
      </c>
      <c r="M1487" s="88"/>
      <c r="N1487" s="88"/>
    </row>
    <row r="1488">
      <c r="A1488" s="90">
        <v>44819.0</v>
      </c>
      <c r="B1488" s="90">
        <v>44819.0</v>
      </c>
      <c r="C1488" s="102">
        <v>2091.0</v>
      </c>
      <c r="D1488" s="103" t="s">
        <v>221</v>
      </c>
      <c r="E1488" s="102">
        <v>0.0</v>
      </c>
      <c r="F1488" s="103" t="s">
        <v>228</v>
      </c>
      <c r="G1488" s="102">
        <v>0.0</v>
      </c>
      <c r="H1488" s="103"/>
      <c r="I1488" s="103"/>
      <c r="J1488" s="103"/>
      <c r="K1488" s="104">
        <v>1.473</v>
      </c>
      <c r="L1488" s="89">
        <v>0.8735</v>
      </c>
      <c r="M1488" s="88"/>
      <c r="N1488" s="88"/>
    </row>
    <row r="1489">
      <c r="A1489" s="90">
        <v>44819.0</v>
      </c>
      <c r="B1489" s="90">
        <v>44819.0</v>
      </c>
      <c r="C1489" s="102">
        <v>2091.0</v>
      </c>
      <c r="D1489" s="103" t="s">
        <v>221</v>
      </c>
      <c r="E1489" s="102">
        <v>1.0</v>
      </c>
      <c r="F1489" s="103" t="s">
        <v>228</v>
      </c>
      <c r="G1489" s="102">
        <v>1.0</v>
      </c>
      <c r="H1489" s="103"/>
      <c r="I1489" s="103"/>
      <c r="J1489" s="103"/>
      <c r="K1489" s="104">
        <v>3.238</v>
      </c>
      <c r="L1489" s="89">
        <v>2.0364</v>
      </c>
      <c r="M1489" s="88"/>
      <c r="N1489" s="88"/>
    </row>
    <row r="1490">
      <c r="A1490" s="90">
        <v>44819.0</v>
      </c>
      <c r="B1490" s="90">
        <v>44819.0</v>
      </c>
      <c r="C1490" s="102">
        <v>2091.0</v>
      </c>
      <c r="D1490" s="103" t="s">
        <v>221</v>
      </c>
      <c r="E1490" s="102">
        <v>0.0</v>
      </c>
      <c r="F1490" s="103" t="s">
        <v>227</v>
      </c>
      <c r="G1490" s="102">
        <v>0.0</v>
      </c>
      <c r="H1490" s="103"/>
      <c r="I1490" s="103"/>
      <c r="J1490" s="103"/>
      <c r="K1490" s="89">
        <v>0.2019</v>
      </c>
      <c r="L1490" s="89">
        <v>0.1227</v>
      </c>
      <c r="M1490" s="88"/>
      <c r="N1490" s="88"/>
    </row>
    <row r="1491">
      <c r="A1491" s="90">
        <v>44819.0</v>
      </c>
      <c r="B1491" s="90">
        <v>44819.0</v>
      </c>
      <c r="C1491" s="102">
        <v>2091.0</v>
      </c>
      <c r="D1491" s="103" t="s">
        <v>221</v>
      </c>
      <c r="E1491" s="102">
        <v>1.0</v>
      </c>
      <c r="F1491" s="103" t="s">
        <v>228</v>
      </c>
      <c r="G1491" s="102">
        <v>1.0</v>
      </c>
      <c r="H1491" s="103"/>
      <c r="I1491" s="103"/>
      <c r="J1491" s="103"/>
      <c r="K1491" s="104">
        <v>3.238</v>
      </c>
      <c r="L1491" s="89">
        <v>2.0364</v>
      </c>
      <c r="M1491" s="88"/>
      <c r="N1491" s="88"/>
    </row>
    <row r="1492">
      <c r="A1492" s="90">
        <v>44819.0</v>
      </c>
      <c r="B1492" s="90">
        <v>44819.0</v>
      </c>
      <c r="C1492" s="102">
        <v>2091.0</v>
      </c>
      <c r="D1492" s="103" t="s">
        <v>221</v>
      </c>
      <c r="E1492" s="102">
        <v>0.0</v>
      </c>
      <c r="F1492" s="103" t="s">
        <v>228</v>
      </c>
      <c r="G1492" s="102">
        <v>0.0</v>
      </c>
      <c r="H1492" s="103"/>
      <c r="I1492" s="103"/>
      <c r="J1492" s="103"/>
      <c r="K1492" s="104">
        <v>1.473</v>
      </c>
      <c r="L1492" s="89">
        <v>0.8735</v>
      </c>
      <c r="M1492" s="88"/>
      <c r="N1492" s="88"/>
    </row>
    <row r="1493">
      <c r="A1493" s="90">
        <v>44819.0</v>
      </c>
      <c r="B1493" s="90">
        <v>44819.0</v>
      </c>
      <c r="C1493" s="102">
        <v>2091.0</v>
      </c>
      <c r="D1493" s="103" t="s">
        <v>221</v>
      </c>
      <c r="E1493" s="102">
        <v>1.0</v>
      </c>
      <c r="F1493" s="103" t="s">
        <v>227</v>
      </c>
      <c r="G1493" s="102">
        <v>1.0</v>
      </c>
      <c r="H1493" s="103"/>
      <c r="I1493" s="103"/>
      <c r="J1493" s="103"/>
      <c r="K1493" s="89">
        <v>0.7046</v>
      </c>
      <c r="L1493" s="104">
        <v>0.437</v>
      </c>
      <c r="M1493" s="88"/>
      <c r="N1493" s="88"/>
    </row>
    <row r="1494">
      <c r="A1494" s="90">
        <v>44819.0</v>
      </c>
      <c r="B1494" s="90">
        <v>44819.0</v>
      </c>
      <c r="C1494" s="102">
        <v>2088.0</v>
      </c>
      <c r="D1494" s="103" t="s">
        <v>221</v>
      </c>
      <c r="E1494" s="102">
        <v>0.0</v>
      </c>
      <c r="F1494" s="103" t="s">
        <v>227</v>
      </c>
      <c r="G1494" s="102">
        <v>0.0</v>
      </c>
      <c r="H1494" s="103"/>
      <c r="I1494" s="103"/>
      <c r="J1494" s="103"/>
      <c r="K1494" s="89">
        <v>1.1179</v>
      </c>
      <c r="L1494" s="89">
        <v>0.7217</v>
      </c>
      <c r="M1494" s="88"/>
      <c r="N1494" s="88"/>
    </row>
    <row r="1495">
      <c r="A1495" s="90">
        <v>44819.0</v>
      </c>
      <c r="B1495" s="90">
        <v>44819.0</v>
      </c>
      <c r="C1495" s="102">
        <v>2088.0</v>
      </c>
      <c r="D1495" s="103" t="s">
        <v>221</v>
      </c>
      <c r="E1495" s="102">
        <v>0.0</v>
      </c>
      <c r="F1495" s="103" t="s">
        <v>228</v>
      </c>
      <c r="G1495" s="102">
        <v>0.0</v>
      </c>
      <c r="H1495" s="103"/>
      <c r="I1495" s="103"/>
      <c r="J1495" s="103"/>
      <c r="K1495" s="104">
        <v>1.829</v>
      </c>
      <c r="L1495" s="89">
        <v>1.1293</v>
      </c>
      <c r="M1495" s="88"/>
      <c r="N1495" s="88"/>
    </row>
    <row r="1496">
      <c r="A1496" s="90">
        <v>44819.0</v>
      </c>
      <c r="B1496" s="90">
        <v>44819.0</v>
      </c>
      <c r="C1496" s="102">
        <v>2088.0</v>
      </c>
      <c r="D1496" s="103" t="s">
        <v>221</v>
      </c>
      <c r="E1496" s="102">
        <v>1.0</v>
      </c>
      <c r="F1496" s="103" t="s">
        <v>228</v>
      </c>
      <c r="G1496" s="102">
        <v>1.0</v>
      </c>
      <c r="H1496" s="103"/>
      <c r="I1496" s="103"/>
      <c r="J1496" s="103"/>
      <c r="K1496" s="89">
        <v>1.0714</v>
      </c>
      <c r="L1496" s="89">
        <v>0.6899</v>
      </c>
      <c r="M1496" s="88"/>
      <c r="N1496" s="88"/>
    </row>
    <row r="1497">
      <c r="A1497" s="90">
        <v>44819.0</v>
      </c>
      <c r="B1497" s="90">
        <v>44819.0</v>
      </c>
      <c r="C1497" s="102">
        <v>2010.0</v>
      </c>
      <c r="D1497" s="103" t="s">
        <v>221</v>
      </c>
      <c r="E1497" s="102">
        <v>0.0</v>
      </c>
      <c r="F1497" s="103" t="s">
        <v>227</v>
      </c>
      <c r="G1497" s="102">
        <v>0.0</v>
      </c>
      <c r="H1497" s="103"/>
      <c r="I1497" s="103"/>
      <c r="J1497" s="103"/>
      <c r="K1497" s="89">
        <v>0.4021</v>
      </c>
      <c r="L1497" s="89">
        <v>0.2705</v>
      </c>
      <c r="M1497" s="88"/>
      <c r="N1497" s="88"/>
    </row>
    <row r="1498">
      <c r="A1498" s="90">
        <v>44819.0</v>
      </c>
      <c r="B1498" s="90">
        <v>44819.0</v>
      </c>
      <c r="C1498" s="102">
        <v>2010.0</v>
      </c>
      <c r="D1498" s="103" t="s">
        <v>221</v>
      </c>
      <c r="E1498" s="102">
        <v>0.0</v>
      </c>
      <c r="F1498" s="103" t="s">
        <v>228</v>
      </c>
      <c r="G1498" s="102">
        <v>0.0</v>
      </c>
      <c r="H1498" s="103"/>
      <c r="I1498" s="103"/>
      <c r="J1498" s="103"/>
      <c r="K1498" s="89">
        <v>1.0927</v>
      </c>
      <c r="L1498" s="89">
        <v>0.7182</v>
      </c>
      <c r="M1498" s="88"/>
      <c r="N1498" s="88"/>
    </row>
    <row r="1499">
      <c r="A1499" s="90">
        <v>44819.0</v>
      </c>
      <c r="B1499" s="90">
        <v>44819.0</v>
      </c>
      <c r="C1499" s="102">
        <v>2010.0</v>
      </c>
      <c r="D1499" s="103" t="s">
        <v>221</v>
      </c>
      <c r="E1499" s="102">
        <v>1.0</v>
      </c>
      <c r="F1499" s="103" t="s">
        <v>227</v>
      </c>
      <c r="G1499" s="102">
        <v>1.0</v>
      </c>
      <c r="H1499" s="103"/>
      <c r="I1499" s="103"/>
      <c r="J1499" s="103"/>
      <c r="K1499" s="89">
        <v>0.8851</v>
      </c>
      <c r="L1499" s="89">
        <v>0.5762</v>
      </c>
      <c r="M1499" s="88"/>
      <c r="N1499" s="88"/>
    </row>
    <row r="1500">
      <c r="A1500" s="90">
        <v>44819.0</v>
      </c>
      <c r="B1500" s="90">
        <v>44819.0</v>
      </c>
      <c r="C1500" s="102">
        <v>2380.0</v>
      </c>
      <c r="D1500" s="103" t="s">
        <v>221</v>
      </c>
      <c r="E1500" s="102">
        <v>1.0</v>
      </c>
      <c r="F1500" s="103" t="s">
        <v>228</v>
      </c>
      <c r="G1500" s="102">
        <v>1.0</v>
      </c>
      <c r="H1500" s="103"/>
      <c r="I1500" s="103"/>
      <c r="J1500" s="103"/>
      <c r="K1500" s="89">
        <v>5.0463</v>
      </c>
      <c r="L1500" s="89">
        <v>3.3718</v>
      </c>
      <c r="M1500" s="88"/>
      <c r="N1500" s="88"/>
    </row>
    <row r="1501">
      <c r="A1501" s="90">
        <v>44819.0</v>
      </c>
      <c r="B1501" s="90">
        <v>44819.0</v>
      </c>
      <c r="C1501" s="102">
        <v>2383.0</v>
      </c>
      <c r="D1501" s="103" t="s">
        <v>221</v>
      </c>
      <c r="E1501" s="102">
        <v>0.0</v>
      </c>
      <c r="F1501" s="103" t="s">
        <v>228</v>
      </c>
      <c r="G1501" s="102">
        <v>0.0</v>
      </c>
      <c r="H1501" s="103"/>
      <c r="I1501" s="103"/>
      <c r="J1501" s="103"/>
      <c r="K1501" s="89">
        <v>3.1116</v>
      </c>
      <c r="L1501" s="89">
        <v>1.9928</v>
      </c>
      <c r="M1501" s="88"/>
      <c r="N1501" s="88"/>
    </row>
    <row r="1502">
      <c r="A1502" s="90">
        <v>44819.0</v>
      </c>
      <c r="B1502" s="90">
        <v>44819.0</v>
      </c>
      <c r="C1502" s="102">
        <v>2383.0</v>
      </c>
      <c r="D1502" s="103" t="s">
        <v>221</v>
      </c>
      <c r="E1502" s="102">
        <v>0.0</v>
      </c>
      <c r="F1502" s="103" t="s">
        <v>227</v>
      </c>
      <c r="G1502" s="102">
        <v>0.0</v>
      </c>
      <c r="H1502" s="103"/>
      <c r="I1502" s="103"/>
      <c r="J1502" s="103"/>
      <c r="K1502" s="89">
        <v>0.5967</v>
      </c>
      <c r="L1502" s="89">
        <v>0.4045</v>
      </c>
      <c r="M1502" s="88"/>
      <c r="N1502" s="88"/>
    </row>
    <row r="1503">
      <c r="A1503" s="90">
        <v>44819.0</v>
      </c>
      <c r="B1503" s="90">
        <v>44819.0</v>
      </c>
      <c r="C1503" s="102">
        <v>2383.0</v>
      </c>
      <c r="D1503" s="103" t="s">
        <v>221</v>
      </c>
      <c r="E1503" s="102">
        <v>1.0</v>
      </c>
      <c r="F1503" s="103" t="s">
        <v>227</v>
      </c>
      <c r="G1503" s="102">
        <v>1.0</v>
      </c>
      <c r="H1503" s="103"/>
      <c r="I1503" s="103"/>
      <c r="J1503" s="103"/>
      <c r="K1503" s="89">
        <v>1.0708</v>
      </c>
      <c r="L1503" s="89">
        <v>0.7219</v>
      </c>
      <c r="M1503" s="88"/>
      <c r="N1503" s="88"/>
    </row>
    <row r="1504">
      <c r="A1504" s="90">
        <v>44819.0</v>
      </c>
      <c r="B1504" s="90">
        <v>44819.0</v>
      </c>
      <c r="C1504" s="102">
        <v>2382.0</v>
      </c>
      <c r="D1504" s="103" t="s">
        <v>221</v>
      </c>
      <c r="E1504" s="102">
        <v>0.0</v>
      </c>
      <c r="F1504" s="103" t="s">
        <v>228</v>
      </c>
      <c r="G1504" s="102">
        <v>0.0</v>
      </c>
      <c r="H1504" s="103"/>
      <c r="I1504" s="103"/>
      <c r="J1504" s="103"/>
      <c r="K1504" s="89">
        <v>1.3831</v>
      </c>
      <c r="L1504" s="89">
        <v>0.8932</v>
      </c>
      <c r="M1504" s="88"/>
      <c r="N1504" s="88"/>
    </row>
    <row r="1505">
      <c r="A1505" s="90">
        <v>44819.0</v>
      </c>
      <c r="B1505" s="90">
        <v>44819.0</v>
      </c>
      <c r="C1505" s="102">
        <v>2382.0</v>
      </c>
      <c r="D1505" s="103" t="s">
        <v>221</v>
      </c>
      <c r="E1505" s="102">
        <v>1.0</v>
      </c>
      <c r="F1505" s="103" t="s">
        <v>227</v>
      </c>
      <c r="G1505" s="102">
        <v>1.0</v>
      </c>
      <c r="H1505" s="103"/>
      <c r="I1505" s="103"/>
      <c r="J1505" s="103"/>
      <c r="K1505" s="104">
        <v>0.613</v>
      </c>
      <c r="L1505" s="89">
        <v>0.4037</v>
      </c>
      <c r="M1505" s="88"/>
      <c r="N1505" s="88"/>
    </row>
    <row r="1506">
      <c r="A1506" s="90">
        <v>44819.0</v>
      </c>
      <c r="B1506" s="90">
        <v>44819.0</v>
      </c>
      <c r="C1506" s="102">
        <v>2381.0</v>
      </c>
      <c r="D1506" s="103" t="s">
        <v>221</v>
      </c>
      <c r="E1506" s="102">
        <v>0.0</v>
      </c>
      <c r="F1506" s="103" t="s">
        <v>228</v>
      </c>
      <c r="G1506" s="102">
        <v>0.0</v>
      </c>
      <c r="H1506" s="103"/>
      <c r="I1506" s="103"/>
      <c r="J1506" s="103"/>
      <c r="K1506" s="89">
        <v>1.1347</v>
      </c>
      <c r="L1506" s="89">
        <v>0.7097</v>
      </c>
      <c r="M1506" s="88"/>
      <c r="N1506" s="88"/>
    </row>
    <row r="1507">
      <c r="A1507" s="90">
        <v>44819.0</v>
      </c>
      <c r="B1507" s="90">
        <v>44819.0</v>
      </c>
      <c r="C1507" s="102">
        <v>2381.0</v>
      </c>
      <c r="D1507" s="103" t="s">
        <v>221</v>
      </c>
      <c r="E1507" s="102">
        <v>0.0</v>
      </c>
      <c r="F1507" s="103" t="s">
        <v>227</v>
      </c>
      <c r="G1507" s="102">
        <v>0.0</v>
      </c>
      <c r="H1507" s="103"/>
      <c r="I1507" s="103"/>
      <c r="J1507" s="103"/>
      <c r="K1507" s="89">
        <v>0.2156</v>
      </c>
      <c r="L1507" s="89">
        <v>0.1467</v>
      </c>
      <c r="M1507" s="88"/>
      <c r="N1507" s="88"/>
    </row>
    <row r="1508">
      <c r="A1508" s="90">
        <v>44819.0</v>
      </c>
      <c r="B1508" s="90">
        <v>44819.0</v>
      </c>
      <c r="C1508" s="102">
        <v>2381.0</v>
      </c>
      <c r="D1508" s="103" t="s">
        <v>221</v>
      </c>
      <c r="E1508" s="102">
        <v>1.0</v>
      </c>
      <c r="F1508" s="103" t="s">
        <v>227</v>
      </c>
      <c r="G1508" s="102">
        <v>1.0</v>
      </c>
      <c r="H1508" s="103"/>
      <c r="I1508" s="103"/>
      <c r="J1508" s="103"/>
      <c r="K1508" s="89">
        <v>0.1689</v>
      </c>
      <c r="L1508" s="89">
        <v>0.1049</v>
      </c>
      <c r="M1508" s="88"/>
      <c r="N1508" s="88"/>
    </row>
    <row r="1509">
      <c r="A1509" s="90">
        <v>44819.0</v>
      </c>
      <c r="B1509" s="90">
        <v>44819.0</v>
      </c>
      <c r="C1509" s="102">
        <v>2380.0</v>
      </c>
      <c r="D1509" s="103" t="s">
        <v>221</v>
      </c>
      <c r="E1509" s="102">
        <v>0.0</v>
      </c>
      <c r="F1509" s="103" t="s">
        <v>228</v>
      </c>
      <c r="G1509" s="102">
        <v>0.0</v>
      </c>
      <c r="H1509" s="103"/>
      <c r="I1509" s="103"/>
      <c r="J1509" s="103"/>
      <c r="K1509" s="104">
        <v>1.199</v>
      </c>
      <c r="L1509" s="104">
        <v>0.801</v>
      </c>
      <c r="M1509" s="88"/>
      <c r="N1509" s="88"/>
    </row>
    <row r="1510">
      <c r="A1510" s="90">
        <v>44819.0</v>
      </c>
      <c r="B1510" s="90">
        <v>44819.0</v>
      </c>
      <c r="C1510" s="102">
        <v>2370.0</v>
      </c>
      <c r="D1510" s="103" t="s">
        <v>221</v>
      </c>
      <c r="E1510" s="102">
        <v>0.0</v>
      </c>
      <c r="F1510" s="103" t="s">
        <v>227</v>
      </c>
      <c r="G1510" s="102">
        <v>0.0</v>
      </c>
      <c r="H1510" s="103"/>
      <c r="I1510" s="103"/>
      <c r="J1510" s="103"/>
      <c r="K1510" s="89">
        <v>0.4181</v>
      </c>
      <c r="L1510" s="89">
        <v>0.2764</v>
      </c>
      <c r="M1510" s="88"/>
      <c r="N1510" s="88"/>
    </row>
    <row r="1511">
      <c r="A1511" s="90">
        <v>44819.0</v>
      </c>
      <c r="B1511" s="90">
        <v>44819.0</v>
      </c>
      <c r="C1511" s="102">
        <v>2370.0</v>
      </c>
      <c r="D1511" s="103" t="s">
        <v>221</v>
      </c>
      <c r="E1511" s="102">
        <v>1.0</v>
      </c>
      <c r="F1511" s="103" t="s">
        <v>227</v>
      </c>
      <c r="G1511" s="102">
        <v>1.0</v>
      </c>
      <c r="H1511" s="103"/>
      <c r="I1511" s="103"/>
      <c r="J1511" s="103"/>
      <c r="K1511" s="89">
        <v>0.4007</v>
      </c>
      <c r="L1511" s="89">
        <v>0.2568</v>
      </c>
      <c r="M1511" s="88"/>
      <c r="N1511" s="88"/>
    </row>
    <row r="1512">
      <c r="A1512" s="90">
        <v>44819.0</v>
      </c>
      <c r="B1512" s="90">
        <v>44819.0</v>
      </c>
      <c r="C1512" s="102">
        <v>2005.0</v>
      </c>
      <c r="D1512" s="103" t="s">
        <v>221</v>
      </c>
      <c r="E1512" s="102">
        <v>0.0</v>
      </c>
      <c r="F1512" s="103" t="s">
        <v>228</v>
      </c>
      <c r="G1512" s="102">
        <v>0.0</v>
      </c>
      <c r="H1512" s="103"/>
      <c r="I1512" s="103"/>
      <c r="J1512" s="103"/>
      <c r="K1512" s="89">
        <v>4.4377</v>
      </c>
      <c r="L1512" s="89">
        <v>2.7208</v>
      </c>
      <c r="M1512" s="88"/>
      <c r="N1512" s="88"/>
    </row>
    <row r="1513">
      <c r="A1513" s="90">
        <v>44819.0</v>
      </c>
      <c r="B1513" s="90">
        <v>44819.0</v>
      </c>
      <c r="C1513" s="102">
        <v>2004.0</v>
      </c>
      <c r="D1513" s="103" t="s">
        <v>221</v>
      </c>
      <c r="E1513" s="102">
        <v>0.0</v>
      </c>
      <c r="F1513" s="103" t="s">
        <v>228</v>
      </c>
      <c r="G1513" s="102">
        <v>0.0</v>
      </c>
      <c r="H1513" s="103"/>
      <c r="I1513" s="103"/>
      <c r="J1513" s="103"/>
      <c r="K1513" s="89">
        <v>1.8497</v>
      </c>
      <c r="L1513" s="89">
        <v>1.1538</v>
      </c>
      <c r="M1513" s="88"/>
      <c r="N1513" s="88"/>
    </row>
    <row r="1514">
      <c r="A1514" s="90">
        <v>44819.0</v>
      </c>
      <c r="B1514" s="90">
        <v>44819.0</v>
      </c>
      <c r="C1514" s="102">
        <v>2004.0</v>
      </c>
      <c r="D1514" s="103" t="s">
        <v>221</v>
      </c>
      <c r="E1514" s="102">
        <v>0.0</v>
      </c>
      <c r="F1514" s="103" t="s">
        <v>227</v>
      </c>
      <c r="G1514" s="102">
        <v>0.0</v>
      </c>
      <c r="H1514" s="103"/>
      <c r="I1514" s="103"/>
      <c r="J1514" s="103"/>
      <c r="K1514" s="89">
        <v>1.5897</v>
      </c>
      <c r="L1514" s="89">
        <v>1.0449</v>
      </c>
      <c r="M1514" s="88"/>
      <c r="N1514" s="88"/>
    </row>
    <row r="1515">
      <c r="A1515" s="90">
        <v>44819.0</v>
      </c>
      <c r="B1515" s="90">
        <v>44819.0</v>
      </c>
      <c r="C1515" s="102">
        <v>2004.0</v>
      </c>
      <c r="D1515" s="103" t="s">
        <v>221</v>
      </c>
      <c r="E1515" s="102">
        <v>1.0</v>
      </c>
      <c r="F1515" s="103" t="s">
        <v>227</v>
      </c>
      <c r="G1515" s="102">
        <v>1.0</v>
      </c>
      <c r="H1515" s="103"/>
      <c r="I1515" s="103"/>
      <c r="J1515" s="103"/>
      <c r="K1515" s="89">
        <v>0.8631</v>
      </c>
      <c r="L1515" s="89">
        <v>0.5502</v>
      </c>
      <c r="M1515" s="88"/>
      <c r="N1515" s="88"/>
    </row>
    <row r="1516">
      <c r="A1516" s="90">
        <v>44819.0</v>
      </c>
      <c r="B1516" s="90">
        <v>44819.0</v>
      </c>
      <c r="C1516" s="102">
        <v>2005.0</v>
      </c>
      <c r="D1516" s="103" t="s">
        <v>221</v>
      </c>
      <c r="E1516" s="102">
        <v>0.0</v>
      </c>
      <c r="F1516" s="103" t="s">
        <v>227</v>
      </c>
      <c r="G1516" s="102">
        <v>0.0</v>
      </c>
      <c r="H1516" s="103"/>
      <c r="I1516" s="103"/>
      <c r="J1516" s="103"/>
      <c r="K1516" s="89">
        <v>0.8303</v>
      </c>
      <c r="L1516" s="89">
        <v>0.5458</v>
      </c>
      <c r="M1516" s="88"/>
      <c r="N1516" s="88"/>
    </row>
    <row r="1517">
      <c r="A1517" s="90">
        <v>44819.0</v>
      </c>
      <c r="B1517" s="90">
        <v>44819.0</v>
      </c>
      <c r="C1517" s="102">
        <v>2005.0</v>
      </c>
      <c r="D1517" s="103" t="s">
        <v>221</v>
      </c>
      <c r="E1517" s="102">
        <v>1.0</v>
      </c>
      <c r="F1517" s="103" t="s">
        <v>227</v>
      </c>
      <c r="G1517" s="102">
        <v>1.0</v>
      </c>
      <c r="H1517" s="103"/>
      <c r="I1517" s="103"/>
      <c r="J1517" s="103"/>
      <c r="K1517" s="89">
        <v>0.7192</v>
      </c>
      <c r="L1517" s="89">
        <v>0.4318</v>
      </c>
      <c r="M1517" s="88"/>
      <c r="N1517" s="88"/>
    </row>
    <row r="1518">
      <c r="A1518" s="90">
        <v>44819.0</v>
      </c>
      <c r="B1518" s="90">
        <v>44819.0</v>
      </c>
      <c r="C1518" s="102">
        <v>2380.0</v>
      </c>
      <c r="D1518" s="103" t="s">
        <v>221</v>
      </c>
      <c r="E1518" s="102">
        <v>0.0</v>
      </c>
      <c r="F1518" s="103" t="s">
        <v>227</v>
      </c>
      <c r="G1518" s="102">
        <v>0.0</v>
      </c>
      <c r="H1518" s="103"/>
      <c r="I1518" s="103"/>
      <c r="J1518" s="103"/>
      <c r="K1518" s="89">
        <v>0.2901</v>
      </c>
      <c r="L1518" s="104">
        <v>0.195</v>
      </c>
      <c r="M1518" s="88"/>
      <c r="N1518" s="88"/>
    </row>
    <row r="1519">
      <c r="A1519" s="90">
        <v>44819.0</v>
      </c>
      <c r="B1519" s="90">
        <v>44819.0</v>
      </c>
      <c r="C1519" s="102">
        <v>2380.0</v>
      </c>
      <c r="D1519" s="103" t="s">
        <v>221</v>
      </c>
      <c r="E1519" s="102">
        <v>1.0</v>
      </c>
      <c r="F1519" s="103" t="s">
        <v>227</v>
      </c>
      <c r="G1519" s="102">
        <v>1.0</v>
      </c>
      <c r="H1519" s="103"/>
      <c r="I1519" s="103"/>
      <c r="J1519" s="103"/>
      <c r="K1519" s="89">
        <v>1.4602</v>
      </c>
      <c r="L1519" s="89">
        <v>0.9953</v>
      </c>
      <c r="M1519" s="88"/>
      <c r="N1519" s="88"/>
    </row>
    <row r="1520">
      <c r="A1520" s="90">
        <v>44819.0</v>
      </c>
      <c r="B1520" s="90">
        <v>44819.0</v>
      </c>
      <c r="C1520" s="102">
        <v>2379.0</v>
      </c>
      <c r="D1520" s="103" t="s">
        <v>221</v>
      </c>
      <c r="E1520" s="102">
        <v>0.0</v>
      </c>
      <c r="F1520" s="103" t="s">
        <v>228</v>
      </c>
      <c r="G1520" s="102">
        <v>0.0</v>
      </c>
      <c r="H1520" s="103"/>
      <c r="I1520" s="103"/>
      <c r="J1520" s="103"/>
      <c r="K1520" s="104">
        <v>3.71</v>
      </c>
      <c r="L1520" s="89">
        <v>2.3582</v>
      </c>
      <c r="M1520" s="88"/>
      <c r="N1520" s="88"/>
    </row>
    <row r="1521">
      <c r="A1521" s="90">
        <v>44819.0</v>
      </c>
      <c r="B1521" s="90">
        <v>44819.0</v>
      </c>
      <c r="C1521" s="102">
        <v>2379.0</v>
      </c>
      <c r="D1521" s="103" t="s">
        <v>221</v>
      </c>
      <c r="E1521" s="102">
        <v>0.0</v>
      </c>
      <c r="F1521" s="103" t="s">
        <v>227</v>
      </c>
      <c r="G1521" s="102">
        <v>0.0</v>
      </c>
      <c r="H1521" s="103"/>
      <c r="I1521" s="103"/>
      <c r="J1521" s="103"/>
      <c r="K1521" s="89">
        <v>0.3453</v>
      </c>
      <c r="L1521" s="89">
        <v>0.2309</v>
      </c>
      <c r="M1521" s="88"/>
      <c r="N1521" s="88"/>
    </row>
    <row r="1522">
      <c r="A1522" s="90">
        <v>44819.0</v>
      </c>
      <c r="B1522" s="90">
        <v>44819.0</v>
      </c>
      <c r="C1522" s="102">
        <v>2379.0</v>
      </c>
      <c r="D1522" s="103" t="s">
        <v>221</v>
      </c>
      <c r="E1522" s="102">
        <v>1.0</v>
      </c>
      <c r="F1522" s="103" t="s">
        <v>227</v>
      </c>
      <c r="G1522" s="102">
        <v>1.0</v>
      </c>
      <c r="H1522" s="103"/>
      <c r="I1522" s="103"/>
      <c r="J1522" s="103"/>
      <c r="K1522" s="89">
        <v>0.5686</v>
      </c>
      <c r="L1522" s="89">
        <v>0.3896</v>
      </c>
      <c r="M1522" s="88"/>
      <c r="N1522" s="88"/>
    </row>
    <row r="1523">
      <c r="A1523" s="90">
        <v>44819.0</v>
      </c>
      <c r="B1523" s="90">
        <v>44819.0</v>
      </c>
      <c r="C1523" s="102">
        <v>2378.0</v>
      </c>
      <c r="D1523" s="103" t="s">
        <v>221</v>
      </c>
      <c r="E1523" s="102">
        <v>0.0</v>
      </c>
      <c r="F1523" s="103" t="s">
        <v>228</v>
      </c>
      <c r="G1523" s="102">
        <v>0.0</v>
      </c>
      <c r="H1523" s="103"/>
      <c r="I1523" s="103"/>
      <c r="J1523" s="103"/>
      <c r="K1523" s="89">
        <v>5.2046</v>
      </c>
      <c r="L1523" s="89">
        <v>3.2557</v>
      </c>
      <c r="M1523" s="88"/>
      <c r="N1523" s="88"/>
    </row>
    <row r="1524">
      <c r="A1524" s="90">
        <v>44819.0</v>
      </c>
      <c r="B1524" s="90">
        <v>44819.0</v>
      </c>
      <c r="C1524" s="102">
        <v>2378.0</v>
      </c>
      <c r="D1524" s="103" t="s">
        <v>221</v>
      </c>
      <c r="E1524" s="102">
        <v>0.0</v>
      </c>
      <c r="F1524" s="103" t="s">
        <v>227</v>
      </c>
      <c r="G1524" s="102">
        <v>0.0</v>
      </c>
      <c r="H1524" s="103"/>
      <c r="I1524" s="103"/>
      <c r="J1524" s="103"/>
      <c r="K1524" s="89">
        <v>1.0396</v>
      </c>
      <c r="L1524" s="89">
        <v>0.6896</v>
      </c>
      <c r="M1524" s="88"/>
      <c r="N1524" s="88"/>
    </row>
    <row r="1525">
      <c r="A1525" s="90">
        <v>44819.0</v>
      </c>
      <c r="B1525" s="90">
        <v>44819.0</v>
      </c>
      <c r="C1525" s="102">
        <v>2378.0</v>
      </c>
      <c r="D1525" s="103" t="s">
        <v>221</v>
      </c>
      <c r="E1525" s="102">
        <v>1.0</v>
      </c>
      <c r="F1525" s="103" t="s">
        <v>227</v>
      </c>
      <c r="G1525" s="102">
        <v>1.0</v>
      </c>
      <c r="H1525" s="103"/>
      <c r="I1525" s="103"/>
      <c r="J1525" s="103"/>
      <c r="K1525" s="89">
        <v>0.5381</v>
      </c>
      <c r="L1525" s="89">
        <v>0.3581</v>
      </c>
      <c r="M1525" s="88"/>
      <c r="N1525" s="88"/>
    </row>
    <row r="1526">
      <c r="A1526" s="90">
        <v>44819.0</v>
      </c>
      <c r="B1526" s="90">
        <v>44819.0</v>
      </c>
      <c r="C1526" s="102">
        <v>2377.0</v>
      </c>
      <c r="D1526" s="103" t="s">
        <v>221</v>
      </c>
      <c r="E1526" s="102">
        <v>0.0</v>
      </c>
      <c r="F1526" s="103" t="s">
        <v>228</v>
      </c>
      <c r="G1526" s="102">
        <v>0.0</v>
      </c>
      <c r="H1526" s="103"/>
      <c r="I1526" s="103"/>
      <c r="J1526" s="103"/>
      <c r="K1526" s="89">
        <v>2.6982</v>
      </c>
      <c r="L1526" s="89">
        <v>1.8012</v>
      </c>
      <c r="M1526" s="88"/>
      <c r="N1526" s="88"/>
    </row>
    <row r="1527">
      <c r="A1527" s="90">
        <v>44819.0</v>
      </c>
      <c r="B1527" s="90">
        <v>44819.0</v>
      </c>
      <c r="C1527" s="102">
        <v>2377.0</v>
      </c>
      <c r="D1527" s="103" t="s">
        <v>221</v>
      </c>
      <c r="E1527" s="102">
        <v>0.0</v>
      </c>
      <c r="F1527" s="103" t="s">
        <v>227</v>
      </c>
      <c r="G1527" s="102">
        <v>0.0</v>
      </c>
      <c r="H1527" s="103"/>
      <c r="I1527" s="103"/>
      <c r="J1527" s="103"/>
      <c r="K1527" s="89">
        <v>1.1315</v>
      </c>
      <c r="L1527" s="89">
        <v>0.7426</v>
      </c>
      <c r="M1527" s="88"/>
      <c r="N1527" s="88"/>
    </row>
    <row r="1528">
      <c r="A1528" s="90">
        <v>44819.0</v>
      </c>
      <c r="B1528" s="90">
        <v>44819.0</v>
      </c>
      <c r="C1528" s="102">
        <v>2377.0</v>
      </c>
      <c r="D1528" s="103" t="s">
        <v>221</v>
      </c>
      <c r="E1528" s="102">
        <v>1.0</v>
      </c>
      <c r="F1528" s="103" t="s">
        <v>228</v>
      </c>
      <c r="G1528" s="102">
        <v>1.0</v>
      </c>
      <c r="H1528" s="103"/>
      <c r="I1528" s="103"/>
      <c r="J1528" s="103"/>
      <c r="K1528" s="89">
        <v>3.4544</v>
      </c>
      <c r="L1528" s="89">
        <v>2.3128</v>
      </c>
      <c r="M1528" s="88"/>
      <c r="N1528" s="88"/>
    </row>
    <row r="1529">
      <c r="A1529" s="90">
        <v>44819.0</v>
      </c>
      <c r="B1529" s="90">
        <v>44819.0</v>
      </c>
      <c r="C1529" s="102">
        <v>2377.0</v>
      </c>
      <c r="D1529" s="103" t="s">
        <v>221</v>
      </c>
      <c r="E1529" s="102">
        <v>1.0</v>
      </c>
      <c r="F1529" s="103" t="s">
        <v>227</v>
      </c>
      <c r="G1529" s="102">
        <v>1.0</v>
      </c>
      <c r="H1529" s="103"/>
      <c r="I1529" s="103"/>
      <c r="J1529" s="103"/>
      <c r="K1529" s="89">
        <v>1.0697</v>
      </c>
      <c r="L1529" s="89">
        <v>0.6912</v>
      </c>
      <c r="M1529" s="88"/>
      <c r="N1529" s="88"/>
    </row>
    <row r="1530">
      <c r="A1530" s="90">
        <v>44819.0</v>
      </c>
      <c r="B1530" s="90">
        <v>44819.0</v>
      </c>
      <c r="C1530" s="102">
        <v>9382.0</v>
      </c>
      <c r="D1530" s="103" t="s">
        <v>221</v>
      </c>
      <c r="E1530" s="102">
        <v>0.0</v>
      </c>
      <c r="F1530" s="103" t="s">
        <v>227</v>
      </c>
      <c r="G1530" s="102">
        <v>0.0</v>
      </c>
      <c r="H1530" s="103"/>
      <c r="I1530" s="103"/>
      <c r="J1530" s="103"/>
      <c r="K1530" s="89">
        <v>1.018</v>
      </c>
      <c r="L1530" s="89">
        <v>0.6724</v>
      </c>
      <c r="M1530" s="88"/>
      <c r="N1530" s="88"/>
    </row>
    <row r="1531">
      <c r="A1531" s="90">
        <v>44816.0</v>
      </c>
      <c r="B1531" s="90">
        <v>44816.0</v>
      </c>
      <c r="C1531" s="102">
        <v>2010.0</v>
      </c>
      <c r="D1531" s="103" t="s">
        <v>226</v>
      </c>
      <c r="E1531" s="102">
        <v>1.0</v>
      </c>
      <c r="F1531" s="103" t="s">
        <v>228</v>
      </c>
      <c r="G1531" s="102">
        <v>1.0</v>
      </c>
      <c r="H1531" s="103"/>
      <c r="I1531" s="103"/>
      <c r="J1531" s="103"/>
      <c r="K1531" s="89">
        <v>1.6831</v>
      </c>
      <c r="L1531" s="89">
        <v>1.0491</v>
      </c>
      <c r="M1531" s="88"/>
      <c r="N1531" s="88"/>
    </row>
    <row r="1532">
      <c r="A1532" s="90">
        <v>44816.0</v>
      </c>
      <c r="B1532" s="90">
        <v>44816.0</v>
      </c>
      <c r="C1532" s="102">
        <v>2010.0</v>
      </c>
      <c r="D1532" s="103" t="s">
        <v>226</v>
      </c>
      <c r="E1532" s="102">
        <v>1.0</v>
      </c>
      <c r="F1532" s="103" t="s">
        <v>227</v>
      </c>
      <c r="G1532" s="102">
        <v>1.0</v>
      </c>
      <c r="H1532" s="103"/>
      <c r="I1532" s="103"/>
      <c r="J1532" s="103"/>
      <c r="K1532" s="89">
        <v>0.2112</v>
      </c>
      <c r="L1532" s="89">
        <v>0.1299</v>
      </c>
      <c r="M1532" s="88"/>
      <c r="N1532" s="88"/>
    </row>
    <row r="1533">
      <c r="A1533" s="90">
        <v>44816.0</v>
      </c>
      <c r="B1533" s="90">
        <v>44816.0</v>
      </c>
      <c r="C1533" s="102">
        <v>2352.0</v>
      </c>
      <c r="D1533" s="103" t="s">
        <v>226</v>
      </c>
      <c r="E1533" s="102">
        <v>1.0</v>
      </c>
      <c r="F1533" s="103" t="s">
        <v>227</v>
      </c>
      <c r="G1533" s="102">
        <v>1.0</v>
      </c>
      <c r="H1533" s="103"/>
      <c r="I1533" s="103"/>
      <c r="J1533" s="103"/>
      <c r="K1533" s="89">
        <v>1.0796</v>
      </c>
      <c r="L1533" s="89">
        <v>0.6458</v>
      </c>
      <c r="M1533" s="88"/>
      <c r="N1533" s="88"/>
    </row>
    <row r="1534">
      <c r="A1534" s="90">
        <v>44816.0</v>
      </c>
      <c r="B1534" s="90">
        <v>44816.0</v>
      </c>
      <c r="C1534" s="102">
        <v>2331.0</v>
      </c>
      <c r="D1534" s="103" t="s">
        <v>226</v>
      </c>
      <c r="E1534" s="102">
        <v>1.0</v>
      </c>
      <c r="F1534" s="103" t="s">
        <v>227</v>
      </c>
      <c r="G1534" s="102">
        <v>1.0</v>
      </c>
      <c r="H1534" s="103"/>
      <c r="I1534" s="103"/>
      <c r="J1534" s="103"/>
      <c r="K1534" s="89">
        <v>1.5656</v>
      </c>
      <c r="L1534" s="89">
        <v>1.0094</v>
      </c>
      <c r="M1534" s="88"/>
      <c r="N1534" s="88"/>
    </row>
    <row r="1535">
      <c r="A1535" s="90">
        <v>44816.0</v>
      </c>
      <c r="B1535" s="90">
        <v>44816.0</v>
      </c>
      <c r="C1535" s="102">
        <v>2010.0</v>
      </c>
      <c r="D1535" s="103" t="s">
        <v>226</v>
      </c>
      <c r="E1535" s="102">
        <v>0.0</v>
      </c>
      <c r="F1535" s="103" t="s">
        <v>228</v>
      </c>
      <c r="G1535" s="102">
        <v>0.0</v>
      </c>
      <c r="H1535" s="103"/>
      <c r="I1535" s="103"/>
      <c r="J1535" s="103"/>
      <c r="K1535" s="89">
        <v>1.7288</v>
      </c>
      <c r="L1535" s="89">
        <v>1.0946</v>
      </c>
      <c r="M1535" s="88"/>
      <c r="N1535" s="88"/>
    </row>
    <row r="1536">
      <c r="A1536" s="90">
        <v>44816.0</v>
      </c>
      <c r="B1536" s="90">
        <v>44816.0</v>
      </c>
      <c r="C1536" s="102">
        <v>2093.0</v>
      </c>
      <c r="D1536" s="103" t="s">
        <v>226</v>
      </c>
      <c r="E1536" s="102">
        <v>0.0</v>
      </c>
      <c r="F1536" s="103" t="s">
        <v>228</v>
      </c>
      <c r="G1536" s="102">
        <v>0.0</v>
      </c>
      <c r="H1536" s="103"/>
      <c r="I1536" s="103"/>
      <c r="J1536" s="103"/>
      <c r="K1536" s="89">
        <v>2.5045</v>
      </c>
      <c r="L1536" s="89">
        <v>1.4005</v>
      </c>
      <c r="M1536" s="88"/>
      <c r="N1536" s="88"/>
    </row>
    <row r="1537">
      <c r="A1537" s="90">
        <v>44816.0</v>
      </c>
      <c r="B1537" s="90">
        <v>44816.0</v>
      </c>
      <c r="C1537" s="102">
        <v>2331.0</v>
      </c>
      <c r="D1537" s="103" t="s">
        <v>226</v>
      </c>
      <c r="E1537" s="102">
        <v>0.0</v>
      </c>
      <c r="F1537" s="103" t="s">
        <v>227</v>
      </c>
      <c r="G1537" s="102">
        <v>0.0</v>
      </c>
      <c r="H1537" s="103"/>
      <c r="I1537" s="103"/>
      <c r="J1537" s="103"/>
      <c r="K1537" s="89">
        <v>0.1241</v>
      </c>
      <c r="L1537" s="89">
        <v>0.0793</v>
      </c>
      <c r="M1537" s="88"/>
      <c r="N1537" s="88"/>
    </row>
    <row r="1538">
      <c r="A1538" s="90">
        <v>44816.0</v>
      </c>
      <c r="B1538" s="90">
        <v>44816.0</v>
      </c>
      <c r="C1538" s="102">
        <v>2092.0</v>
      </c>
      <c r="D1538" s="103" t="s">
        <v>226</v>
      </c>
      <c r="E1538" s="102">
        <v>0.0</v>
      </c>
      <c r="F1538" s="103" t="s">
        <v>227</v>
      </c>
      <c r="G1538" s="102">
        <v>0.0</v>
      </c>
      <c r="H1538" s="103"/>
      <c r="I1538" s="103"/>
      <c r="J1538" s="103"/>
      <c r="K1538" s="89">
        <v>0.4693</v>
      </c>
      <c r="L1538" s="89">
        <v>0.2949</v>
      </c>
      <c r="M1538" s="88"/>
      <c r="N1538" s="88"/>
    </row>
    <row r="1539">
      <c r="A1539" s="90">
        <v>44816.0</v>
      </c>
      <c r="B1539" s="90">
        <v>44816.0</v>
      </c>
      <c r="C1539" s="102">
        <v>2031.0</v>
      </c>
      <c r="D1539" s="103" t="s">
        <v>226</v>
      </c>
      <c r="E1539" s="102">
        <v>0.0</v>
      </c>
      <c r="F1539" s="103" t="s">
        <v>228</v>
      </c>
      <c r="G1539" s="102">
        <v>0.0</v>
      </c>
      <c r="H1539" s="103"/>
      <c r="I1539" s="103"/>
      <c r="J1539" s="103"/>
      <c r="K1539" s="89">
        <v>1.5602</v>
      </c>
      <c r="L1539" s="89">
        <v>1.0103</v>
      </c>
      <c r="M1539" s="88"/>
      <c r="N1539" s="88"/>
    </row>
    <row r="1540">
      <c r="A1540" s="90">
        <v>44816.0</v>
      </c>
      <c r="B1540" s="90">
        <v>44816.0</v>
      </c>
      <c r="C1540" s="102">
        <v>2031.0</v>
      </c>
      <c r="D1540" s="103" t="s">
        <v>226</v>
      </c>
      <c r="E1540" s="102">
        <v>0.0</v>
      </c>
      <c r="F1540" s="103" t="s">
        <v>227</v>
      </c>
      <c r="G1540" s="102">
        <v>0.0</v>
      </c>
      <c r="H1540" s="103"/>
      <c r="I1540" s="103"/>
      <c r="J1540" s="103"/>
      <c r="K1540" s="89">
        <v>0.4223</v>
      </c>
      <c r="L1540" s="89">
        <v>0.2825</v>
      </c>
      <c r="M1540" s="88"/>
      <c r="N1540" s="88"/>
    </row>
    <row r="1541">
      <c r="A1541" s="90">
        <v>44816.0</v>
      </c>
      <c r="B1541" s="90">
        <v>44816.0</v>
      </c>
      <c r="C1541" s="102">
        <v>2031.0</v>
      </c>
      <c r="D1541" s="103" t="s">
        <v>226</v>
      </c>
      <c r="E1541" s="102">
        <v>1.0</v>
      </c>
      <c r="F1541" s="103" t="s">
        <v>227</v>
      </c>
      <c r="G1541" s="102">
        <v>1.0</v>
      </c>
      <c r="H1541" s="103"/>
      <c r="I1541" s="103"/>
      <c r="J1541" s="103"/>
      <c r="K1541" s="89">
        <v>0.765</v>
      </c>
      <c r="L1541" s="89">
        <v>0.5001</v>
      </c>
      <c r="M1541" s="88"/>
      <c r="N1541" s="88"/>
    </row>
    <row r="1542">
      <c r="A1542" s="90">
        <v>44816.0</v>
      </c>
      <c r="B1542" s="90">
        <v>44816.0</v>
      </c>
      <c r="C1542" s="102">
        <v>2089.0</v>
      </c>
      <c r="D1542" s="103" t="s">
        <v>226</v>
      </c>
      <c r="E1542" s="102">
        <v>0.0</v>
      </c>
      <c r="F1542" s="103" t="s">
        <v>228</v>
      </c>
      <c r="G1542" s="102">
        <v>0.0</v>
      </c>
      <c r="H1542" s="103"/>
      <c r="I1542" s="103"/>
      <c r="J1542" s="103"/>
      <c r="K1542" s="89">
        <v>3.0708</v>
      </c>
      <c r="L1542" s="89">
        <v>2.4351</v>
      </c>
      <c r="M1542" s="88"/>
      <c r="N1542" s="88"/>
    </row>
    <row r="1543">
      <c r="A1543" s="90">
        <v>44816.0</v>
      </c>
      <c r="B1543" s="90">
        <v>44816.0</v>
      </c>
      <c r="C1543" s="102">
        <v>2089.0</v>
      </c>
      <c r="D1543" s="103" t="s">
        <v>226</v>
      </c>
      <c r="E1543" s="102">
        <v>0.0</v>
      </c>
      <c r="F1543" s="103" t="s">
        <v>227</v>
      </c>
      <c r="G1543" s="102">
        <v>0.0</v>
      </c>
      <c r="H1543" s="103"/>
      <c r="I1543" s="103"/>
      <c r="J1543" s="103"/>
      <c r="K1543" s="89">
        <v>0.5506</v>
      </c>
      <c r="L1543" s="89">
        <v>0.3439</v>
      </c>
      <c r="M1543" s="88"/>
      <c r="N1543" s="88"/>
    </row>
    <row r="1544">
      <c r="A1544" s="90">
        <v>44816.0</v>
      </c>
      <c r="B1544" s="90">
        <v>44816.0</v>
      </c>
      <c r="C1544" s="102">
        <v>2343.0</v>
      </c>
      <c r="D1544" s="103" t="s">
        <v>226</v>
      </c>
      <c r="E1544" s="102">
        <v>0.0</v>
      </c>
      <c r="F1544" s="103" t="s">
        <v>228</v>
      </c>
      <c r="G1544" s="102">
        <v>0.0</v>
      </c>
      <c r="H1544" s="103"/>
      <c r="I1544" s="103"/>
      <c r="J1544" s="103"/>
      <c r="K1544" s="89">
        <v>2.1724</v>
      </c>
      <c r="L1544" s="89">
        <v>1.1521</v>
      </c>
      <c r="M1544" s="88"/>
      <c r="N1544" s="88"/>
    </row>
    <row r="1545">
      <c r="A1545" s="90">
        <v>44816.0</v>
      </c>
      <c r="B1545" s="90">
        <v>44816.0</v>
      </c>
      <c r="C1545" s="102">
        <v>2345.0</v>
      </c>
      <c r="D1545" s="103" t="s">
        <v>226</v>
      </c>
      <c r="E1545" s="102">
        <v>1.0</v>
      </c>
      <c r="F1545" s="103" t="s">
        <v>228</v>
      </c>
      <c r="G1545" s="102">
        <v>1.0</v>
      </c>
      <c r="H1545" s="103"/>
      <c r="I1545" s="103"/>
      <c r="J1545" s="103"/>
      <c r="K1545" s="89">
        <v>0.7844</v>
      </c>
      <c r="L1545" s="89">
        <v>0.4759</v>
      </c>
      <c r="M1545" s="88"/>
      <c r="N1545" s="88"/>
    </row>
    <row r="1546">
      <c r="A1546" s="90">
        <v>44816.0</v>
      </c>
      <c r="B1546" s="90">
        <v>44816.0</v>
      </c>
      <c r="C1546" s="102">
        <v>2006.0</v>
      </c>
      <c r="D1546" s="103" t="s">
        <v>226</v>
      </c>
      <c r="E1546" s="102">
        <v>1.0</v>
      </c>
      <c r="F1546" s="103" t="s">
        <v>227</v>
      </c>
      <c r="G1546" s="102">
        <v>1.0</v>
      </c>
      <c r="H1546" s="103"/>
      <c r="I1546" s="103"/>
      <c r="J1546" s="103"/>
      <c r="K1546" s="89">
        <v>1.242</v>
      </c>
      <c r="L1546" s="89">
        <v>0.6959</v>
      </c>
      <c r="M1546" s="88"/>
      <c r="N1546" s="88"/>
    </row>
    <row r="1547">
      <c r="A1547" s="90">
        <v>44816.0</v>
      </c>
      <c r="B1547" s="90">
        <v>44816.0</v>
      </c>
      <c r="C1547" s="102">
        <v>2006.0</v>
      </c>
      <c r="D1547" s="103" t="s">
        <v>226</v>
      </c>
      <c r="E1547" s="102">
        <v>0.0</v>
      </c>
      <c r="F1547" s="103" t="s">
        <v>228</v>
      </c>
      <c r="G1547" s="102">
        <v>0.0</v>
      </c>
      <c r="H1547" s="103"/>
      <c r="I1547" s="103"/>
      <c r="J1547" s="103"/>
      <c r="K1547" s="89">
        <v>2.3028</v>
      </c>
      <c r="L1547" s="89">
        <v>1.1249</v>
      </c>
      <c r="M1547" s="88"/>
      <c r="N1547" s="88"/>
    </row>
    <row r="1548">
      <c r="A1548" s="90">
        <v>44816.0</v>
      </c>
      <c r="B1548" s="90">
        <v>44816.0</v>
      </c>
      <c r="C1548" s="102">
        <v>2331.0</v>
      </c>
      <c r="D1548" s="103" t="s">
        <v>226</v>
      </c>
      <c r="E1548" s="102">
        <v>1.0</v>
      </c>
      <c r="F1548" s="103" t="s">
        <v>228</v>
      </c>
      <c r="G1548" s="102">
        <v>1.0</v>
      </c>
      <c r="H1548" s="103"/>
      <c r="I1548" s="103"/>
      <c r="J1548" s="103"/>
      <c r="K1548" s="89">
        <v>6.76</v>
      </c>
      <c r="L1548" s="89">
        <v>4.3071</v>
      </c>
      <c r="M1548" s="88"/>
      <c r="N1548" s="88"/>
    </row>
    <row r="1549">
      <c r="A1549" s="90">
        <v>44816.0</v>
      </c>
      <c r="B1549" s="90">
        <v>44816.0</v>
      </c>
      <c r="C1549" s="102">
        <v>2343.0</v>
      </c>
      <c r="D1549" s="103" t="s">
        <v>226</v>
      </c>
      <c r="E1549" s="102">
        <v>0.0</v>
      </c>
      <c r="F1549" s="103" t="s">
        <v>228</v>
      </c>
      <c r="G1549" s="102">
        <v>0.0</v>
      </c>
      <c r="H1549" s="103"/>
      <c r="I1549" s="103"/>
      <c r="J1549" s="103"/>
      <c r="K1549" s="89">
        <v>2.5997</v>
      </c>
      <c r="L1549" s="89">
        <v>1.504</v>
      </c>
      <c r="M1549" s="88"/>
      <c r="N1549" s="88"/>
    </row>
    <row r="1550">
      <c r="A1550" s="90">
        <v>44816.0</v>
      </c>
      <c r="B1550" s="90">
        <v>44816.0</v>
      </c>
      <c r="C1550" s="102">
        <v>2331.0</v>
      </c>
      <c r="D1550" s="103" t="s">
        <v>226</v>
      </c>
      <c r="E1550" s="102">
        <v>0.0</v>
      </c>
      <c r="F1550" s="103" t="s">
        <v>228</v>
      </c>
      <c r="G1550" s="102">
        <v>0.0</v>
      </c>
      <c r="H1550" s="103"/>
      <c r="I1550" s="103"/>
      <c r="J1550" s="103"/>
      <c r="K1550" s="89">
        <v>0.9688</v>
      </c>
      <c r="L1550" s="89">
        <v>0.6207</v>
      </c>
      <c r="M1550" s="88"/>
      <c r="N1550" s="88"/>
    </row>
    <row r="1551">
      <c r="A1551" s="90">
        <v>44816.0</v>
      </c>
      <c r="B1551" s="90">
        <v>44816.0</v>
      </c>
      <c r="C1551" s="102">
        <v>2345.0</v>
      </c>
      <c r="D1551" s="103" t="s">
        <v>226</v>
      </c>
      <c r="E1551" s="102">
        <v>1.0</v>
      </c>
      <c r="F1551" s="103" t="s">
        <v>228</v>
      </c>
      <c r="G1551" s="102">
        <v>1.0</v>
      </c>
      <c r="H1551" s="103"/>
      <c r="I1551" s="103"/>
      <c r="J1551" s="103"/>
      <c r="K1551" s="89">
        <v>5.7045</v>
      </c>
      <c r="L1551" s="89">
        <v>3.347</v>
      </c>
      <c r="M1551" s="88"/>
      <c r="N1551" s="88"/>
    </row>
    <row r="1552">
      <c r="A1552" s="90">
        <v>44816.0</v>
      </c>
      <c r="B1552" s="90">
        <v>44816.0</v>
      </c>
      <c r="C1552" s="102">
        <v>2028.0</v>
      </c>
      <c r="D1552" s="103" t="s">
        <v>226</v>
      </c>
      <c r="E1552" s="102">
        <v>0.0</v>
      </c>
      <c r="F1552" s="103" t="s">
        <v>227</v>
      </c>
      <c r="G1552" s="102">
        <v>0.0</v>
      </c>
      <c r="H1552" s="103"/>
      <c r="I1552" s="103"/>
      <c r="J1552" s="103"/>
      <c r="K1552" s="89">
        <v>0.2754</v>
      </c>
      <c r="L1552" s="89">
        <v>0.1853</v>
      </c>
      <c r="M1552" s="88"/>
      <c r="N1552" s="88"/>
    </row>
    <row r="1553">
      <c r="A1553" s="90">
        <v>44816.0</v>
      </c>
      <c r="B1553" s="90">
        <v>44816.0</v>
      </c>
      <c r="C1553" s="102">
        <v>2028.0</v>
      </c>
      <c r="D1553" s="103" t="s">
        <v>226</v>
      </c>
      <c r="E1553" s="102">
        <v>1.0</v>
      </c>
      <c r="F1553" s="103" t="s">
        <v>227</v>
      </c>
      <c r="G1553" s="102">
        <v>1.0</v>
      </c>
      <c r="H1553" s="103"/>
      <c r="I1553" s="103"/>
      <c r="J1553" s="103"/>
      <c r="K1553" s="89">
        <v>1.008</v>
      </c>
      <c r="L1553" s="89">
        <v>0.6558</v>
      </c>
      <c r="M1553" s="88"/>
      <c r="N1553" s="88"/>
    </row>
    <row r="1554">
      <c r="A1554" s="90">
        <v>44816.0</v>
      </c>
      <c r="B1554" s="90">
        <v>44816.0</v>
      </c>
      <c r="C1554" s="102">
        <v>2011.0</v>
      </c>
      <c r="D1554" s="103" t="s">
        <v>226</v>
      </c>
      <c r="E1554" s="102">
        <v>0.0</v>
      </c>
      <c r="F1554" s="103" t="s">
        <v>228</v>
      </c>
      <c r="G1554" s="102">
        <v>0.0</v>
      </c>
      <c r="H1554" s="103"/>
      <c r="I1554" s="103"/>
      <c r="J1554" s="103"/>
      <c r="K1554" s="89">
        <v>2.2668</v>
      </c>
      <c r="L1554" s="89">
        <v>1.3906</v>
      </c>
      <c r="M1554" s="88"/>
      <c r="N1554" s="88"/>
    </row>
    <row r="1555">
      <c r="A1555" s="90">
        <v>44816.0</v>
      </c>
      <c r="B1555" s="90">
        <v>44816.0</v>
      </c>
      <c r="C1555" s="102">
        <v>2011.0</v>
      </c>
      <c r="D1555" s="103" t="s">
        <v>226</v>
      </c>
      <c r="E1555" s="102">
        <v>0.0</v>
      </c>
      <c r="F1555" s="103" t="s">
        <v>227</v>
      </c>
      <c r="G1555" s="102">
        <v>0.0</v>
      </c>
      <c r="H1555" s="103"/>
      <c r="I1555" s="103"/>
      <c r="J1555" s="103"/>
      <c r="K1555" s="89">
        <v>0.4723</v>
      </c>
      <c r="L1555" s="89">
        <v>0.3038</v>
      </c>
      <c r="M1555" s="88"/>
      <c r="N1555" s="88"/>
    </row>
    <row r="1556">
      <c r="A1556" s="90">
        <v>44816.0</v>
      </c>
      <c r="B1556" s="90">
        <v>44816.0</v>
      </c>
      <c r="C1556" s="102">
        <v>2011.0</v>
      </c>
      <c r="D1556" s="103" t="s">
        <v>226</v>
      </c>
      <c r="E1556" s="102">
        <v>1.0</v>
      </c>
      <c r="F1556" s="103" t="s">
        <v>227</v>
      </c>
      <c r="G1556" s="102">
        <v>1.0</v>
      </c>
      <c r="H1556" s="103"/>
      <c r="I1556" s="103"/>
      <c r="J1556" s="103"/>
      <c r="K1556" s="89">
        <v>0.6665</v>
      </c>
      <c r="L1556" s="89">
        <v>0.4132</v>
      </c>
      <c r="M1556" s="88"/>
      <c r="N1556" s="88"/>
    </row>
    <row r="1557">
      <c r="A1557" s="90">
        <v>44816.0</v>
      </c>
      <c r="B1557" s="90">
        <v>44816.0</v>
      </c>
      <c r="C1557" s="102">
        <v>2381.0</v>
      </c>
      <c r="D1557" s="103" t="s">
        <v>226</v>
      </c>
      <c r="E1557" s="102">
        <v>0.0</v>
      </c>
      <c r="F1557" s="103" t="s">
        <v>228</v>
      </c>
      <c r="G1557" s="102">
        <v>0.0</v>
      </c>
      <c r="H1557" s="103"/>
      <c r="I1557" s="103"/>
      <c r="J1557" s="103"/>
      <c r="K1557" s="89">
        <v>1.7554</v>
      </c>
      <c r="L1557" s="89">
        <v>0.987</v>
      </c>
      <c r="M1557" s="88"/>
      <c r="N1557" s="88"/>
    </row>
    <row r="1558">
      <c r="A1558" s="90">
        <v>44816.0</v>
      </c>
      <c r="B1558" s="90">
        <v>44816.0</v>
      </c>
      <c r="C1558" s="102">
        <v>2006.0</v>
      </c>
      <c r="D1558" s="103" t="s">
        <v>226</v>
      </c>
      <c r="E1558" s="102">
        <v>1.0</v>
      </c>
      <c r="F1558" s="103" t="s">
        <v>227</v>
      </c>
      <c r="G1558" s="102">
        <v>1.0</v>
      </c>
      <c r="H1558" s="103"/>
      <c r="I1558" s="103"/>
      <c r="J1558" s="103"/>
      <c r="K1558" s="89">
        <v>1.251</v>
      </c>
      <c r="L1558" s="89">
        <v>0.7492</v>
      </c>
      <c r="M1558" s="88"/>
      <c r="N1558" s="88"/>
    </row>
    <row r="1559">
      <c r="A1559" s="90">
        <v>44816.0</v>
      </c>
      <c r="B1559" s="90">
        <v>44816.0</v>
      </c>
      <c r="C1559" s="102">
        <v>2301.0</v>
      </c>
      <c r="D1559" s="103" t="s">
        <v>226</v>
      </c>
      <c r="E1559" s="102">
        <v>0.0</v>
      </c>
      <c r="F1559" s="103" t="s">
        <v>228</v>
      </c>
      <c r="G1559" s="102">
        <v>0.0</v>
      </c>
      <c r="H1559" s="103"/>
      <c r="I1559" s="103"/>
      <c r="J1559" s="103"/>
      <c r="K1559" s="89">
        <v>7.8907</v>
      </c>
      <c r="L1559" s="89">
        <v>4.8774</v>
      </c>
      <c r="M1559" s="88"/>
      <c r="N1559" s="88"/>
    </row>
    <row r="1560">
      <c r="A1560" s="90">
        <v>44816.0</v>
      </c>
      <c r="B1560" s="90">
        <v>44816.0</v>
      </c>
      <c r="C1560" s="102">
        <v>2381.0</v>
      </c>
      <c r="D1560" s="103" t="s">
        <v>226</v>
      </c>
      <c r="E1560" s="102">
        <v>0.0</v>
      </c>
      <c r="F1560" s="103" t="s">
        <v>227</v>
      </c>
      <c r="G1560" s="102">
        <v>0.0</v>
      </c>
      <c r="H1560" s="103"/>
      <c r="I1560" s="103"/>
      <c r="J1560" s="103"/>
      <c r="K1560" s="89">
        <v>0.4382</v>
      </c>
      <c r="L1560" s="89">
        <v>0.2664</v>
      </c>
      <c r="M1560" s="88"/>
      <c r="N1560" s="88"/>
    </row>
    <row r="1561">
      <c r="A1561" s="90">
        <v>44816.0</v>
      </c>
      <c r="B1561" s="90">
        <v>44816.0</v>
      </c>
      <c r="C1561" s="102">
        <v>2381.0</v>
      </c>
      <c r="D1561" s="103" t="s">
        <v>226</v>
      </c>
      <c r="E1561" s="102">
        <v>1.0</v>
      </c>
      <c r="F1561" s="103" t="s">
        <v>227</v>
      </c>
      <c r="G1561" s="102">
        <v>1.0</v>
      </c>
      <c r="H1561" s="103"/>
      <c r="I1561" s="103"/>
      <c r="J1561" s="103"/>
      <c r="K1561" s="89">
        <v>0.667</v>
      </c>
      <c r="L1561" s="89">
        <v>0.3903</v>
      </c>
      <c r="M1561" s="88"/>
      <c r="N1561" s="88"/>
    </row>
    <row r="1562">
      <c r="A1562" s="90">
        <v>44816.0</v>
      </c>
      <c r="B1562" s="90">
        <v>44816.0</v>
      </c>
      <c r="C1562" s="102">
        <v>2354.0</v>
      </c>
      <c r="D1562" s="103" t="s">
        <v>226</v>
      </c>
      <c r="E1562" s="102">
        <v>0.0</v>
      </c>
      <c r="F1562" s="103" t="s">
        <v>228</v>
      </c>
      <c r="G1562" s="102">
        <v>0.0</v>
      </c>
      <c r="H1562" s="103"/>
      <c r="I1562" s="103"/>
      <c r="J1562" s="103"/>
      <c r="K1562" s="89">
        <v>1.5121</v>
      </c>
      <c r="L1562" s="89">
        <v>0.9045</v>
      </c>
      <c r="M1562" s="88"/>
      <c r="N1562" s="88"/>
    </row>
    <row r="1563">
      <c r="A1563" s="90">
        <v>44816.0</v>
      </c>
      <c r="B1563" s="90">
        <v>44816.0</v>
      </c>
      <c r="C1563" s="102">
        <v>2354.0</v>
      </c>
      <c r="D1563" s="103" t="s">
        <v>226</v>
      </c>
      <c r="E1563" s="102">
        <v>1.0</v>
      </c>
      <c r="F1563" s="103" t="s">
        <v>228</v>
      </c>
      <c r="G1563" s="102">
        <v>1.0</v>
      </c>
      <c r="H1563" s="103"/>
      <c r="I1563" s="103"/>
      <c r="J1563" s="103"/>
      <c r="K1563" s="89">
        <v>2.5153</v>
      </c>
      <c r="L1563" s="89">
        <v>1.5191</v>
      </c>
      <c r="M1563" s="88"/>
      <c r="N1563" s="88"/>
    </row>
    <row r="1564">
      <c r="A1564" s="90">
        <v>44816.0</v>
      </c>
      <c r="B1564" s="90">
        <v>44816.0</v>
      </c>
      <c r="C1564" s="102">
        <v>2093.0</v>
      </c>
      <c r="D1564" s="103" t="s">
        <v>226</v>
      </c>
      <c r="E1564" s="102">
        <v>1.0</v>
      </c>
      <c r="F1564" s="103" t="s">
        <v>227</v>
      </c>
      <c r="G1564" s="102">
        <v>1.0</v>
      </c>
      <c r="H1564" s="103"/>
      <c r="I1564" s="103"/>
      <c r="J1564" s="103"/>
      <c r="K1564" s="89">
        <v>0.9571</v>
      </c>
      <c r="L1564" s="89">
        <v>0.506</v>
      </c>
      <c r="M1564" s="88"/>
      <c r="N1564" s="88"/>
    </row>
    <row r="1565">
      <c r="A1565" s="90">
        <v>44816.0</v>
      </c>
      <c r="B1565" s="90">
        <v>44816.0</v>
      </c>
      <c r="C1565" s="102">
        <v>2354.0</v>
      </c>
      <c r="D1565" s="103" t="s">
        <v>226</v>
      </c>
      <c r="E1565" s="102">
        <v>0.0</v>
      </c>
      <c r="F1565" s="103" t="s">
        <v>228</v>
      </c>
      <c r="G1565" s="102">
        <v>0.0</v>
      </c>
      <c r="H1565" s="103"/>
      <c r="I1565" s="103"/>
      <c r="J1565" s="103"/>
      <c r="K1565" s="89">
        <v>3.791</v>
      </c>
      <c r="L1565" s="89">
        <v>2.3263</v>
      </c>
      <c r="M1565" s="88"/>
      <c r="N1565" s="88"/>
    </row>
    <row r="1566">
      <c r="A1566" s="90">
        <v>44816.0</v>
      </c>
      <c r="B1566" s="90">
        <v>44816.0</v>
      </c>
      <c r="C1566" s="102">
        <v>2028.0</v>
      </c>
      <c r="D1566" s="103" t="s">
        <v>226</v>
      </c>
      <c r="E1566" s="102">
        <v>0.0</v>
      </c>
      <c r="F1566" s="103" t="s">
        <v>228</v>
      </c>
      <c r="G1566" s="102">
        <v>0.0</v>
      </c>
      <c r="H1566" s="103"/>
      <c r="I1566" s="103"/>
      <c r="J1566" s="103"/>
      <c r="K1566" s="89">
        <v>3.918</v>
      </c>
      <c r="L1566" s="89">
        <v>2.4941</v>
      </c>
      <c r="M1566" s="88"/>
      <c r="N1566" s="88"/>
    </row>
    <row r="1567">
      <c r="A1567" s="90">
        <v>44816.0</v>
      </c>
      <c r="B1567" s="90">
        <v>44816.0</v>
      </c>
      <c r="C1567" s="102">
        <v>2370.0</v>
      </c>
      <c r="D1567" s="103" t="s">
        <v>226</v>
      </c>
      <c r="E1567" s="102">
        <v>0.0</v>
      </c>
      <c r="F1567" s="103" t="s">
        <v>228</v>
      </c>
      <c r="G1567" s="102">
        <v>0.0</v>
      </c>
      <c r="H1567" s="103"/>
      <c r="I1567" s="103"/>
      <c r="J1567" s="103"/>
      <c r="K1567" s="89">
        <v>2.7696</v>
      </c>
      <c r="L1567" s="89">
        <v>1.6425</v>
      </c>
      <c r="M1567" s="88"/>
      <c r="N1567" s="88"/>
    </row>
    <row r="1568">
      <c r="A1568" s="90">
        <v>44816.0</v>
      </c>
      <c r="B1568" s="90">
        <v>44816.0</v>
      </c>
      <c r="C1568" s="102">
        <v>2007.0</v>
      </c>
      <c r="D1568" s="103" t="s">
        <v>226</v>
      </c>
      <c r="E1568" s="102">
        <v>0.0</v>
      </c>
      <c r="F1568" s="103" t="s">
        <v>227</v>
      </c>
      <c r="G1568" s="102">
        <v>0.0</v>
      </c>
      <c r="H1568" s="103"/>
      <c r="I1568" s="103"/>
      <c r="J1568" s="103"/>
      <c r="K1568" s="89">
        <v>0.52</v>
      </c>
      <c r="L1568" s="89">
        <v>0.2625</v>
      </c>
      <c r="M1568" s="88"/>
      <c r="N1568" s="88"/>
    </row>
    <row r="1569">
      <c r="A1569" s="90">
        <v>44816.0</v>
      </c>
      <c r="B1569" s="90">
        <v>44816.0</v>
      </c>
      <c r="C1569" s="102">
        <v>2007.0</v>
      </c>
      <c r="D1569" s="103" t="s">
        <v>226</v>
      </c>
      <c r="E1569" s="102">
        <v>1.0</v>
      </c>
      <c r="F1569" s="103" t="s">
        <v>227</v>
      </c>
      <c r="G1569" s="102">
        <v>1.0</v>
      </c>
      <c r="H1569" s="103"/>
      <c r="I1569" s="103"/>
      <c r="J1569" s="103"/>
      <c r="K1569" s="89">
        <v>0.26</v>
      </c>
      <c r="L1569" s="89">
        <v>0.0163</v>
      </c>
      <c r="M1569" s="88"/>
      <c r="N1569" s="88"/>
    </row>
    <row r="1570">
      <c r="A1570" s="90">
        <v>44816.0</v>
      </c>
      <c r="B1570" s="90">
        <v>44816.0</v>
      </c>
      <c r="C1570" s="102">
        <v>2377.0</v>
      </c>
      <c r="D1570" s="103" t="s">
        <v>226</v>
      </c>
      <c r="E1570" s="102">
        <v>0.0</v>
      </c>
      <c r="F1570" s="103" t="s">
        <v>227</v>
      </c>
      <c r="G1570" s="102">
        <v>0.0</v>
      </c>
      <c r="H1570" s="103"/>
      <c r="I1570" s="103"/>
      <c r="J1570" s="103"/>
      <c r="K1570" s="89">
        <v>0.302</v>
      </c>
      <c r="L1570" s="89">
        <v>0.1753</v>
      </c>
      <c r="M1570" s="88"/>
      <c r="N1570" s="88"/>
    </row>
    <row r="1571">
      <c r="A1571" s="90">
        <v>44816.0</v>
      </c>
      <c r="B1571" s="90">
        <v>44816.0</v>
      </c>
      <c r="C1571" s="102">
        <v>2010.0</v>
      </c>
      <c r="D1571" s="103" t="s">
        <v>226</v>
      </c>
      <c r="E1571" s="102">
        <v>0.0</v>
      </c>
      <c r="F1571" s="103" t="s">
        <v>228</v>
      </c>
      <c r="G1571" s="102">
        <v>0.0</v>
      </c>
      <c r="H1571" s="103"/>
      <c r="I1571" s="103"/>
      <c r="J1571" s="103"/>
      <c r="K1571" s="89">
        <v>2.2707</v>
      </c>
      <c r="L1571" s="89">
        <v>1.4702</v>
      </c>
      <c r="M1571" s="88"/>
      <c r="N1571" s="88"/>
    </row>
    <row r="1572">
      <c r="A1572" s="90">
        <v>44816.0</v>
      </c>
      <c r="B1572" s="90">
        <v>44816.0</v>
      </c>
      <c r="C1572" s="102">
        <v>2352.0</v>
      </c>
      <c r="D1572" s="103" t="s">
        <v>226</v>
      </c>
      <c r="E1572" s="102">
        <v>1.0</v>
      </c>
      <c r="F1572" s="103" t="s">
        <v>228</v>
      </c>
      <c r="G1572" s="102">
        <v>1.0</v>
      </c>
      <c r="H1572" s="103"/>
      <c r="I1572" s="103"/>
      <c r="J1572" s="103"/>
      <c r="K1572" s="89">
        <v>2.0466</v>
      </c>
      <c r="L1572" s="89">
        <v>1.3162</v>
      </c>
      <c r="M1572" s="88"/>
      <c r="N1572" s="88"/>
    </row>
    <row r="1573">
      <c r="A1573" s="90">
        <v>44816.0</v>
      </c>
      <c r="B1573" s="90">
        <v>44816.0</v>
      </c>
      <c r="C1573" s="102">
        <v>2377.0</v>
      </c>
      <c r="D1573" s="103" t="s">
        <v>226</v>
      </c>
      <c r="E1573" s="102">
        <v>0.0</v>
      </c>
      <c r="F1573" s="103" t="s">
        <v>228</v>
      </c>
      <c r="G1573" s="102">
        <v>0.0</v>
      </c>
      <c r="H1573" s="103"/>
      <c r="I1573" s="103"/>
      <c r="J1573" s="103"/>
      <c r="K1573" s="89">
        <v>1.032</v>
      </c>
      <c r="L1573" s="89">
        <v>0.6233</v>
      </c>
      <c r="M1573" s="88"/>
      <c r="N1573" s="88"/>
    </row>
    <row r="1574">
      <c r="A1574" s="90">
        <v>44816.0</v>
      </c>
      <c r="B1574" s="90">
        <v>44816.0</v>
      </c>
      <c r="C1574" s="102">
        <v>2089.0</v>
      </c>
      <c r="D1574" s="103" t="s">
        <v>226</v>
      </c>
      <c r="E1574" s="102">
        <v>1.0</v>
      </c>
      <c r="F1574" s="103" t="s">
        <v>227</v>
      </c>
      <c r="G1574" s="102">
        <v>1.0</v>
      </c>
      <c r="H1574" s="103"/>
      <c r="I1574" s="103"/>
      <c r="J1574" s="103"/>
      <c r="K1574" s="89">
        <v>0.811</v>
      </c>
      <c r="L1574" s="89">
        <v>0.4721</v>
      </c>
      <c r="M1574" s="88"/>
      <c r="N1574" s="88"/>
    </row>
    <row r="1575">
      <c r="A1575" s="90">
        <v>44816.0</v>
      </c>
      <c r="B1575" s="90">
        <v>44816.0</v>
      </c>
      <c r="C1575" s="102">
        <v>2085.0</v>
      </c>
      <c r="D1575" s="103" t="s">
        <v>226</v>
      </c>
      <c r="E1575" s="102">
        <v>0.0</v>
      </c>
      <c r="F1575" s="103" t="s">
        <v>228</v>
      </c>
      <c r="G1575" s="102">
        <v>0.0</v>
      </c>
      <c r="H1575" s="103"/>
      <c r="I1575" s="103"/>
      <c r="J1575" s="103"/>
      <c r="K1575" s="89">
        <v>3.972</v>
      </c>
      <c r="L1575" s="89">
        <v>2.0509</v>
      </c>
      <c r="M1575" s="88"/>
      <c r="N1575" s="88"/>
    </row>
    <row r="1576">
      <c r="A1576" s="90">
        <v>44816.0</v>
      </c>
      <c r="B1576" s="90">
        <v>44816.0</v>
      </c>
      <c r="C1576" s="102">
        <v>2022.0</v>
      </c>
      <c r="D1576" s="103" t="s">
        <v>226</v>
      </c>
      <c r="E1576" s="102">
        <v>0.0</v>
      </c>
      <c r="F1576" s="103" t="s">
        <v>228</v>
      </c>
      <c r="G1576" s="102">
        <v>0.0</v>
      </c>
      <c r="H1576" s="103"/>
      <c r="I1576" s="103"/>
      <c r="J1576" s="103"/>
      <c r="K1576" s="89">
        <v>4.3705</v>
      </c>
      <c r="L1576" s="89">
        <v>2.3756</v>
      </c>
      <c r="M1576" s="88"/>
      <c r="N1576" s="88"/>
    </row>
    <row r="1577">
      <c r="A1577" s="90">
        <v>44816.0</v>
      </c>
      <c r="B1577" s="90">
        <v>44816.0</v>
      </c>
      <c r="C1577" s="102">
        <v>2022.0</v>
      </c>
      <c r="D1577" s="103" t="s">
        <v>226</v>
      </c>
      <c r="E1577" s="102">
        <v>1.0</v>
      </c>
      <c r="F1577" s="103" t="s">
        <v>227</v>
      </c>
      <c r="G1577" s="102">
        <v>1.0</v>
      </c>
      <c r="H1577" s="103"/>
      <c r="I1577" s="103"/>
      <c r="J1577" s="103"/>
      <c r="K1577" s="89">
        <v>0.5118</v>
      </c>
      <c r="L1577" s="89">
        <v>0.2727</v>
      </c>
      <c r="M1577" s="88"/>
      <c r="N1577" s="88"/>
    </row>
    <row r="1578">
      <c r="A1578" s="90">
        <v>44816.0</v>
      </c>
      <c r="B1578" s="90">
        <v>44816.0</v>
      </c>
      <c r="C1578" s="102">
        <v>2022.0</v>
      </c>
      <c r="D1578" s="103" t="s">
        <v>226</v>
      </c>
      <c r="E1578" s="102">
        <v>0.0</v>
      </c>
      <c r="F1578" s="103" t="s">
        <v>227</v>
      </c>
      <c r="G1578" s="102">
        <v>0.0</v>
      </c>
      <c r="H1578" s="103"/>
      <c r="I1578" s="103"/>
      <c r="J1578" s="103"/>
      <c r="K1578" s="89">
        <v>0.3175</v>
      </c>
      <c r="L1578" s="89">
        <v>0.164</v>
      </c>
      <c r="M1578" s="88"/>
      <c r="N1578" s="88"/>
    </row>
    <row r="1579">
      <c r="A1579" s="90">
        <v>44816.0</v>
      </c>
      <c r="B1579" s="90">
        <v>44816.0</v>
      </c>
      <c r="C1579" s="102">
        <v>2301.0</v>
      </c>
      <c r="D1579" s="103" t="s">
        <v>226</v>
      </c>
      <c r="E1579" s="102">
        <v>0.0</v>
      </c>
      <c r="F1579" s="103" t="s">
        <v>227</v>
      </c>
      <c r="G1579" s="102">
        <v>0.0</v>
      </c>
      <c r="H1579" s="103"/>
      <c r="I1579" s="103"/>
      <c r="J1579" s="103"/>
      <c r="K1579" s="89">
        <v>1.0414</v>
      </c>
      <c r="L1579" s="89">
        <v>0.6463</v>
      </c>
      <c r="M1579" s="88"/>
      <c r="N1579" s="88"/>
    </row>
    <row r="1580">
      <c r="A1580" s="90">
        <v>44816.0</v>
      </c>
      <c r="B1580" s="90">
        <v>44816.0</v>
      </c>
      <c r="C1580" s="102">
        <v>2093.0</v>
      </c>
      <c r="D1580" s="103" t="s">
        <v>226</v>
      </c>
      <c r="E1580" s="102">
        <v>1.0</v>
      </c>
      <c r="F1580" s="103" t="s">
        <v>228</v>
      </c>
      <c r="G1580" s="102">
        <v>1.0</v>
      </c>
      <c r="H1580" s="103"/>
      <c r="I1580" s="103"/>
      <c r="J1580" s="103"/>
      <c r="K1580" s="89">
        <v>4.8509</v>
      </c>
      <c r="L1580" s="89">
        <v>2.8697</v>
      </c>
      <c r="M1580" s="88"/>
      <c r="N1580" s="88"/>
    </row>
    <row r="1581">
      <c r="A1581" s="90">
        <v>44816.0</v>
      </c>
      <c r="B1581" s="90">
        <v>44816.0</v>
      </c>
      <c r="C1581" s="102">
        <v>2354.0</v>
      </c>
      <c r="D1581" s="103" t="s">
        <v>226</v>
      </c>
      <c r="E1581" s="102">
        <v>1.0</v>
      </c>
      <c r="F1581" s="103" t="s">
        <v>227</v>
      </c>
      <c r="G1581" s="102">
        <v>1.0</v>
      </c>
      <c r="H1581" s="103"/>
      <c r="I1581" s="103"/>
      <c r="J1581" s="103"/>
      <c r="K1581" s="89">
        <v>1.0778</v>
      </c>
      <c r="L1581" s="89">
        <v>0.6465</v>
      </c>
      <c r="M1581" s="88"/>
      <c r="N1581" s="88"/>
    </row>
    <row r="1582">
      <c r="A1582" s="90">
        <v>44816.0</v>
      </c>
      <c r="B1582" s="90">
        <v>44816.0</v>
      </c>
      <c r="C1582" s="102">
        <v>2354.0</v>
      </c>
      <c r="D1582" s="103" t="s">
        <v>226</v>
      </c>
      <c r="E1582" s="102">
        <v>0.0</v>
      </c>
      <c r="F1582" s="103" t="s">
        <v>227</v>
      </c>
      <c r="G1582" s="102">
        <v>0.0</v>
      </c>
      <c r="H1582" s="103"/>
      <c r="I1582" s="103"/>
      <c r="J1582" s="103"/>
      <c r="K1582" s="89">
        <v>0.4407</v>
      </c>
      <c r="L1582" s="89">
        <v>0.2646</v>
      </c>
      <c r="M1582" s="88"/>
      <c r="N1582" s="88"/>
    </row>
    <row r="1583">
      <c r="A1583" s="90">
        <v>44816.0</v>
      </c>
      <c r="B1583" s="90">
        <v>44816.0</v>
      </c>
      <c r="C1583" s="102">
        <v>2091.0</v>
      </c>
      <c r="D1583" s="103" t="s">
        <v>226</v>
      </c>
      <c r="E1583" s="102">
        <v>0.0</v>
      </c>
      <c r="F1583" s="103" t="s">
        <v>227</v>
      </c>
      <c r="G1583" s="102">
        <v>0.0</v>
      </c>
      <c r="H1583" s="103"/>
      <c r="I1583" s="103"/>
      <c r="J1583" s="103"/>
      <c r="K1583" s="89">
        <v>0.541</v>
      </c>
      <c r="L1583" s="89">
        <v>0.2777</v>
      </c>
      <c r="M1583" s="88"/>
      <c r="N1583" s="88"/>
    </row>
    <row r="1584">
      <c r="A1584" s="90">
        <v>44816.0</v>
      </c>
      <c r="B1584" s="90">
        <v>44816.0</v>
      </c>
      <c r="C1584" s="102">
        <v>2091.0</v>
      </c>
      <c r="D1584" s="103" t="s">
        <v>226</v>
      </c>
      <c r="E1584" s="102">
        <v>1.0</v>
      </c>
      <c r="F1584" s="103" t="s">
        <v>227</v>
      </c>
      <c r="G1584" s="102">
        <v>1.0</v>
      </c>
      <c r="H1584" s="103"/>
      <c r="I1584" s="103"/>
      <c r="J1584" s="103"/>
      <c r="K1584" s="89">
        <v>0.736</v>
      </c>
      <c r="L1584" s="89">
        <v>0.3933</v>
      </c>
      <c r="M1584" s="88"/>
      <c r="N1584" s="88"/>
    </row>
    <row r="1585">
      <c r="A1585" s="90">
        <v>44816.0</v>
      </c>
      <c r="B1585" s="90">
        <v>44816.0</v>
      </c>
      <c r="C1585" s="102">
        <v>2091.0</v>
      </c>
      <c r="D1585" s="103" t="s">
        <v>226</v>
      </c>
      <c r="E1585" s="102">
        <v>0.0</v>
      </c>
      <c r="F1585" s="103" t="s">
        <v>228</v>
      </c>
      <c r="G1585" s="102">
        <v>0.0</v>
      </c>
      <c r="H1585" s="103"/>
      <c r="I1585" s="103"/>
      <c r="J1585" s="103"/>
      <c r="K1585" s="89">
        <v>2.399</v>
      </c>
      <c r="L1585" s="89">
        <v>1.3063</v>
      </c>
      <c r="M1585" s="88"/>
      <c r="N1585" s="88"/>
    </row>
    <row r="1586">
      <c r="A1586" s="90">
        <v>44816.0</v>
      </c>
      <c r="B1586" s="90">
        <v>44816.0</v>
      </c>
      <c r="C1586" s="102">
        <v>2089.0</v>
      </c>
      <c r="D1586" s="103" t="s">
        <v>226</v>
      </c>
      <c r="E1586" s="102">
        <v>1.0</v>
      </c>
      <c r="F1586" s="103" t="s">
        <v>227</v>
      </c>
      <c r="G1586" s="102">
        <v>1.0</v>
      </c>
      <c r="H1586" s="103"/>
      <c r="I1586" s="103"/>
      <c r="J1586" s="103"/>
      <c r="K1586" s="89">
        <v>1.1371</v>
      </c>
      <c r="L1586" s="89">
        <v>0.7099</v>
      </c>
      <c r="M1586" s="88"/>
      <c r="N1586" s="88"/>
    </row>
    <row r="1587">
      <c r="A1587" s="90">
        <v>44816.0</v>
      </c>
      <c r="B1587" s="90">
        <v>44816.0</v>
      </c>
      <c r="C1587" s="102">
        <v>2089.0</v>
      </c>
      <c r="D1587" s="103" t="s">
        <v>226</v>
      </c>
      <c r="E1587" s="102">
        <v>1.0</v>
      </c>
      <c r="F1587" s="103" t="s">
        <v>228</v>
      </c>
      <c r="G1587" s="102">
        <v>1.0</v>
      </c>
      <c r="H1587" s="103"/>
      <c r="I1587" s="103"/>
      <c r="J1587" s="103"/>
      <c r="K1587" s="89">
        <v>3.9306</v>
      </c>
      <c r="L1587" s="89">
        <v>2.4345</v>
      </c>
      <c r="M1587" s="88"/>
      <c r="N1587" s="88"/>
    </row>
    <row r="1588">
      <c r="A1588" s="90">
        <v>44816.0</v>
      </c>
      <c r="B1588" s="90">
        <v>44816.0</v>
      </c>
      <c r="C1588" s="102">
        <v>2085.0</v>
      </c>
      <c r="D1588" s="103" t="s">
        <v>226</v>
      </c>
      <c r="E1588" s="102">
        <v>0.0</v>
      </c>
      <c r="F1588" s="103" t="s">
        <v>227</v>
      </c>
      <c r="G1588" s="102">
        <v>0.0</v>
      </c>
      <c r="H1588" s="103"/>
      <c r="I1588" s="103"/>
      <c r="J1588" s="103"/>
      <c r="K1588" s="89">
        <v>1.23</v>
      </c>
      <c r="L1588" s="89">
        <v>0.6977</v>
      </c>
      <c r="M1588" s="88"/>
      <c r="N1588" s="88"/>
    </row>
    <row r="1589">
      <c r="A1589" s="90">
        <v>44816.0</v>
      </c>
      <c r="B1589" s="90">
        <v>44816.0</v>
      </c>
      <c r="C1589" s="102">
        <v>2093.0</v>
      </c>
      <c r="D1589" s="103" t="s">
        <v>226</v>
      </c>
      <c r="E1589" s="102">
        <v>0.0</v>
      </c>
      <c r="F1589" s="103" t="s">
        <v>227</v>
      </c>
      <c r="G1589" s="102">
        <v>0.0</v>
      </c>
      <c r="H1589" s="103"/>
      <c r="I1589" s="103"/>
      <c r="J1589" s="103"/>
      <c r="K1589" s="89">
        <v>0.214</v>
      </c>
      <c r="L1589" s="89">
        <v>0.1085</v>
      </c>
      <c r="M1589" s="88"/>
      <c r="N1589" s="88"/>
    </row>
    <row r="1590">
      <c r="A1590" s="90">
        <v>44816.0</v>
      </c>
      <c r="B1590" s="90">
        <v>44816.0</v>
      </c>
      <c r="C1590" s="102">
        <v>2004.0</v>
      </c>
      <c r="D1590" s="103" t="s">
        <v>226</v>
      </c>
      <c r="E1590" s="102">
        <v>1.0</v>
      </c>
      <c r="F1590" s="103" t="s">
        <v>227</v>
      </c>
      <c r="G1590" s="102">
        <v>1.0</v>
      </c>
      <c r="H1590" s="103"/>
      <c r="I1590" s="103"/>
      <c r="J1590" s="103"/>
      <c r="K1590" s="89">
        <v>0.492</v>
      </c>
      <c r="L1590" s="89">
        <v>0.3033</v>
      </c>
      <c r="M1590" s="88"/>
      <c r="N1590" s="88"/>
    </row>
    <row r="1591">
      <c r="A1591" s="90">
        <v>44816.0</v>
      </c>
      <c r="B1591" s="90">
        <v>44816.0</v>
      </c>
      <c r="C1591" s="102">
        <v>2093.0</v>
      </c>
      <c r="D1591" s="103" t="s">
        <v>226</v>
      </c>
      <c r="E1591" s="102">
        <v>1.0</v>
      </c>
      <c r="F1591" s="103" t="s">
        <v>227</v>
      </c>
      <c r="G1591" s="102">
        <v>1.0</v>
      </c>
      <c r="H1591" s="103"/>
      <c r="I1591" s="103"/>
      <c r="J1591" s="103"/>
      <c r="K1591" s="89">
        <v>0.401</v>
      </c>
      <c r="L1591" s="89">
        <v>0.2144</v>
      </c>
      <c r="M1591" s="88"/>
      <c r="N1591" s="88"/>
    </row>
    <row r="1592">
      <c r="A1592" s="90">
        <v>44816.0</v>
      </c>
      <c r="B1592" s="90">
        <v>44816.0</v>
      </c>
      <c r="C1592" s="102">
        <v>2089.0</v>
      </c>
      <c r="D1592" s="103" t="s">
        <v>226</v>
      </c>
      <c r="E1592" s="102">
        <v>0.0</v>
      </c>
      <c r="F1592" s="103" t="s">
        <v>228</v>
      </c>
      <c r="G1592" s="102">
        <v>0.0</v>
      </c>
      <c r="H1592" s="103"/>
      <c r="I1592" s="103"/>
      <c r="J1592" s="103"/>
      <c r="K1592" s="89">
        <v>2.613</v>
      </c>
      <c r="L1592" s="89">
        <v>1.4789</v>
      </c>
      <c r="M1592" s="88"/>
      <c r="N1592" s="88"/>
    </row>
    <row r="1593">
      <c r="A1593" s="90">
        <v>44816.0</v>
      </c>
      <c r="B1593" s="90">
        <v>44816.0</v>
      </c>
      <c r="C1593" s="102">
        <v>2086.0</v>
      </c>
      <c r="D1593" s="103" t="s">
        <v>226</v>
      </c>
      <c r="E1593" s="102">
        <v>0.0</v>
      </c>
      <c r="F1593" s="103" t="s">
        <v>227</v>
      </c>
      <c r="G1593" s="102">
        <v>0.0</v>
      </c>
      <c r="H1593" s="103"/>
      <c r="I1593" s="103"/>
      <c r="J1593" s="103"/>
      <c r="K1593" s="89">
        <v>1.011</v>
      </c>
      <c r="L1593" s="89">
        <v>0.5583</v>
      </c>
      <c r="M1593" s="88"/>
      <c r="N1593" s="88"/>
    </row>
    <row r="1594">
      <c r="A1594" s="90">
        <v>44816.0</v>
      </c>
      <c r="B1594" s="90">
        <v>44816.0</v>
      </c>
      <c r="C1594" s="102">
        <v>2007.0</v>
      </c>
      <c r="D1594" s="103" t="s">
        <v>226</v>
      </c>
      <c r="E1594" s="102">
        <v>0.0</v>
      </c>
      <c r="F1594" s="103" t="s">
        <v>228</v>
      </c>
      <c r="G1594" s="102">
        <v>0.0</v>
      </c>
      <c r="H1594" s="103"/>
      <c r="I1594" s="103"/>
      <c r="J1594" s="103"/>
      <c r="K1594" s="89">
        <v>1.998</v>
      </c>
      <c r="L1594" s="89">
        <v>1.156</v>
      </c>
      <c r="M1594" s="88"/>
      <c r="N1594" s="88"/>
    </row>
    <row r="1595">
      <c r="A1595" s="90">
        <v>44816.0</v>
      </c>
      <c r="B1595" s="90">
        <v>44816.0</v>
      </c>
      <c r="C1595" s="102">
        <v>2009.0</v>
      </c>
      <c r="D1595" s="103" t="s">
        <v>226</v>
      </c>
      <c r="E1595" s="102">
        <v>1.0</v>
      </c>
      <c r="F1595" s="103" t="s">
        <v>227</v>
      </c>
      <c r="G1595" s="102">
        <v>1.0</v>
      </c>
      <c r="H1595" s="103"/>
      <c r="I1595" s="103"/>
      <c r="J1595" s="103"/>
      <c r="K1595" s="89">
        <v>0.828</v>
      </c>
      <c r="L1595" s="89">
        <v>0.486</v>
      </c>
      <c r="M1595" s="88"/>
      <c r="N1595" s="88"/>
    </row>
    <row r="1596">
      <c r="A1596" s="90">
        <v>44816.0</v>
      </c>
      <c r="B1596" s="90">
        <v>44816.0</v>
      </c>
      <c r="C1596" s="102">
        <v>2009.0</v>
      </c>
      <c r="D1596" s="103" t="s">
        <v>226</v>
      </c>
      <c r="E1596" s="102">
        <v>0.0</v>
      </c>
      <c r="F1596" s="103" t="s">
        <v>227</v>
      </c>
      <c r="G1596" s="102">
        <v>0.0</v>
      </c>
      <c r="H1596" s="103"/>
      <c r="I1596" s="103"/>
      <c r="J1596" s="103"/>
      <c r="K1596" s="89">
        <v>0.664</v>
      </c>
      <c r="L1596" s="89">
        <v>0.3887</v>
      </c>
      <c r="M1596" s="88"/>
      <c r="N1596" s="88"/>
    </row>
    <row r="1597">
      <c r="A1597" s="90">
        <v>44816.0</v>
      </c>
      <c r="B1597" s="90">
        <v>44816.0</v>
      </c>
      <c r="C1597" s="102">
        <v>2009.0</v>
      </c>
      <c r="D1597" s="103" t="s">
        <v>226</v>
      </c>
      <c r="E1597" s="102">
        <v>0.0</v>
      </c>
      <c r="F1597" s="103" t="s">
        <v>228</v>
      </c>
      <c r="G1597" s="102">
        <v>0.0</v>
      </c>
      <c r="H1597" s="103"/>
      <c r="I1597" s="103"/>
      <c r="J1597" s="103"/>
      <c r="K1597" s="89">
        <v>1.943</v>
      </c>
      <c r="L1597" s="89">
        <v>1.0423</v>
      </c>
      <c r="M1597" s="88"/>
      <c r="N1597" s="88"/>
    </row>
    <row r="1598">
      <c r="A1598" s="90">
        <v>44816.0</v>
      </c>
      <c r="B1598" s="90">
        <v>44816.0</v>
      </c>
      <c r="C1598" s="102">
        <v>2006.0</v>
      </c>
      <c r="D1598" s="103" t="s">
        <v>226</v>
      </c>
      <c r="E1598" s="102">
        <v>0.0</v>
      </c>
      <c r="F1598" s="103" t="s">
        <v>228</v>
      </c>
      <c r="G1598" s="102">
        <v>0.0</v>
      </c>
      <c r="H1598" s="103"/>
      <c r="I1598" s="103"/>
      <c r="J1598" s="103"/>
      <c r="K1598" s="89">
        <v>1.972</v>
      </c>
      <c r="L1598" s="89">
        <v>1.126</v>
      </c>
      <c r="M1598" s="88"/>
      <c r="N1598" s="88"/>
    </row>
    <row r="1599">
      <c r="A1599" s="90">
        <v>44816.0</v>
      </c>
      <c r="B1599" s="90">
        <v>44816.0</v>
      </c>
      <c r="C1599" s="102">
        <v>2023.0</v>
      </c>
      <c r="D1599" s="103" t="s">
        <v>226</v>
      </c>
      <c r="E1599" s="102">
        <v>0.0</v>
      </c>
      <c r="F1599" s="103" t="s">
        <v>227</v>
      </c>
      <c r="G1599" s="102">
        <v>0.0</v>
      </c>
      <c r="H1599" s="103"/>
      <c r="I1599" s="103"/>
      <c r="J1599" s="103"/>
      <c r="K1599" s="89">
        <v>0.424</v>
      </c>
      <c r="L1599" s="89">
        <v>0.2629</v>
      </c>
      <c r="M1599" s="88"/>
      <c r="N1599" s="88"/>
    </row>
    <row r="1600">
      <c r="A1600" s="90">
        <v>44816.0</v>
      </c>
      <c r="B1600" s="90">
        <v>44816.0</v>
      </c>
      <c r="C1600" s="102">
        <v>2029.0</v>
      </c>
      <c r="D1600" s="103" t="s">
        <v>226</v>
      </c>
      <c r="E1600" s="102">
        <v>0.0</v>
      </c>
      <c r="F1600" s="103" t="s">
        <v>228</v>
      </c>
      <c r="G1600" s="102">
        <v>0.0</v>
      </c>
      <c r="H1600" s="103"/>
      <c r="I1600" s="103"/>
      <c r="J1600" s="103"/>
      <c r="K1600" s="89">
        <v>3.391</v>
      </c>
      <c r="L1600" s="89">
        <v>1.9467</v>
      </c>
      <c r="M1600" s="88"/>
      <c r="N1600" s="88"/>
    </row>
    <row r="1601">
      <c r="A1601" s="90">
        <v>44816.0</v>
      </c>
      <c r="B1601" s="90">
        <v>44816.0</v>
      </c>
      <c r="C1601" s="102">
        <v>2004.0</v>
      </c>
      <c r="D1601" s="103" t="s">
        <v>226</v>
      </c>
      <c r="E1601" s="102">
        <v>0.0</v>
      </c>
      <c r="F1601" s="103" t="s">
        <v>227</v>
      </c>
      <c r="G1601" s="102">
        <v>0.0</v>
      </c>
      <c r="H1601" s="103"/>
      <c r="I1601" s="103"/>
      <c r="J1601" s="103"/>
      <c r="K1601" s="89">
        <v>1.024</v>
      </c>
      <c r="L1601" s="89">
        <v>0.6411</v>
      </c>
      <c r="M1601" s="88"/>
      <c r="N1601" s="88"/>
    </row>
    <row r="1602">
      <c r="A1602" s="90">
        <v>44816.0</v>
      </c>
      <c r="B1602" s="90">
        <v>44816.0</v>
      </c>
      <c r="C1602" s="102">
        <v>2005.0</v>
      </c>
      <c r="D1602" s="103" t="s">
        <v>226</v>
      </c>
      <c r="E1602" s="102">
        <v>0.0</v>
      </c>
      <c r="F1602" s="103" t="s">
        <v>227</v>
      </c>
      <c r="G1602" s="102">
        <v>0.0</v>
      </c>
      <c r="H1602" s="103"/>
      <c r="I1602" s="103"/>
      <c r="J1602" s="103"/>
      <c r="K1602" s="89">
        <v>0.753</v>
      </c>
      <c r="L1602" s="89">
        <v>0.4504</v>
      </c>
      <c r="M1602" s="88"/>
      <c r="N1602" s="88"/>
    </row>
    <row r="1603">
      <c r="A1603" s="90">
        <v>44816.0</v>
      </c>
      <c r="B1603" s="90">
        <v>44816.0</v>
      </c>
      <c r="C1603" s="102">
        <v>2004.0</v>
      </c>
      <c r="D1603" s="103" t="s">
        <v>226</v>
      </c>
      <c r="E1603" s="102">
        <v>0.0</v>
      </c>
      <c r="F1603" s="103" t="s">
        <v>228</v>
      </c>
      <c r="G1603" s="102">
        <v>0.0</v>
      </c>
      <c r="H1603" s="103"/>
      <c r="I1603" s="103"/>
      <c r="J1603" s="103"/>
      <c r="K1603" s="89">
        <v>2.075</v>
      </c>
      <c r="L1603" s="89">
        <v>1.2498</v>
      </c>
      <c r="M1603" s="88"/>
      <c r="N1603" s="88"/>
    </row>
    <row r="1604">
      <c r="A1604" s="90">
        <v>44816.0</v>
      </c>
      <c r="B1604" s="90">
        <v>44816.0</v>
      </c>
      <c r="C1604" s="102">
        <v>2378.0</v>
      </c>
      <c r="D1604" s="103" t="s">
        <v>226</v>
      </c>
      <c r="E1604" s="102">
        <v>0.0</v>
      </c>
      <c r="F1604" s="103" t="s">
        <v>228</v>
      </c>
      <c r="G1604" s="102">
        <v>0.0</v>
      </c>
      <c r="H1604" s="103"/>
      <c r="I1604" s="103"/>
      <c r="J1604" s="103"/>
      <c r="K1604" s="89">
        <v>2.641</v>
      </c>
      <c r="L1604" s="89">
        <v>1.4582</v>
      </c>
      <c r="M1604" s="88"/>
      <c r="N1604" s="88"/>
    </row>
    <row r="1605">
      <c r="A1605" s="90">
        <v>44816.0</v>
      </c>
      <c r="B1605" s="90">
        <v>44816.0</v>
      </c>
      <c r="C1605" s="102">
        <v>2378.0</v>
      </c>
      <c r="D1605" s="103" t="s">
        <v>226</v>
      </c>
      <c r="E1605" s="102">
        <v>0.0</v>
      </c>
      <c r="F1605" s="103" t="s">
        <v>227</v>
      </c>
      <c r="G1605" s="102">
        <v>0.0</v>
      </c>
      <c r="H1605" s="103"/>
      <c r="I1605" s="103"/>
      <c r="J1605" s="103"/>
      <c r="K1605" s="89">
        <v>0.508</v>
      </c>
      <c r="L1605" s="89">
        <v>0.3053</v>
      </c>
      <c r="M1605" s="88"/>
      <c r="N1605" s="88"/>
    </row>
    <row r="1606">
      <c r="A1606" s="90">
        <v>44816.0</v>
      </c>
      <c r="B1606" s="90">
        <v>44816.0</v>
      </c>
      <c r="C1606" s="102">
        <v>2378.0</v>
      </c>
      <c r="D1606" s="103" t="s">
        <v>226</v>
      </c>
      <c r="E1606" s="102">
        <v>1.0</v>
      </c>
      <c r="F1606" s="103" t="s">
        <v>227</v>
      </c>
      <c r="G1606" s="102">
        <v>1.0</v>
      </c>
      <c r="H1606" s="103"/>
      <c r="I1606" s="103"/>
      <c r="J1606" s="103"/>
      <c r="K1606" s="89">
        <v>0.113</v>
      </c>
      <c r="L1606" s="89">
        <v>0.0678</v>
      </c>
      <c r="M1606" s="88"/>
      <c r="N1606" s="88"/>
    </row>
    <row r="1607">
      <c r="A1607" s="90">
        <v>44816.0</v>
      </c>
      <c r="B1607" s="90">
        <v>44816.0</v>
      </c>
      <c r="C1607" s="102">
        <v>2093.0</v>
      </c>
      <c r="D1607" s="103" t="s">
        <v>226</v>
      </c>
      <c r="E1607" s="102">
        <v>0.0</v>
      </c>
      <c r="F1607" s="103" t="s">
        <v>228</v>
      </c>
      <c r="G1607" s="102">
        <v>0.0</v>
      </c>
      <c r="H1607" s="103"/>
      <c r="I1607" s="103"/>
      <c r="J1607" s="103"/>
      <c r="K1607" s="89">
        <v>1.85</v>
      </c>
      <c r="L1607" s="89">
        <v>1.0626</v>
      </c>
      <c r="M1607" s="88"/>
      <c r="N1607" s="88"/>
    </row>
    <row r="1608">
      <c r="A1608" s="90">
        <v>44816.0</v>
      </c>
      <c r="B1608" s="90">
        <v>44816.0</v>
      </c>
      <c r="C1608" s="102">
        <v>2093.0</v>
      </c>
      <c r="D1608" s="103" t="s">
        <v>226</v>
      </c>
      <c r="E1608" s="102">
        <v>1.0</v>
      </c>
      <c r="F1608" s="103" t="s">
        <v>228</v>
      </c>
      <c r="G1608" s="102">
        <v>1.0</v>
      </c>
      <c r="H1608" s="103"/>
      <c r="I1608" s="103"/>
      <c r="J1608" s="103"/>
      <c r="K1608" s="89">
        <v>1.302</v>
      </c>
      <c r="L1608" s="89">
        <v>0.7691</v>
      </c>
      <c r="M1608" s="88"/>
      <c r="N1608" s="88"/>
    </row>
    <row r="1609">
      <c r="A1609" s="90">
        <v>44816.0</v>
      </c>
      <c r="B1609" s="90">
        <v>44816.0</v>
      </c>
      <c r="C1609" s="102">
        <v>2086.0</v>
      </c>
      <c r="D1609" s="103" t="s">
        <v>226</v>
      </c>
      <c r="E1609" s="102">
        <v>1.0</v>
      </c>
      <c r="F1609" s="103" t="s">
        <v>227</v>
      </c>
      <c r="G1609" s="102">
        <v>1.0</v>
      </c>
      <c r="H1609" s="103"/>
      <c r="I1609" s="103"/>
      <c r="J1609" s="103"/>
      <c r="K1609" s="89">
        <v>0.82</v>
      </c>
      <c r="L1609" s="89">
        <v>0.4586</v>
      </c>
      <c r="M1609" s="88"/>
      <c r="N1609" s="88"/>
    </row>
    <row r="1610">
      <c r="A1610" s="90">
        <v>44816.0</v>
      </c>
      <c r="B1610" s="90">
        <v>44816.0</v>
      </c>
      <c r="C1610" s="102">
        <v>2377.0</v>
      </c>
      <c r="D1610" s="103" t="s">
        <v>226</v>
      </c>
      <c r="E1610" s="102">
        <v>1.0</v>
      </c>
      <c r="F1610" s="103" t="s">
        <v>228</v>
      </c>
      <c r="G1610" s="102">
        <v>1.0</v>
      </c>
      <c r="H1610" s="103"/>
      <c r="I1610" s="103"/>
      <c r="J1610" s="103"/>
      <c r="K1610" s="89">
        <v>2.323</v>
      </c>
      <c r="L1610" s="89">
        <v>1.4415</v>
      </c>
      <c r="M1610" s="88"/>
      <c r="N1610" s="88"/>
    </row>
    <row r="1611">
      <c r="A1611" s="90">
        <v>44816.0</v>
      </c>
      <c r="B1611" s="90">
        <v>44816.0</v>
      </c>
      <c r="C1611" s="102">
        <v>2354.0</v>
      </c>
      <c r="D1611" s="103" t="s">
        <v>226</v>
      </c>
      <c r="E1611" s="102">
        <v>0.0</v>
      </c>
      <c r="F1611" s="103" t="s">
        <v>228</v>
      </c>
      <c r="G1611" s="102">
        <v>0.0</v>
      </c>
      <c r="H1611" s="103"/>
      <c r="I1611" s="103"/>
      <c r="J1611" s="103"/>
      <c r="K1611" s="89">
        <v>3.7911</v>
      </c>
      <c r="L1611" s="89">
        <v>2.3263</v>
      </c>
      <c r="M1611" s="88"/>
      <c r="N1611" s="105" t="s">
        <v>253</v>
      </c>
    </row>
    <row r="1612">
      <c r="A1612" s="90">
        <v>44816.0</v>
      </c>
      <c r="B1612" s="90">
        <v>44816.0</v>
      </c>
      <c r="C1612" s="102">
        <v>2030.0</v>
      </c>
      <c r="D1612" s="103" t="s">
        <v>226</v>
      </c>
      <c r="E1612" s="102">
        <v>0.0</v>
      </c>
      <c r="F1612" s="103" t="s">
        <v>228</v>
      </c>
      <c r="G1612" s="102">
        <v>0.0</v>
      </c>
      <c r="H1612" s="103"/>
      <c r="I1612" s="103"/>
      <c r="J1612" s="103"/>
      <c r="K1612" s="89">
        <v>5.6236</v>
      </c>
      <c r="L1612" s="89">
        <v>3.5014</v>
      </c>
      <c r="M1612" s="88"/>
      <c r="N1612" s="88" t="s">
        <v>254</v>
      </c>
    </row>
    <row r="1613">
      <c r="A1613" s="90">
        <v>44791.0</v>
      </c>
      <c r="B1613" s="90">
        <v>44791.0</v>
      </c>
      <c r="C1613" s="102">
        <v>2010.0</v>
      </c>
      <c r="D1613" s="103" t="s">
        <v>226</v>
      </c>
      <c r="E1613" s="102">
        <v>0.0</v>
      </c>
      <c r="F1613" s="103" t="s">
        <v>227</v>
      </c>
      <c r="G1613" s="102">
        <v>0.0</v>
      </c>
      <c r="H1613" s="103"/>
      <c r="I1613" s="103"/>
      <c r="J1613" s="103"/>
      <c r="K1613" s="89">
        <v>0.41</v>
      </c>
      <c r="L1613" s="89">
        <v>0.2674</v>
      </c>
      <c r="M1613" s="88"/>
      <c r="N1613" s="105" t="s">
        <v>255</v>
      </c>
    </row>
    <row r="1614">
      <c r="A1614" s="90">
        <v>44791.0</v>
      </c>
      <c r="B1614" s="90">
        <v>44791.0</v>
      </c>
      <c r="C1614" s="102">
        <v>2375.0</v>
      </c>
      <c r="D1614" s="103" t="s">
        <v>226</v>
      </c>
      <c r="E1614" s="102">
        <v>0.0</v>
      </c>
      <c r="F1614" s="103" t="s">
        <v>228</v>
      </c>
      <c r="G1614" s="102">
        <v>0.0</v>
      </c>
      <c r="H1614" s="103"/>
      <c r="I1614" s="103"/>
      <c r="J1614" s="103"/>
      <c r="K1614" s="89">
        <v>2.83</v>
      </c>
      <c r="L1614" s="89">
        <v>1.7111</v>
      </c>
      <c r="M1614" s="88"/>
      <c r="N1614" s="88"/>
    </row>
    <row r="1615">
      <c r="A1615" s="90">
        <v>44791.0</v>
      </c>
      <c r="B1615" s="90">
        <v>44791.0</v>
      </c>
      <c r="C1615" s="102">
        <v>2378.0</v>
      </c>
      <c r="D1615" s="103" t="s">
        <v>226</v>
      </c>
      <c r="E1615" s="102">
        <v>1.0</v>
      </c>
      <c r="F1615" s="103" t="s">
        <v>227</v>
      </c>
      <c r="G1615" s="102">
        <v>1.0</v>
      </c>
      <c r="H1615" s="103"/>
      <c r="I1615" s="103"/>
      <c r="J1615" s="103"/>
      <c r="K1615" s="89">
        <v>0.47</v>
      </c>
      <c r="L1615" s="89">
        <v>0.3079</v>
      </c>
      <c r="M1615" s="88"/>
      <c r="N1615" s="88"/>
    </row>
    <row r="1616">
      <c r="A1616" s="90">
        <v>44791.0</v>
      </c>
      <c r="B1616" s="90">
        <v>44791.0</v>
      </c>
      <c r="C1616" s="102">
        <v>2343.0</v>
      </c>
      <c r="D1616" s="103" t="s">
        <v>226</v>
      </c>
      <c r="E1616" s="102">
        <v>0.0</v>
      </c>
      <c r="F1616" s="103" t="s">
        <v>228</v>
      </c>
      <c r="G1616" s="102">
        <v>0.0</v>
      </c>
      <c r="H1616" s="103"/>
      <c r="I1616" s="103"/>
      <c r="J1616" s="103"/>
      <c r="K1616" s="89">
        <v>2.68</v>
      </c>
      <c r="L1616" s="89">
        <v>1.6394</v>
      </c>
      <c r="M1616" s="88"/>
      <c r="N1616" s="105" t="s">
        <v>255</v>
      </c>
    </row>
    <row r="1617">
      <c r="A1617" s="90">
        <v>44791.0</v>
      </c>
      <c r="B1617" s="90">
        <v>44791.0</v>
      </c>
      <c r="C1617" s="102">
        <v>2070.0</v>
      </c>
      <c r="D1617" s="103" t="s">
        <v>226</v>
      </c>
      <c r="E1617" s="102">
        <v>0.0</v>
      </c>
      <c r="F1617" s="103" t="s">
        <v>228</v>
      </c>
      <c r="G1617" s="102">
        <v>0.0</v>
      </c>
      <c r="H1617" s="103"/>
      <c r="I1617" s="103"/>
      <c r="J1617" s="103"/>
      <c r="K1617" s="89">
        <v>3.9</v>
      </c>
      <c r="L1617" s="89">
        <v>2.3926</v>
      </c>
      <c r="M1617" s="88"/>
      <c r="N1617" s="105" t="s">
        <v>255</v>
      </c>
    </row>
    <row r="1618">
      <c r="A1618" s="90">
        <v>44791.0</v>
      </c>
      <c r="B1618" s="90">
        <v>44791.0</v>
      </c>
      <c r="C1618" s="102">
        <v>2372.0</v>
      </c>
      <c r="D1618" s="103" t="s">
        <v>226</v>
      </c>
      <c r="E1618" s="102">
        <v>1.0</v>
      </c>
      <c r="F1618" s="103" t="s">
        <v>227</v>
      </c>
      <c r="G1618" s="102">
        <v>1.0</v>
      </c>
      <c r="H1618" s="103"/>
      <c r="I1618" s="103"/>
      <c r="J1618" s="103"/>
      <c r="K1618" s="89">
        <v>1.07</v>
      </c>
      <c r="L1618" s="89">
        <v>0.7412</v>
      </c>
      <c r="M1618" s="88"/>
      <c r="N1618" s="88"/>
    </row>
    <row r="1619">
      <c r="A1619" s="90">
        <v>44791.0</v>
      </c>
      <c r="B1619" s="90">
        <v>44791.0</v>
      </c>
      <c r="C1619" s="102">
        <v>2372.0</v>
      </c>
      <c r="D1619" s="103" t="s">
        <v>226</v>
      </c>
      <c r="E1619" s="102">
        <v>0.0</v>
      </c>
      <c r="F1619" s="103" t="s">
        <v>228</v>
      </c>
      <c r="G1619" s="102">
        <v>0.0</v>
      </c>
      <c r="H1619" s="103"/>
      <c r="I1619" s="103"/>
      <c r="J1619" s="103"/>
      <c r="K1619" s="89">
        <v>4.25</v>
      </c>
      <c r="L1619" s="89">
        <v>2.6962</v>
      </c>
      <c r="M1619" s="88"/>
      <c r="N1619" s="88"/>
    </row>
    <row r="1620">
      <c r="A1620" s="90">
        <v>44791.0</v>
      </c>
      <c r="B1620" s="90">
        <v>44791.0</v>
      </c>
      <c r="C1620" s="102">
        <v>2381.0</v>
      </c>
      <c r="D1620" s="103" t="s">
        <v>226</v>
      </c>
      <c r="E1620" s="102">
        <v>1.0</v>
      </c>
      <c r="F1620" s="103" t="s">
        <v>227</v>
      </c>
      <c r="G1620" s="102">
        <v>1.0</v>
      </c>
      <c r="H1620" s="103"/>
      <c r="I1620" s="103"/>
      <c r="J1620" s="103"/>
      <c r="K1620" s="89">
        <v>0.75</v>
      </c>
      <c r="L1620" s="89">
        <v>0.4815</v>
      </c>
      <c r="M1620" s="88"/>
      <c r="N1620" s="88"/>
    </row>
    <row r="1621">
      <c r="A1621" s="90">
        <v>44791.0</v>
      </c>
      <c r="B1621" s="90">
        <v>44791.0</v>
      </c>
      <c r="C1621" s="102">
        <v>2367.0</v>
      </c>
      <c r="D1621" s="103" t="s">
        <v>226</v>
      </c>
      <c r="E1621" s="102">
        <v>1.0</v>
      </c>
      <c r="F1621" s="103" t="s">
        <v>227</v>
      </c>
      <c r="G1621" s="102">
        <v>1.0</v>
      </c>
      <c r="H1621" s="103"/>
      <c r="I1621" s="103"/>
      <c r="J1621" s="103"/>
      <c r="K1621" s="89">
        <v>0.6</v>
      </c>
      <c r="L1621" s="89">
        <v>0.412</v>
      </c>
      <c r="M1621" s="88"/>
      <c r="N1621" s="88"/>
    </row>
    <row r="1622">
      <c r="A1622" s="90">
        <v>44791.0</v>
      </c>
      <c r="B1622" s="90">
        <v>44791.0</v>
      </c>
      <c r="C1622" s="102">
        <v>2301.0</v>
      </c>
      <c r="D1622" s="103" t="s">
        <v>226</v>
      </c>
      <c r="E1622" s="102">
        <v>1.0</v>
      </c>
      <c r="F1622" s="103" t="s">
        <v>227</v>
      </c>
      <c r="G1622" s="102">
        <v>1.0</v>
      </c>
      <c r="H1622" s="103"/>
      <c r="I1622" s="103"/>
      <c r="J1622" s="103"/>
      <c r="K1622" s="89">
        <v>0.21</v>
      </c>
      <c r="L1622" s="89">
        <v>0.1462</v>
      </c>
      <c r="M1622" s="88"/>
      <c r="N1622" s="88"/>
    </row>
    <row r="1623">
      <c r="A1623" s="90">
        <v>44791.0</v>
      </c>
      <c r="B1623" s="90">
        <v>44791.0</v>
      </c>
      <c r="C1623" s="102">
        <v>2367.0</v>
      </c>
      <c r="D1623" s="103" t="s">
        <v>226</v>
      </c>
      <c r="E1623" s="102">
        <v>0.0</v>
      </c>
      <c r="F1623" s="103" t="s">
        <v>227</v>
      </c>
      <c r="G1623" s="102">
        <v>0.0</v>
      </c>
      <c r="H1623" s="103"/>
      <c r="I1623" s="103"/>
      <c r="J1623" s="103"/>
      <c r="K1623" s="89">
        <v>0.39</v>
      </c>
      <c r="L1623" s="89">
        <v>0.2677</v>
      </c>
      <c r="M1623" s="88"/>
      <c r="N1623" s="88"/>
    </row>
    <row r="1624">
      <c r="A1624" s="90">
        <v>44791.0</v>
      </c>
      <c r="B1624" s="90">
        <v>44791.0</v>
      </c>
      <c r="C1624" s="102">
        <v>2375.0</v>
      </c>
      <c r="D1624" s="103" t="s">
        <v>226</v>
      </c>
      <c r="E1624" s="102">
        <v>1.0</v>
      </c>
      <c r="F1624" s="103" t="s">
        <v>227</v>
      </c>
      <c r="G1624" s="102">
        <v>1.0</v>
      </c>
      <c r="H1624" s="103"/>
      <c r="I1624" s="103"/>
      <c r="J1624" s="103"/>
      <c r="K1624" s="89">
        <v>0.69</v>
      </c>
      <c r="L1624" s="89">
        <v>0.4321</v>
      </c>
      <c r="M1624" s="88"/>
      <c r="N1624" s="88"/>
    </row>
    <row r="1625">
      <c r="A1625" s="90">
        <v>44791.0</v>
      </c>
      <c r="B1625" s="90">
        <v>44791.0</v>
      </c>
      <c r="C1625" s="102">
        <v>2345.0</v>
      </c>
      <c r="D1625" s="103" t="s">
        <v>226</v>
      </c>
      <c r="E1625" s="102">
        <v>0.0</v>
      </c>
      <c r="F1625" s="103" t="s">
        <v>227</v>
      </c>
      <c r="G1625" s="102">
        <v>0.0</v>
      </c>
      <c r="H1625" s="103"/>
      <c r="I1625" s="103"/>
      <c r="J1625" s="103"/>
      <c r="K1625" s="89">
        <v>0.61</v>
      </c>
      <c r="L1625" s="89">
        <v>0.393</v>
      </c>
      <c r="M1625" s="88"/>
      <c r="N1625" s="105" t="s">
        <v>255</v>
      </c>
    </row>
    <row r="1626">
      <c r="A1626" s="90">
        <v>44791.0</v>
      </c>
      <c r="B1626" s="90">
        <v>44791.0</v>
      </c>
      <c r="C1626" s="102">
        <v>2372.0</v>
      </c>
      <c r="D1626" s="103" t="s">
        <v>226</v>
      </c>
      <c r="E1626" s="102">
        <v>0.0</v>
      </c>
      <c r="F1626" s="103" t="s">
        <v>227</v>
      </c>
      <c r="G1626" s="102">
        <v>0.0</v>
      </c>
      <c r="H1626" s="103"/>
      <c r="I1626" s="103"/>
      <c r="J1626" s="103"/>
      <c r="K1626" s="89">
        <v>0.39</v>
      </c>
      <c r="L1626" s="89">
        <v>0.2764</v>
      </c>
      <c r="M1626" s="88"/>
      <c r="N1626" s="88"/>
    </row>
    <row r="1627">
      <c r="A1627" s="90">
        <v>44791.0</v>
      </c>
      <c r="B1627" s="90">
        <v>44791.0</v>
      </c>
      <c r="C1627" s="102">
        <v>2384.0</v>
      </c>
      <c r="D1627" s="103" t="s">
        <v>226</v>
      </c>
      <c r="E1627" s="102">
        <v>1.0</v>
      </c>
      <c r="F1627" s="103" t="s">
        <v>227</v>
      </c>
      <c r="G1627" s="102">
        <v>1.0</v>
      </c>
      <c r="H1627" s="103"/>
      <c r="I1627" s="103"/>
      <c r="J1627" s="103"/>
      <c r="K1627" s="89">
        <v>0.93</v>
      </c>
      <c r="L1627" s="89">
        <v>0.5921</v>
      </c>
      <c r="M1627" s="88"/>
      <c r="N1627" s="88"/>
    </row>
    <row r="1628">
      <c r="A1628" s="90">
        <v>44791.0</v>
      </c>
      <c r="B1628" s="90">
        <v>44791.0</v>
      </c>
      <c r="C1628" s="102">
        <v>2345.0</v>
      </c>
      <c r="D1628" s="103" t="s">
        <v>226</v>
      </c>
      <c r="E1628" s="102">
        <v>1.0</v>
      </c>
      <c r="F1628" s="103" t="s">
        <v>227</v>
      </c>
      <c r="G1628" s="102">
        <v>1.0</v>
      </c>
      <c r="H1628" s="103"/>
      <c r="I1628" s="103"/>
      <c r="J1628" s="103"/>
      <c r="K1628" s="89">
        <v>0.51</v>
      </c>
      <c r="L1628" s="89">
        <v>0.348</v>
      </c>
      <c r="M1628" s="88"/>
      <c r="N1628" s="105" t="s">
        <v>255</v>
      </c>
    </row>
    <row r="1629">
      <c r="A1629" s="90">
        <v>44791.0</v>
      </c>
      <c r="B1629" s="90">
        <v>44791.0</v>
      </c>
      <c r="C1629" s="102">
        <v>2301.0</v>
      </c>
      <c r="D1629" s="103" t="s">
        <v>226</v>
      </c>
      <c r="E1629" s="102">
        <v>0.0</v>
      </c>
      <c r="F1629" s="103" t="s">
        <v>228</v>
      </c>
      <c r="G1629" s="102">
        <v>0.0</v>
      </c>
      <c r="H1629" s="103"/>
      <c r="I1629" s="103"/>
      <c r="J1629" s="103"/>
      <c r="K1629" s="89">
        <v>2.36</v>
      </c>
      <c r="L1629" s="89">
        <v>1.5198</v>
      </c>
      <c r="M1629" s="88"/>
      <c r="N1629" s="88"/>
    </row>
    <row r="1630">
      <c r="A1630" s="90">
        <v>44791.0</v>
      </c>
      <c r="B1630" s="90">
        <v>44791.0</v>
      </c>
      <c r="C1630" s="102">
        <v>2301.0</v>
      </c>
      <c r="D1630" s="103" t="s">
        <v>226</v>
      </c>
      <c r="E1630" s="102">
        <v>1.0</v>
      </c>
      <c r="F1630" s="103" t="s">
        <v>228</v>
      </c>
      <c r="G1630" s="102">
        <v>1.0</v>
      </c>
      <c r="H1630" s="103"/>
      <c r="I1630" s="103"/>
      <c r="J1630" s="103"/>
      <c r="K1630" s="89">
        <v>1.3</v>
      </c>
      <c r="L1630" s="89">
        <v>0.8079</v>
      </c>
      <c r="M1630" s="88"/>
      <c r="N1630" s="88"/>
    </row>
    <row r="1631">
      <c r="A1631" s="90">
        <v>44791.0</v>
      </c>
      <c r="B1631" s="90">
        <v>44791.0</v>
      </c>
      <c r="C1631" s="102">
        <v>2345.0</v>
      </c>
      <c r="D1631" s="103" t="s">
        <v>226</v>
      </c>
      <c r="E1631" s="102">
        <v>0.0</v>
      </c>
      <c r="F1631" s="103" t="s">
        <v>228</v>
      </c>
      <c r="G1631" s="102">
        <v>0.0</v>
      </c>
      <c r="H1631" s="103"/>
      <c r="I1631" s="103"/>
      <c r="J1631" s="103"/>
      <c r="K1631" s="89">
        <v>0.89</v>
      </c>
      <c r="L1631" s="89">
        <v>0.55</v>
      </c>
      <c r="M1631" s="88"/>
      <c r="N1631" s="88"/>
    </row>
    <row r="1632">
      <c r="A1632" s="90">
        <v>44791.0</v>
      </c>
      <c r="B1632" s="90">
        <v>44791.0</v>
      </c>
      <c r="C1632" s="102">
        <v>2330.0</v>
      </c>
      <c r="D1632" s="103" t="s">
        <v>226</v>
      </c>
      <c r="E1632" s="102">
        <v>0.0</v>
      </c>
      <c r="F1632" s="103" t="s">
        <v>228</v>
      </c>
      <c r="G1632" s="102">
        <v>0.0</v>
      </c>
      <c r="H1632" s="103"/>
      <c r="I1632" s="103"/>
      <c r="J1632" s="103"/>
      <c r="K1632" s="89">
        <v>1.11</v>
      </c>
      <c r="L1632" s="89">
        <v>0.7122</v>
      </c>
      <c r="M1632" s="88"/>
      <c r="N1632" s="88"/>
    </row>
    <row r="1633">
      <c r="A1633" s="90">
        <v>44791.0</v>
      </c>
      <c r="B1633" s="90">
        <v>44791.0</v>
      </c>
      <c r="C1633" s="102">
        <v>2379.0</v>
      </c>
      <c r="D1633" s="103" t="s">
        <v>226</v>
      </c>
      <c r="E1633" s="102">
        <v>0.0</v>
      </c>
      <c r="F1633" s="103" t="s">
        <v>227</v>
      </c>
      <c r="G1633" s="102">
        <v>0.0</v>
      </c>
      <c r="H1633" s="103"/>
      <c r="I1633" s="103"/>
      <c r="J1633" s="103"/>
      <c r="K1633" s="89">
        <v>0.48</v>
      </c>
      <c r="L1633" s="89">
        <v>0.3297</v>
      </c>
      <c r="M1633" s="88"/>
      <c r="N1633" s="88"/>
    </row>
    <row r="1634">
      <c r="A1634" s="90">
        <v>44791.0</v>
      </c>
      <c r="B1634" s="90">
        <v>44791.0</v>
      </c>
      <c r="C1634" s="102">
        <v>2360.0</v>
      </c>
      <c r="D1634" s="103" t="s">
        <v>226</v>
      </c>
      <c r="E1634" s="102">
        <v>0.0</v>
      </c>
      <c r="F1634" s="103" t="s">
        <v>227</v>
      </c>
      <c r="G1634" s="102">
        <v>0.0</v>
      </c>
      <c r="H1634" s="103"/>
      <c r="I1634" s="103"/>
      <c r="J1634" s="103"/>
      <c r="K1634" s="89">
        <v>0.57</v>
      </c>
      <c r="L1634" s="89">
        <v>0.4019</v>
      </c>
      <c r="M1634" s="88"/>
      <c r="N1634" s="88"/>
    </row>
    <row r="1635">
      <c r="A1635" s="90">
        <v>44791.0</v>
      </c>
      <c r="B1635" s="90">
        <v>44791.0</v>
      </c>
      <c r="C1635" s="102">
        <v>2345.0</v>
      </c>
      <c r="D1635" s="103" t="s">
        <v>226</v>
      </c>
      <c r="E1635" s="102">
        <v>0.0</v>
      </c>
      <c r="F1635" s="103" t="s">
        <v>227</v>
      </c>
      <c r="G1635" s="102">
        <v>0.0</v>
      </c>
      <c r="H1635" s="103"/>
      <c r="I1635" s="103"/>
      <c r="J1635" s="103"/>
      <c r="K1635" s="89">
        <v>0.1</v>
      </c>
      <c r="L1635" s="89">
        <v>0.055</v>
      </c>
      <c r="M1635" s="88"/>
      <c r="N1635" s="88"/>
    </row>
    <row r="1636">
      <c r="A1636" s="90">
        <v>44791.0</v>
      </c>
      <c r="B1636" s="90">
        <v>44791.0</v>
      </c>
      <c r="C1636" s="102">
        <v>2354.0</v>
      </c>
      <c r="D1636" s="103" t="s">
        <v>226</v>
      </c>
      <c r="E1636" s="102">
        <v>0.0</v>
      </c>
      <c r="F1636" s="103" t="s">
        <v>227</v>
      </c>
      <c r="G1636" s="102">
        <v>0.0</v>
      </c>
      <c r="H1636" s="103"/>
      <c r="I1636" s="103"/>
      <c r="J1636" s="103"/>
      <c r="K1636" s="89">
        <v>0.22</v>
      </c>
      <c r="L1636" s="89">
        <v>0.1237</v>
      </c>
      <c r="M1636" s="88"/>
      <c r="N1636" s="88"/>
    </row>
    <row r="1637">
      <c r="A1637" s="90">
        <v>44791.0</v>
      </c>
      <c r="B1637" s="90">
        <v>44791.0</v>
      </c>
      <c r="C1637" s="102">
        <v>2354.0</v>
      </c>
      <c r="D1637" s="103" t="s">
        <v>226</v>
      </c>
      <c r="E1637" s="102">
        <v>1.0</v>
      </c>
      <c r="F1637" s="103" t="s">
        <v>227</v>
      </c>
      <c r="G1637" s="102">
        <v>1.0</v>
      </c>
      <c r="H1637" s="103"/>
      <c r="I1637" s="103"/>
      <c r="J1637" s="103"/>
      <c r="K1637" s="89">
        <v>0.68</v>
      </c>
      <c r="L1637" s="89">
        <v>0.4063</v>
      </c>
      <c r="M1637" s="88"/>
      <c r="N1637" s="105" t="s">
        <v>255</v>
      </c>
    </row>
    <row r="1638">
      <c r="A1638" s="90">
        <v>44791.0</v>
      </c>
      <c r="B1638" s="90">
        <v>44791.0</v>
      </c>
      <c r="C1638" s="102">
        <v>2301.0</v>
      </c>
      <c r="D1638" s="103" t="s">
        <v>226</v>
      </c>
      <c r="E1638" s="102">
        <v>0.0</v>
      </c>
      <c r="F1638" s="103" t="s">
        <v>227</v>
      </c>
      <c r="G1638" s="102">
        <v>0.0</v>
      </c>
      <c r="H1638" s="103"/>
      <c r="I1638" s="103"/>
      <c r="J1638" s="103"/>
      <c r="K1638" s="89">
        <v>0.36</v>
      </c>
      <c r="L1638" s="89">
        <v>0.2396</v>
      </c>
      <c r="M1638" s="88"/>
      <c r="N1638" s="88"/>
    </row>
    <row r="1639">
      <c r="A1639" s="90">
        <v>44791.0</v>
      </c>
      <c r="B1639" s="90">
        <v>44791.0</v>
      </c>
      <c r="C1639" s="102">
        <v>2009.0</v>
      </c>
      <c r="D1639" s="103" t="s">
        <v>226</v>
      </c>
      <c r="E1639" s="102">
        <v>1.0</v>
      </c>
      <c r="F1639" s="103" t="s">
        <v>227</v>
      </c>
      <c r="G1639" s="102">
        <v>1.0</v>
      </c>
      <c r="H1639" s="103"/>
      <c r="I1639" s="103"/>
      <c r="J1639" s="103"/>
      <c r="K1639" s="89">
        <v>0.52</v>
      </c>
      <c r="L1639" s="89">
        <v>0.3565</v>
      </c>
      <c r="M1639" s="88"/>
      <c r="N1639" s="88"/>
    </row>
    <row r="1640">
      <c r="A1640" s="90">
        <v>44791.0</v>
      </c>
      <c r="B1640" s="90">
        <v>44791.0</v>
      </c>
      <c r="C1640" s="102">
        <v>2343.0</v>
      </c>
      <c r="D1640" s="103" t="s">
        <v>226</v>
      </c>
      <c r="E1640" s="102">
        <v>0.0</v>
      </c>
      <c r="F1640" s="103" t="s">
        <v>227</v>
      </c>
      <c r="G1640" s="102">
        <v>0.0</v>
      </c>
      <c r="H1640" s="103"/>
      <c r="I1640" s="103"/>
      <c r="J1640" s="103"/>
      <c r="K1640" s="89">
        <v>0.37</v>
      </c>
      <c r="L1640" s="89">
        <v>0.2354</v>
      </c>
      <c r="M1640" s="88"/>
      <c r="N1640" s="105" t="s">
        <v>255</v>
      </c>
    </row>
    <row r="1641">
      <c r="A1641" s="90">
        <v>44791.0</v>
      </c>
      <c r="B1641" s="90">
        <v>44791.0</v>
      </c>
      <c r="C1641" s="102">
        <v>2347.0</v>
      </c>
      <c r="D1641" s="103" t="s">
        <v>226</v>
      </c>
      <c r="E1641" s="102">
        <v>0.0</v>
      </c>
      <c r="F1641" s="103" t="s">
        <v>228</v>
      </c>
      <c r="G1641" s="102">
        <v>0.0</v>
      </c>
      <c r="H1641" s="103"/>
      <c r="I1641" s="103"/>
      <c r="J1641" s="103"/>
      <c r="K1641" s="89">
        <v>1.7</v>
      </c>
      <c r="L1641" s="89">
        <v>1.0754</v>
      </c>
      <c r="M1641" s="88"/>
      <c r="N1641" s="88" t="s">
        <v>254</v>
      </c>
    </row>
    <row r="1642">
      <c r="A1642" s="90">
        <v>44791.0</v>
      </c>
      <c r="B1642" s="90">
        <v>44791.0</v>
      </c>
      <c r="C1642" s="102">
        <v>2347.0</v>
      </c>
      <c r="D1642" s="103" t="s">
        <v>226</v>
      </c>
      <c r="E1642" s="102">
        <v>0.0</v>
      </c>
      <c r="F1642" s="103" t="s">
        <v>227</v>
      </c>
      <c r="G1642" s="102">
        <v>0.0</v>
      </c>
      <c r="H1642" s="103"/>
      <c r="I1642" s="103"/>
      <c r="J1642" s="103"/>
      <c r="K1642" s="89">
        <v>0.36</v>
      </c>
      <c r="L1642" s="89">
        <v>0.2656</v>
      </c>
      <c r="M1642" s="88"/>
      <c r="N1642" s="88"/>
    </row>
    <row r="1643">
      <c r="A1643" s="90">
        <v>44791.0</v>
      </c>
      <c r="B1643" s="90">
        <v>44791.0</v>
      </c>
      <c r="C1643" s="102">
        <v>2379.0</v>
      </c>
      <c r="D1643" s="103" t="s">
        <v>226</v>
      </c>
      <c r="E1643" s="102">
        <v>1.0</v>
      </c>
      <c r="F1643" s="103" t="s">
        <v>227</v>
      </c>
      <c r="G1643" s="102">
        <v>1.0</v>
      </c>
      <c r="H1643" s="103"/>
      <c r="I1643" s="103"/>
      <c r="J1643" s="103"/>
      <c r="K1643" s="89">
        <v>1.15</v>
      </c>
      <c r="L1643" s="89">
        <v>0.747</v>
      </c>
      <c r="M1643" s="88"/>
      <c r="N1643" s="88"/>
    </row>
    <row r="1644">
      <c r="A1644" s="90">
        <v>44791.0</v>
      </c>
      <c r="B1644" s="90">
        <v>44791.0</v>
      </c>
      <c r="C1644" s="102">
        <v>2378.0</v>
      </c>
      <c r="D1644" s="103" t="s">
        <v>226</v>
      </c>
      <c r="E1644" s="102">
        <v>0.0</v>
      </c>
      <c r="F1644" s="103" t="s">
        <v>227</v>
      </c>
      <c r="G1644" s="102">
        <v>0.0</v>
      </c>
      <c r="H1644" s="103"/>
      <c r="I1644" s="103"/>
      <c r="J1644" s="103"/>
      <c r="K1644" s="89">
        <v>0.12</v>
      </c>
      <c r="L1644" s="89">
        <v>0.0732</v>
      </c>
      <c r="M1644" s="88"/>
      <c r="N1644" s="88"/>
    </row>
    <row r="1645">
      <c r="A1645" s="90">
        <v>44791.0</v>
      </c>
      <c r="B1645" s="90">
        <v>44791.0</v>
      </c>
      <c r="C1645" s="102">
        <v>2345.0</v>
      </c>
      <c r="D1645" s="103" t="s">
        <v>226</v>
      </c>
      <c r="E1645" s="102">
        <v>1.0</v>
      </c>
      <c r="F1645" s="103" t="s">
        <v>228</v>
      </c>
      <c r="G1645" s="102">
        <v>1.0</v>
      </c>
      <c r="H1645" s="103"/>
      <c r="I1645" s="103"/>
      <c r="J1645" s="103"/>
      <c r="K1645" s="89">
        <v>2.54</v>
      </c>
      <c r="L1645" s="89">
        <v>1.6222</v>
      </c>
      <c r="M1645" s="88"/>
      <c r="N1645" s="88"/>
    </row>
    <row r="1646">
      <c r="A1646" s="90">
        <v>44791.0</v>
      </c>
      <c r="B1646" s="90">
        <v>44791.0</v>
      </c>
      <c r="C1646" s="102">
        <v>2376.0</v>
      </c>
      <c r="D1646" s="103" t="s">
        <v>226</v>
      </c>
      <c r="E1646" s="102">
        <v>1.0</v>
      </c>
      <c r="F1646" s="103" t="s">
        <v>228</v>
      </c>
      <c r="G1646" s="102">
        <v>1.0</v>
      </c>
      <c r="H1646" s="103"/>
      <c r="I1646" s="103"/>
      <c r="J1646" s="103"/>
      <c r="K1646" s="89">
        <v>3.88</v>
      </c>
      <c r="L1646" s="89">
        <v>2.5548</v>
      </c>
      <c r="M1646" s="88"/>
      <c r="N1646" s="88"/>
    </row>
    <row r="1647">
      <c r="A1647" s="90">
        <v>44791.0</v>
      </c>
      <c r="B1647" s="90">
        <v>44791.0</v>
      </c>
      <c r="C1647" s="102">
        <v>2345.0</v>
      </c>
      <c r="D1647" s="103" t="s">
        <v>226</v>
      </c>
      <c r="E1647" s="103"/>
      <c r="F1647" s="103" t="s">
        <v>228</v>
      </c>
      <c r="G1647" s="103"/>
      <c r="H1647" s="103"/>
      <c r="I1647" s="103"/>
      <c r="J1647" s="103"/>
      <c r="K1647" s="89">
        <v>1.37</v>
      </c>
      <c r="L1647" s="89">
        <v>0.8376</v>
      </c>
      <c r="M1647" s="88"/>
      <c r="N1647" s="105" t="s">
        <v>256</v>
      </c>
    </row>
    <row r="1648">
      <c r="A1648" s="90">
        <v>44791.0</v>
      </c>
      <c r="B1648" s="90">
        <v>44791.0</v>
      </c>
      <c r="C1648" s="102">
        <v>2384.0</v>
      </c>
      <c r="D1648" s="103" t="s">
        <v>226</v>
      </c>
      <c r="E1648" s="102">
        <v>0.0</v>
      </c>
      <c r="F1648" s="103" t="s">
        <v>228</v>
      </c>
      <c r="G1648" s="102">
        <v>0.0</v>
      </c>
      <c r="H1648" s="103"/>
      <c r="I1648" s="103"/>
      <c r="J1648" s="103"/>
      <c r="K1648" s="89">
        <v>0.007</v>
      </c>
      <c r="L1648" s="89">
        <v>0.0477</v>
      </c>
      <c r="M1648" s="88"/>
      <c r="N1648" s="105" t="s">
        <v>257</v>
      </c>
    </row>
    <row r="1649">
      <c r="A1649" s="90">
        <v>44816.0</v>
      </c>
      <c r="B1649" s="90">
        <v>44816.0</v>
      </c>
      <c r="C1649" s="102">
        <v>2381.0</v>
      </c>
      <c r="D1649" s="103" t="s">
        <v>226</v>
      </c>
      <c r="E1649" s="102">
        <v>1.0</v>
      </c>
      <c r="F1649" s="103" t="s">
        <v>227</v>
      </c>
      <c r="G1649" s="102">
        <v>1.0</v>
      </c>
      <c r="H1649" s="103"/>
      <c r="I1649" s="103"/>
      <c r="J1649" s="103"/>
      <c r="K1649" s="89">
        <v>0.622</v>
      </c>
      <c r="L1649" s="89">
        <v>0.3181</v>
      </c>
      <c r="M1649" s="88"/>
      <c r="N1649" s="88"/>
    </row>
    <row r="1650">
      <c r="A1650" s="90">
        <v>44816.0</v>
      </c>
      <c r="B1650" s="90">
        <v>44816.0</v>
      </c>
      <c r="C1650" s="102">
        <v>2367.0</v>
      </c>
      <c r="D1650" s="103" t="s">
        <v>226</v>
      </c>
      <c r="E1650" s="102">
        <v>0.0</v>
      </c>
      <c r="F1650" s="103" t="s">
        <v>227</v>
      </c>
      <c r="G1650" s="102">
        <v>0.0</v>
      </c>
      <c r="H1650" s="103"/>
      <c r="I1650" s="103"/>
      <c r="J1650" s="103"/>
      <c r="K1650" s="89">
        <v>0.345</v>
      </c>
      <c r="L1650" s="89">
        <v>0.237</v>
      </c>
      <c r="M1650" s="88"/>
      <c r="N1650" s="88"/>
    </row>
    <row r="1651">
      <c r="A1651" s="90">
        <v>44816.0</v>
      </c>
      <c r="B1651" s="90">
        <v>44816.0</v>
      </c>
      <c r="C1651" s="102">
        <v>2085.0</v>
      </c>
      <c r="D1651" s="103" t="s">
        <v>226</v>
      </c>
      <c r="E1651" s="102">
        <v>1.0</v>
      </c>
      <c r="F1651" s="103" t="s">
        <v>227</v>
      </c>
      <c r="G1651" s="102">
        <v>1.0</v>
      </c>
      <c r="H1651" s="103"/>
      <c r="I1651" s="103"/>
      <c r="J1651" s="103"/>
      <c r="K1651" s="89">
        <v>0.774</v>
      </c>
      <c r="L1651" s="89">
        <v>0.4143</v>
      </c>
      <c r="M1651" s="88"/>
      <c r="N1651" s="88"/>
    </row>
    <row r="1652">
      <c r="A1652" s="90">
        <v>44816.0</v>
      </c>
      <c r="B1652" s="90">
        <v>44816.0</v>
      </c>
      <c r="C1652" s="102">
        <v>2367.0</v>
      </c>
      <c r="D1652" s="103" t="s">
        <v>226</v>
      </c>
      <c r="E1652" s="102">
        <v>0.0</v>
      </c>
      <c r="F1652" s="103" t="s">
        <v>228</v>
      </c>
      <c r="G1652" s="102">
        <v>0.0</v>
      </c>
      <c r="H1652" s="103"/>
      <c r="I1652" s="103"/>
      <c r="J1652" s="103"/>
      <c r="K1652" s="89">
        <v>1.646</v>
      </c>
      <c r="L1652" s="89">
        <v>0.968</v>
      </c>
      <c r="M1652" s="88"/>
      <c r="N1652" s="88"/>
    </row>
    <row r="1653">
      <c r="A1653" s="90">
        <v>44816.0</v>
      </c>
      <c r="B1653" s="90">
        <v>44816.0</v>
      </c>
      <c r="C1653" s="102">
        <v>2381.0</v>
      </c>
      <c r="D1653" s="103" t="s">
        <v>226</v>
      </c>
      <c r="E1653" s="102">
        <v>0.0</v>
      </c>
      <c r="F1653" s="103" t="s">
        <v>227</v>
      </c>
      <c r="G1653" s="102">
        <v>0.0</v>
      </c>
      <c r="H1653" s="103"/>
      <c r="I1653" s="103"/>
      <c r="J1653" s="103"/>
      <c r="K1653" s="89">
        <v>0.545</v>
      </c>
      <c r="L1653" s="89">
        <v>0.2763</v>
      </c>
      <c r="M1653" s="88"/>
      <c r="N1653" s="88"/>
    </row>
    <row r="1654">
      <c r="A1654" s="90">
        <v>44816.0</v>
      </c>
      <c r="B1654" s="90">
        <v>44816.0</v>
      </c>
      <c r="C1654" s="102">
        <v>2381.0</v>
      </c>
      <c r="D1654" s="103" t="s">
        <v>226</v>
      </c>
      <c r="E1654" s="102">
        <v>0.0</v>
      </c>
      <c r="F1654" s="103" t="s">
        <v>228</v>
      </c>
      <c r="G1654" s="102">
        <v>0.0</v>
      </c>
      <c r="H1654" s="103"/>
      <c r="I1654" s="103"/>
      <c r="J1654" s="103"/>
      <c r="K1654" s="89">
        <v>1.287</v>
      </c>
      <c r="L1654" s="89">
        <v>0.6365</v>
      </c>
      <c r="M1654" s="88"/>
      <c r="N1654" s="88"/>
    </row>
    <row r="1655">
      <c r="A1655" s="90">
        <v>44816.0</v>
      </c>
      <c r="B1655" s="90">
        <v>44816.0</v>
      </c>
      <c r="C1655" s="102">
        <v>2367.0</v>
      </c>
      <c r="D1655" s="103" t="s">
        <v>226</v>
      </c>
      <c r="E1655" s="102">
        <v>0.0</v>
      </c>
      <c r="F1655" s="103" t="s">
        <v>227</v>
      </c>
      <c r="G1655" s="102">
        <v>0.0</v>
      </c>
      <c r="H1655" s="103"/>
      <c r="I1655" s="103"/>
      <c r="J1655" s="103"/>
      <c r="K1655" s="89">
        <v>0.475</v>
      </c>
      <c r="L1655" s="89">
        <v>0.2875</v>
      </c>
      <c r="M1655" s="88"/>
      <c r="N1655" s="88"/>
    </row>
    <row r="1656">
      <c r="A1656" s="90">
        <v>44816.0</v>
      </c>
      <c r="B1656" s="90">
        <v>44816.0</v>
      </c>
      <c r="C1656" s="102">
        <v>2090.0</v>
      </c>
      <c r="D1656" s="103" t="s">
        <v>226</v>
      </c>
      <c r="E1656" s="102">
        <v>0.0</v>
      </c>
      <c r="F1656" s="103" t="s">
        <v>228</v>
      </c>
      <c r="G1656" s="102">
        <v>0.0</v>
      </c>
      <c r="H1656" s="103"/>
      <c r="I1656" s="103"/>
      <c r="J1656" s="103"/>
      <c r="K1656" s="89">
        <v>4.156</v>
      </c>
      <c r="L1656" s="89">
        <v>2.2535</v>
      </c>
      <c r="M1656" s="88"/>
      <c r="N1656" s="88"/>
    </row>
    <row r="1657">
      <c r="A1657" s="90">
        <v>44816.0</v>
      </c>
      <c r="B1657" s="90">
        <v>44816.0</v>
      </c>
      <c r="C1657" s="102">
        <v>2027.0</v>
      </c>
      <c r="D1657" s="103" t="s">
        <v>226</v>
      </c>
      <c r="E1657" s="102">
        <v>0.0</v>
      </c>
      <c r="F1657" s="103" t="s">
        <v>228</v>
      </c>
      <c r="G1657" s="102">
        <v>0.0</v>
      </c>
      <c r="H1657" s="103"/>
      <c r="I1657" s="103"/>
      <c r="J1657" s="103"/>
      <c r="K1657" s="89">
        <v>2.855</v>
      </c>
      <c r="L1657" s="89">
        <v>1.7324</v>
      </c>
      <c r="M1657" s="88"/>
      <c r="N1657" s="88"/>
    </row>
    <row r="1658">
      <c r="A1658" s="90">
        <v>44816.0</v>
      </c>
      <c r="B1658" s="90">
        <v>44816.0</v>
      </c>
      <c r="C1658" s="102">
        <v>2027.0</v>
      </c>
      <c r="D1658" s="103" t="s">
        <v>226</v>
      </c>
      <c r="E1658" s="102">
        <v>1.0</v>
      </c>
      <c r="F1658" s="103" t="s">
        <v>227</v>
      </c>
      <c r="G1658" s="102">
        <v>1.0</v>
      </c>
      <c r="H1658" s="103"/>
      <c r="I1658" s="103"/>
      <c r="J1658" s="103"/>
      <c r="K1658" s="89">
        <v>0.845</v>
      </c>
      <c r="L1658" s="89">
        <v>0.5464</v>
      </c>
      <c r="M1658" s="88"/>
      <c r="N1658" s="88"/>
    </row>
    <row r="1659">
      <c r="A1659" s="90">
        <v>44816.0</v>
      </c>
      <c r="B1659" s="90">
        <v>44816.0</v>
      </c>
      <c r="C1659" s="102">
        <v>2383.0</v>
      </c>
      <c r="D1659" s="103" t="s">
        <v>226</v>
      </c>
      <c r="E1659" s="102">
        <v>1.0</v>
      </c>
      <c r="F1659" s="103" t="s">
        <v>227</v>
      </c>
      <c r="G1659" s="102">
        <v>1.0</v>
      </c>
      <c r="H1659" s="103"/>
      <c r="I1659" s="103"/>
      <c r="J1659" s="103"/>
      <c r="K1659" s="89">
        <v>0.27</v>
      </c>
      <c r="L1659" s="89">
        <v>0.1892</v>
      </c>
      <c r="M1659" s="88"/>
      <c r="N1659" s="88"/>
    </row>
    <row r="1660">
      <c r="A1660" s="90">
        <v>44816.0</v>
      </c>
      <c r="B1660" s="90">
        <v>44816.0</v>
      </c>
      <c r="C1660" s="102">
        <v>2020.0</v>
      </c>
      <c r="D1660" s="103" t="s">
        <v>226</v>
      </c>
      <c r="E1660" s="102">
        <v>0.0</v>
      </c>
      <c r="F1660" s="103" t="s">
        <v>227</v>
      </c>
      <c r="G1660" s="102">
        <v>0.0</v>
      </c>
      <c r="H1660" s="103"/>
      <c r="I1660" s="103"/>
      <c r="J1660" s="103"/>
      <c r="K1660" s="89">
        <v>0.541</v>
      </c>
      <c r="L1660" s="89">
        <v>0.3151</v>
      </c>
      <c r="M1660" s="88"/>
      <c r="N1660" s="88"/>
    </row>
    <row r="1661">
      <c r="A1661" s="90">
        <v>44816.0</v>
      </c>
      <c r="B1661" s="90">
        <v>44816.0</v>
      </c>
      <c r="C1661" s="102">
        <v>2379.0</v>
      </c>
      <c r="D1661" s="103" t="s">
        <v>226</v>
      </c>
      <c r="E1661" s="102">
        <v>0.0</v>
      </c>
      <c r="F1661" s="103" t="s">
        <v>228</v>
      </c>
      <c r="G1661" s="102">
        <v>0.0</v>
      </c>
      <c r="H1661" s="103"/>
      <c r="I1661" s="103"/>
      <c r="J1661" s="103"/>
      <c r="K1661" s="89">
        <v>2.359</v>
      </c>
      <c r="L1661" s="89">
        <v>1.3207</v>
      </c>
      <c r="M1661" s="88"/>
      <c r="N1661" s="88"/>
    </row>
    <row r="1662">
      <c r="A1662" s="90">
        <v>44816.0</v>
      </c>
      <c r="B1662" s="90">
        <v>44816.0</v>
      </c>
      <c r="C1662" s="102">
        <v>2376.0</v>
      </c>
      <c r="D1662" s="103" t="s">
        <v>226</v>
      </c>
      <c r="E1662" s="102">
        <v>0.0</v>
      </c>
      <c r="F1662" s="103" t="s">
        <v>227</v>
      </c>
      <c r="G1662" s="102">
        <v>0.0</v>
      </c>
      <c r="H1662" s="103"/>
      <c r="I1662" s="103"/>
      <c r="J1662" s="103"/>
      <c r="K1662" s="89">
        <v>1.13</v>
      </c>
      <c r="L1662" s="89">
        <v>0.6914</v>
      </c>
      <c r="M1662" s="88"/>
      <c r="N1662" s="88"/>
    </row>
    <row r="1663">
      <c r="A1663" s="90">
        <v>44816.0</v>
      </c>
      <c r="B1663" s="90">
        <v>44816.0</v>
      </c>
      <c r="C1663" s="102">
        <v>2380.0</v>
      </c>
      <c r="D1663" s="103" t="s">
        <v>226</v>
      </c>
      <c r="E1663" s="102">
        <v>0.0</v>
      </c>
      <c r="F1663" s="103" t="s">
        <v>228</v>
      </c>
      <c r="G1663" s="102">
        <v>0.0</v>
      </c>
      <c r="H1663" s="103"/>
      <c r="I1663" s="103"/>
      <c r="J1663" s="103"/>
      <c r="K1663" s="89">
        <v>4.67</v>
      </c>
      <c r="L1663" s="89">
        <v>2.8618</v>
      </c>
      <c r="M1663" s="88"/>
      <c r="N1663" s="88"/>
    </row>
    <row r="1664">
      <c r="A1664" s="90">
        <v>44816.0</v>
      </c>
      <c r="B1664" s="90">
        <v>44816.0</v>
      </c>
      <c r="C1664" s="102">
        <v>2376.0</v>
      </c>
      <c r="D1664" s="103" t="s">
        <v>226</v>
      </c>
      <c r="E1664" s="102">
        <v>1.0</v>
      </c>
      <c r="F1664" s="103" t="s">
        <v>227</v>
      </c>
      <c r="G1664" s="102">
        <v>1.0</v>
      </c>
      <c r="H1664" s="103"/>
      <c r="I1664" s="103"/>
      <c r="J1664" s="103"/>
      <c r="K1664" s="89">
        <v>0.29</v>
      </c>
      <c r="L1664" s="89">
        <v>0.1745</v>
      </c>
      <c r="M1664" s="88"/>
      <c r="N1664" s="88"/>
    </row>
    <row r="1665">
      <c r="A1665" s="90">
        <v>44816.0</v>
      </c>
      <c r="B1665" s="90">
        <v>44816.0</v>
      </c>
      <c r="C1665" s="102">
        <v>2382.0</v>
      </c>
      <c r="D1665" s="103" t="s">
        <v>226</v>
      </c>
      <c r="E1665" s="102">
        <v>1.0</v>
      </c>
      <c r="F1665" s="103" t="s">
        <v>227</v>
      </c>
      <c r="G1665" s="102">
        <v>1.0</v>
      </c>
      <c r="H1665" s="103"/>
      <c r="I1665" s="103"/>
      <c r="J1665" s="103"/>
      <c r="K1665" s="89">
        <v>0.125</v>
      </c>
      <c r="L1665" s="89">
        <v>0.07</v>
      </c>
      <c r="M1665" s="88"/>
      <c r="N1665" s="88"/>
    </row>
    <row r="1666">
      <c r="A1666" s="90">
        <v>44816.0</v>
      </c>
      <c r="B1666" s="90">
        <v>44816.0</v>
      </c>
      <c r="C1666" s="102">
        <v>2382.0</v>
      </c>
      <c r="D1666" s="103" t="s">
        <v>226</v>
      </c>
      <c r="E1666" s="102">
        <v>0.0</v>
      </c>
      <c r="F1666" s="103" t="s">
        <v>227</v>
      </c>
      <c r="G1666" s="102">
        <v>0.0</v>
      </c>
      <c r="H1666" s="103"/>
      <c r="I1666" s="103"/>
      <c r="J1666" s="103"/>
      <c r="K1666" s="89">
        <v>0.235</v>
      </c>
      <c r="L1666" s="89">
        <v>0.135</v>
      </c>
      <c r="M1666" s="88"/>
      <c r="N1666" s="88"/>
    </row>
    <row r="1667">
      <c r="A1667" s="90">
        <v>44816.0</v>
      </c>
      <c r="B1667" s="90">
        <v>44816.0</v>
      </c>
      <c r="C1667" s="102">
        <v>2011.0</v>
      </c>
      <c r="D1667" s="103" t="s">
        <v>226</v>
      </c>
      <c r="E1667" s="102">
        <v>0.0</v>
      </c>
      <c r="F1667" s="103" t="s">
        <v>227</v>
      </c>
      <c r="G1667" s="102">
        <v>0.0</v>
      </c>
      <c r="H1667" s="103"/>
      <c r="I1667" s="103"/>
      <c r="J1667" s="103"/>
      <c r="K1667" s="89">
        <v>1.778</v>
      </c>
      <c r="L1667" s="89">
        <v>0.9321</v>
      </c>
      <c r="M1667" s="88"/>
      <c r="N1667" s="88"/>
    </row>
    <row r="1668">
      <c r="A1668" s="90">
        <v>44816.0</v>
      </c>
      <c r="B1668" s="90">
        <v>44816.0</v>
      </c>
      <c r="C1668" s="102">
        <v>2371.0</v>
      </c>
      <c r="D1668" s="103" t="s">
        <v>226</v>
      </c>
      <c r="E1668" s="102">
        <v>0.0</v>
      </c>
      <c r="F1668" s="103" t="s">
        <v>228</v>
      </c>
      <c r="G1668" s="102">
        <v>0.0</v>
      </c>
      <c r="H1668" s="103"/>
      <c r="I1668" s="103"/>
      <c r="J1668" s="103"/>
      <c r="K1668" s="89">
        <v>4.177</v>
      </c>
      <c r="L1668" s="89">
        <v>2.3231</v>
      </c>
      <c r="M1668" s="88"/>
      <c r="N1668" s="88"/>
    </row>
    <row r="1669">
      <c r="A1669" s="90">
        <v>44816.0</v>
      </c>
      <c r="B1669" s="90">
        <v>44816.0</v>
      </c>
      <c r="C1669" s="102">
        <v>2382.0</v>
      </c>
      <c r="D1669" s="103" t="s">
        <v>226</v>
      </c>
      <c r="E1669" s="102">
        <v>0.0</v>
      </c>
      <c r="F1669" s="103" t="s">
        <v>227</v>
      </c>
      <c r="G1669" s="102">
        <v>0.0</v>
      </c>
      <c r="H1669" s="103"/>
      <c r="I1669" s="103"/>
      <c r="J1669" s="103"/>
      <c r="K1669" s="89">
        <v>0.968</v>
      </c>
      <c r="L1669" s="89">
        <v>0.6133</v>
      </c>
      <c r="M1669" s="88"/>
      <c r="N1669" s="88"/>
    </row>
    <row r="1670">
      <c r="A1670" s="90">
        <v>44816.0</v>
      </c>
      <c r="B1670" s="90">
        <v>44816.0</v>
      </c>
      <c r="C1670" s="102">
        <v>2382.0</v>
      </c>
      <c r="D1670" s="103" t="s">
        <v>226</v>
      </c>
      <c r="E1670" s="102">
        <v>1.0</v>
      </c>
      <c r="F1670" s="103" t="s">
        <v>227</v>
      </c>
      <c r="G1670" s="102">
        <v>1.0</v>
      </c>
      <c r="H1670" s="103"/>
      <c r="I1670" s="103"/>
      <c r="J1670" s="103"/>
      <c r="K1670" s="89">
        <v>0.797</v>
      </c>
      <c r="L1670" s="89">
        <v>0.4885</v>
      </c>
      <c r="M1670" s="88"/>
      <c r="N1670" s="88"/>
    </row>
    <row r="1671">
      <c r="A1671" s="90">
        <v>44816.0</v>
      </c>
      <c r="B1671" s="90">
        <v>44816.0</v>
      </c>
      <c r="C1671" s="102">
        <v>2379.0</v>
      </c>
      <c r="D1671" s="103" t="s">
        <v>226</v>
      </c>
      <c r="E1671" s="102">
        <v>0.0</v>
      </c>
      <c r="F1671" s="103" t="s">
        <v>227</v>
      </c>
      <c r="G1671" s="102">
        <v>0.0</v>
      </c>
      <c r="H1671" s="103"/>
      <c r="I1671" s="103"/>
      <c r="J1671" s="103"/>
      <c r="K1671" s="89">
        <v>0.357</v>
      </c>
      <c r="L1671" s="89">
        <v>0.212</v>
      </c>
      <c r="M1671" s="88"/>
      <c r="N1671" s="88"/>
    </row>
    <row r="1672">
      <c r="A1672" s="90">
        <v>44816.0</v>
      </c>
      <c r="B1672" s="90">
        <v>44816.0</v>
      </c>
      <c r="C1672" s="102">
        <v>2303.0</v>
      </c>
      <c r="D1672" s="103" t="s">
        <v>226</v>
      </c>
      <c r="E1672" s="102">
        <v>0.0</v>
      </c>
      <c r="F1672" s="103" t="s">
        <v>227</v>
      </c>
      <c r="G1672" s="102">
        <v>0.0</v>
      </c>
      <c r="H1672" s="103"/>
      <c r="I1672" s="103"/>
      <c r="J1672" s="103"/>
      <c r="K1672" s="89">
        <v>0.368</v>
      </c>
      <c r="L1672" s="89">
        <v>0.2465</v>
      </c>
      <c r="M1672" s="88"/>
      <c r="N1672" s="88"/>
    </row>
    <row r="1673">
      <c r="A1673" s="90">
        <v>44816.0</v>
      </c>
      <c r="B1673" s="90">
        <v>44816.0</v>
      </c>
      <c r="C1673" s="102">
        <v>2011.0</v>
      </c>
      <c r="D1673" s="103" t="s">
        <v>226</v>
      </c>
      <c r="E1673" s="102">
        <v>1.0</v>
      </c>
      <c r="F1673" s="103" t="s">
        <v>227</v>
      </c>
      <c r="G1673" s="102">
        <v>1.0</v>
      </c>
      <c r="H1673" s="103"/>
      <c r="I1673" s="103"/>
      <c r="J1673" s="103"/>
      <c r="K1673" s="89">
        <v>2.172</v>
      </c>
      <c r="L1673" s="89">
        <v>1.1794</v>
      </c>
      <c r="M1673" s="88"/>
      <c r="N1673" s="88"/>
    </row>
    <row r="1674">
      <c r="A1674" s="90">
        <v>44816.0</v>
      </c>
      <c r="B1674" s="90">
        <v>44816.0</v>
      </c>
      <c r="C1674" s="102">
        <v>2369.0</v>
      </c>
      <c r="D1674" s="103" t="s">
        <v>226</v>
      </c>
      <c r="E1674" s="102">
        <v>0.0</v>
      </c>
      <c r="F1674" s="103" t="s">
        <v>228</v>
      </c>
      <c r="G1674" s="102">
        <v>0.0</v>
      </c>
      <c r="H1674" s="103"/>
      <c r="I1674" s="103"/>
      <c r="J1674" s="103"/>
      <c r="K1674" s="89">
        <v>2.255</v>
      </c>
      <c r="L1674" s="89">
        <v>1.384</v>
      </c>
      <c r="M1674" s="88"/>
      <c r="N1674" s="88"/>
    </row>
    <row r="1675">
      <c r="A1675" s="90">
        <v>44816.0</v>
      </c>
      <c r="B1675" s="90">
        <v>44816.0</v>
      </c>
      <c r="C1675" s="102">
        <v>2369.0</v>
      </c>
      <c r="D1675" s="103" t="s">
        <v>226</v>
      </c>
      <c r="E1675" s="102">
        <v>1.0</v>
      </c>
      <c r="F1675" s="103" t="s">
        <v>227</v>
      </c>
      <c r="G1675" s="102">
        <v>1.0</v>
      </c>
      <c r="H1675" s="103"/>
      <c r="I1675" s="103"/>
      <c r="J1675" s="103"/>
      <c r="K1675" s="89">
        <v>404.0</v>
      </c>
      <c r="L1675" s="89">
        <v>0.2665</v>
      </c>
      <c r="M1675" s="88"/>
      <c r="N1675" s="88"/>
    </row>
    <row r="1676">
      <c r="A1676" s="90">
        <v>44816.0</v>
      </c>
      <c r="B1676" s="90">
        <v>44816.0</v>
      </c>
      <c r="C1676" s="102">
        <v>2383.0</v>
      </c>
      <c r="D1676" s="103" t="s">
        <v>226</v>
      </c>
      <c r="E1676" s="102">
        <v>0.0</v>
      </c>
      <c r="F1676" s="103" t="s">
        <v>227</v>
      </c>
      <c r="G1676" s="102">
        <v>0.0</v>
      </c>
      <c r="H1676" s="103"/>
      <c r="I1676" s="103"/>
      <c r="J1676" s="103"/>
      <c r="K1676" s="89">
        <v>0.437</v>
      </c>
      <c r="L1676" s="89">
        <v>0.2902</v>
      </c>
      <c r="M1676" s="88"/>
      <c r="N1676" s="88"/>
    </row>
    <row r="1677">
      <c r="A1677" s="90">
        <v>44816.0</v>
      </c>
      <c r="B1677" s="90">
        <v>44816.0</v>
      </c>
      <c r="C1677" s="102">
        <v>2371.0</v>
      </c>
      <c r="D1677" s="103" t="s">
        <v>226</v>
      </c>
      <c r="E1677" s="102">
        <v>0.0</v>
      </c>
      <c r="F1677" s="103" t="s">
        <v>227</v>
      </c>
      <c r="G1677" s="102">
        <v>0.0</v>
      </c>
      <c r="H1677" s="103"/>
      <c r="I1677" s="103"/>
      <c r="J1677" s="103"/>
      <c r="K1677" s="89">
        <v>0.444</v>
      </c>
      <c r="L1677" s="89">
        <v>0.2578</v>
      </c>
      <c r="M1677" s="88"/>
      <c r="N1677" s="88"/>
    </row>
    <row r="1678">
      <c r="A1678" s="90">
        <v>44816.0</v>
      </c>
      <c r="B1678" s="90">
        <v>44816.0</v>
      </c>
      <c r="C1678" s="102">
        <v>2382.0</v>
      </c>
      <c r="D1678" s="103" t="s">
        <v>226</v>
      </c>
      <c r="E1678" s="102">
        <v>0.0</v>
      </c>
      <c r="F1678" s="103" t="s">
        <v>228</v>
      </c>
      <c r="G1678" s="102">
        <v>0.0</v>
      </c>
      <c r="H1678" s="103"/>
      <c r="I1678" s="103"/>
      <c r="J1678" s="103"/>
      <c r="K1678" s="89">
        <v>2.048</v>
      </c>
      <c r="L1678" s="89">
        <v>1.2</v>
      </c>
      <c r="M1678" s="88"/>
      <c r="N1678" s="88"/>
    </row>
    <row r="1679">
      <c r="A1679" s="90">
        <v>44816.0</v>
      </c>
      <c r="B1679" s="90">
        <v>44816.0</v>
      </c>
      <c r="C1679" s="102">
        <v>2371.0</v>
      </c>
      <c r="D1679" s="103" t="s">
        <v>226</v>
      </c>
      <c r="E1679" s="102">
        <v>1.0</v>
      </c>
      <c r="F1679" s="103" t="s">
        <v>227</v>
      </c>
      <c r="G1679" s="102">
        <v>1.0</v>
      </c>
      <c r="H1679" s="103"/>
      <c r="I1679" s="103"/>
      <c r="J1679" s="103"/>
      <c r="K1679" s="89">
        <v>0.423</v>
      </c>
      <c r="L1679" s="89">
        <v>0.2539</v>
      </c>
      <c r="M1679" s="88"/>
      <c r="N1679" s="88"/>
    </row>
    <row r="1680">
      <c r="A1680" s="90">
        <v>44816.0</v>
      </c>
      <c r="B1680" s="90">
        <v>44816.0</v>
      </c>
      <c r="C1680" s="102">
        <v>2347.0</v>
      </c>
      <c r="D1680" s="103" t="s">
        <v>226</v>
      </c>
      <c r="E1680" s="102">
        <v>0.0</v>
      </c>
      <c r="F1680" s="103" t="s">
        <v>228</v>
      </c>
      <c r="G1680" s="102">
        <v>0.0</v>
      </c>
      <c r="H1680" s="103"/>
      <c r="I1680" s="103"/>
      <c r="J1680" s="103"/>
      <c r="K1680" s="89">
        <v>2.439</v>
      </c>
      <c r="L1680" s="89">
        <v>1.3946</v>
      </c>
      <c r="M1680" s="88"/>
      <c r="N1680" s="88"/>
    </row>
    <row r="1681">
      <c r="A1681" s="90">
        <v>44816.0</v>
      </c>
      <c r="B1681" s="90">
        <v>44816.0</v>
      </c>
      <c r="C1681" s="102">
        <v>2347.0</v>
      </c>
      <c r="D1681" s="103" t="s">
        <v>226</v>
      </c>
      <c r="E1681" s="102">
        <v>0.0</v>
      </c>
      <c r="F1681" s="103" t="s">
        <v>227</v>
      </c>
      <c r="G1681" s="102">
        <v>0.0</v>
      </c>
      <c r="H1681" s="103"/>
      <c r="I1681" s="103"/>
      <c r="J1681" s="103"/>
      <c r="K1681" s="89">
        <v>0.606</v>
      </c>
      <c r="L1681" s="89">
        <v>0.3894</v>
      </c>
      <c r="M1681" s="88"/>
      <c r="N1681" s="88"/>
    </row>
    <row r="1682">
      <c r="A1682" s="90">
        <v>44816.0</v>
      </c>
      <c r="B1682" s="90">
        <v>44816.0</v>
      </c>
      <c r="C1682" s="102">
        <v>2847.0</v>
      </c>
      <c r="D1682" s="103" t="s">
        <v>226</v>
      </c>
      <c r="E1682" s="102">
        <v>1.0</v>
      </c>
      <c r="F1682" s="103" t="s">
        <v>227</v>
      </c>
      <c r="G1682" s="102">
        <v>1.0</v>
      </c>
      <c r="H1682" s="103"/>
      <c r="I1682" s="103"/>
      <c r="J1682" s="103"/>
      <c r="K1682" s="89">
        <v>0.713</v>
      </c>
      <c r="L1682" s="89">
        <v>0.4618</v>
      </c>
      <c r="M1682" s="88"/>
      <c r="N1682" s="88"/>
    </row>
    <row r="1683">
      <c r="A1683" s="90">
        <v>44816.0</v>
      </c>
      <c r="B1683" s="90">
        <v>44816.0</v>
      </c>
      <c r="C1683" s="102">
        <v>2365.0</v>
      </c>
      <c r="D1683" s="103" t="s">
        <v>226</v>
      </c>
      <c r="E1683" s="102">
        <v>0.0</v>
      </c>
      <c r="F1683" s="103" t="s">
        <v>228</v>
      </c>
      <c r="G1683" s="102">
        <v>0.0</v>
      </c>
      <c r="H1683" s="103"/>
      <c r="I1683" s="103"/>
      <c r="J1683" s="103"/>
      <c r="K1683" s="89">
        <v>0.425</v>
      </c>
      <c r="L1683" s="89">
        <v>0.2643</v>
      </c>
      <c r="M1683" s="88"/>
      <c r="N1683" s="88"/>
    </row>
    <row r="1684">
      <c r="A1684" s="90">
        <v>44816.0</v>
      </c>
      <c r="B1684" s="90">
        <v>44816.0</v>
      </c>
      <c r="C1684" s="102">
        <v>2365.0</v>
      </c>
      <c r="D1684" s="103" t="s">
        <v>226</v>
      </c>
      <c r="E1684" s="102">
        <v>0.0</v>
      </c>
      <c r="F1684" s="103" t="s">
        <v>227</v>
      </c>
      <c r="G1684" s="102">
        <v>0.0</v>
      </c>
      <c r="H1684" s="103"/>
      <c r="I1684" s="103"/>
      <c r="J1684" s="103"/>
      <c r="K1684" s="89">
        <v>0.198</v>
      </c>
      <c r="L1684" s="89">
        <v>0.1402</v>
      </c>
      <c r="M1684" s="88"/>
      <c r="N1684" s="88"/>
    </row>
    <row r="1685">
      <c r="A1685" s="90">
        <v>44816.0</v>
      </c>
      <c r="B1685" s="90">
        <v>44816.0</v>
      </c>
      <c r="C1685" s="102">
        <v>2020.0</v>
      </c>
      <c r="D1685" s="103" t="s">
        <v>226</v>
      </c>
      <c r="E1685" s="102">
        <v>1.0</v>
      </c>
      <c r="F1685" s="103" t="s">
        <v>227</v>
      </c>
      <c r="G1685" s="102">
        <v>1.0</v>
      </c>
      <c r="H1685" s="103"/>
      <c r="I1685" s="103"/>
      <c r="J1685" s="103"/>
      <c r="K1685" s="89">
        <v>1.595</v>
      </c>
      <c r="L1685" s="89">
        <v>0.9716</v>
      </c>
      <c r="M1685" s="88"/>
      <c r="N1685" s="88"/>
    </row>
    <row r="1686">
      <c r="A1686" s="90">
        <v>44816.0</v>
      </c>
      <c r="B1686" s="90">
        <v>44816.0</v>
      </c>
      <c r="C1686" s="102">
        <v>2086.0</v>
      </c>
      <c r="D1686" s="103" t="s">
        <v>226</v>
      </c>
      <c r="E1686" s="102">
        <v>0.0</v>
      </c>
      <c r="F1686" s="103" t="s">
        <v>228</v>
      </c>
      <c r="G1686" s="102">
        <v>0.0</v>
      </c>
      <c r="H1686" s="103"/>
      <c r="I1686" s="103"/>
      <c r="J1686" s="103"/>
      <c r="K1686" s="89">
        <v>3.982</v>
      </c>
      <c r="L1686" s="89">
        <v>2.0991</v>
      </c>
      <c r="M1686" s="88"/>
      <c r="N1686" s="88"/>
    </row>
    <row r="1687">
      <c r="A1687" s="90">
        <v>44816.0</v>
      </c>
      <c r="B1687" s="90">
        <v>44816.0</v>
      </c>
      <c r="C1687" s="102">
        <v>2006.0</v>
      </c>
      <c r="D1687" s="103" t="s">
        <v>226</v>
      </c>
      <c r="E1687" s="102">
        <v>0.0</v>
      </c>
      <c r="F1687" s="103" t="s">
        <v>227</v>
      </c>
      <c r="G1687" s="102">
        <v>0.0</v>
      </c>
      <c r="H1687" s="103"/>
      <c r="I1687" s="103"/>
      <c r="J1687" s="103"/>
      <c r="K1687" s="89">
        <v>0.741</v>
      </c>
      <c r="L1687" s="89">
        <v>0.4687</v>
      </c>
      <c r="M1687" s="88"/>
      <c r="N1687" s="88"/>
    </row>
    <row r="1688">
      <c r="A1688" s="90">
        <v>44816.0</v>
      </c>
      <c r="B1688" s="90">
        <v>44816.0</v>
      </c>
      <c r="C1688" s="102">
        <v>2026.0</v>
      </c>
      <c r="D1688" s="103" t="s">
        <v>226</v>
      </c>
      <c r="E1688" s="102">
        <v>0.0</v>
      </c>
      <c r="F1688" s="103" t="s">
        <v>227</v>
      </c>
      <c r="G1688" s="102">
        <v>0.0</v>
      </c>
      <c r="H1688" s="103"/>
      <c r="I1688" s="103"/>
      <c r="J1688" s="103"/>
      <c r="K1688" s="89">
        <v>0.6222</v>
      </c>
      <c r="L1688" s="89">
        <v>0.387</v>
      </c>
      <c r="M1688" s="88"/>
      <c r="N1688" s="88"/>
    </row>
    <row r="1689">
      <c r="A1689" s="90">
        <v>44816.0</v>
      </c>
      <c r="B1689" s="90">
        <v>44816.0</v>
      </c>
      <c r="C1689" s="102">
        <v>2021.0</v>
      </c>
      <c r="D1689" s="103" t="s">
        <v>226</v>
      </c>
      <c r="E1689" s="102">
        <v>0.0</v>
      </c>
      <c r="F1689" s="103" t="s">
        <v>227</v>
      </c>
      <c r="G1689" s="102">
        <v>0.0</v>
      </c>
      <c r="H1689" s="103"/>
      <c r="I1689" s="103"/>
      <c r="J1689" s="103"/>
      <c r="K1689" s="89">
        <v>0.5639</v>
      </c>
      <c r="L1689" s="89">
        <v>0.3394</v>
      </c>
      <c r="M1689" s="88"/>
      <c r="N1689" s="88"/>
    </row>
    <row r="1690">
      <c r="A1690" s="90">
        <v>44816.0</v>
      </c>
      <c r="B1690" s="90">
        <v>44816.0</v>
      </c>
      <c r="C1690" s="102">
        <v>2026.0</v>
      </c>
      <c r="D1690" s="103" t="s">
        <v>226</v>
      </c>
      <c r="E1690" s="102">
        <v>0.0</v>
      </c>
      <c r="F1690" s="103" t="s">
        <v>228</v>
      </c>
      <c r="G1690" s="102">
        <v>0.0</v>
      </c>
      <c r="H1690" s="103"/>
      <c r="I1690" s="103"/>
      <c r="J1690" s="103"/>
      <c r="K1690" s="89">
        <v>2.2949</v>
      </c>
      <c r="L1690" s="89">
        <v>1.3721</v>
      </c>
      <c r="M1690" s="88"/>
      <c r="N1690" s="88"/>
    </row>
    <row r="1691">
      <c r="A1691" s="90">
        <v>44816.0</v>
      </c>
      <c r="B1691" s="90">
        <v>44816.0</v>
      </c>
      <c r="C1691" s="102">
        <v>2021.0</v>
      </c>
      <c r="D1691" s="103" t="s">
        <v>226</v>
      </c>
      <c r="E1691" s="102">
        <v>0.0</v>
      </c>
      <c r="F1691" s="103" t="s">
        <v>228</v>
      </c>
      <c r="G1691" s="102">
        <v>0.0</v>
      </c>
      <c r="H1691" s="103"/>
      <c r="I1691" s="103"/>
      <c r="J1691" s="103"/>
      <c r="K1691" s="89">
        <v>2.5989</v>
      </c>
      <c r="L1691" s="89">
        <v>1.4178</v>
      </c>
      <c r="M1691" s="88"/>
      <c r="N1691" s="88"/>
    </row>
    <row r="1692">
      <c r="A1692" s="90">
        <v>44816.0</v>
      </c>
      <c r="B1692" s="90">
        <v>44816.0</v>
      </c>
      <c r="C1692" s="102">
        <v>2021.0</v>
      </c>
      <c r="D1692" s="103" t="s">
        <v>226</v>
      </c>
      <c r="E1692" s="102">
        <v>0.0</v>
      </c>
      <c r="F1692" s="103" t="s">
        <v>228</v>
      </c>
      <c r="G1692" s="102">
        <v>0.0</v>
      </c>
      <c r="H1692" s="103"/>
      <c r="I1692" s="103"/>
      <c r="J1692" s="103"/>
      <c r="K1692" s="89">
        <v>3.6594</v>
      </c>
      <c r="L1692" s="89">
        <v>2.0533</v>
      </c>
      <c r="M1692" s="88"/>
      <c r="N1692" s="88"/>
    </row>
    <row r="1693">
      <c r="A1693" s="90">
        <v>44816.0</v>
      </c>
      <c r="B1693" s="90">
        <v>44816.0</v>
      </c>
      <c r="C1693" s="102">
        <v>2025.0</v>
      </c>
      <c r="D1693" s="103" t="s">
        <v>226</v>
      </c>
      <c r="E1693" s="102">
        <v>0.0</v>
      </c>
      <c r="F1693" s="103" t="s">
        <v>228</v>
      </c>
      <c r="G1693" s="102">
        <v>0.0</v>
      </c>
      <c r="H1693" s="103"/>
      <c r="I1693" s="103"/>
      <c r="J1693" s="103"/>
      <c r="K1693" s="89">
        <v>0.3977</v>
      </c>
      <c r="L1693" s="89">
        <v>0.2316</v>
      </c>
      <c r="M1693" s="88"/>
      <c r="N1693" s="88"/>
    </row>
    <row r="1694">
      <c r="A1694" s="90">
        <v>44816.0</v>
      </c>
      <c r="B1694" s="90">
        <v>44816.0</v>
      </c>
      <c r="C1694" s="102">
        <v>2021.0</v>
      </c>
      <c r="D1694" s="103" t="s">
        <v>226</v>
      </c>
      <c r="E1694" s="102">
        <v>1.0</v>
      </c>
      <c r="F1694" s="103" t="s">
        <v>227</v>
      </c>
      <c r="G1694" s="102">
        <v>1.0</v>
      </c>
      <c r="H1694" s="103"/>
      <c r="I1694" s="103"/>
      <c r="J1694" s="103"/>
      <c r="K1694" s="89">
        <v>1.0533</v>
      </c>
      <c r="L1694" s="89">
        <v>0.6183</v>
      </c>
      <c r="M1694" s="88"/>
      <c r="N1694" s="88"/>
    </row>
    <row r="1695">
      <c r="A1695" s="90">
        <v>44816.0</v>
      </c>
      <c r="B1695" s="90">
        <v>44816.0</v>
      </c>
      <c r="C1695" s="102">
        <v>2024.0</v>
      </c>
      <c r="D1695" s="103" t="s">
        <v>226</v>
      </c>
      <c r="E1695" s="102">
        <v>0.0</v>
      </c>
      <c r="F1695" s="103" t="s">
        <v>228</v>
      </c>
      <c r="G1695" s="102">
        <v>0.0</v>
      </c>
      <c r="H1695" s="103"/>
      <c r="I1695" s="103"/>
      <c r="J1695" s="103"/>
      <c r="K1695" s="89">
        <v>1.5572</v>
      </c>
      <c r="L1695" s="89">
        <v>0.957</v>
      </c>
      <c r="M1695" s="88"/>
      <c r="N1695" s="88"/>
    </row>
    <row r="1696">
      <c r="A1696" s="90">
        <v>44816.0</v>
      </c>
      <c r="B1696" s="90">
        <v>44816.0</v>
      </c>
      <c r="C1696" s="102">
        <v>2024.0</v>
      </c>
      <c r="D1696" s="103" t="s">
        <v>226</v>
      </c>
      <c r="E1696" s="102">
        <v>1.0</v>
      </c>
      <c r="F1696" s="103" t="s">
        <v>227</v>
      </c>
      <c r="G1696" s="102">
        <v>1.0</v>
      </c>
      <c r="H1696" s="103"/>
      <c r="I1696" s="103"/>
      <c r="J1696" s="103"/>
      <c r="K1696" s="89">
        <v>0.6625</v>
      </c>
      <c r="L1696" s="89">
        <v>0.4</v>
      </c>
      <c r="M1696" s="88"/>
      <c r="N1696" s="88"/>
    </row>
    <row r="1697">
      <c r="A1697" s="90">
        <v>44816.0</v>
      </c>
      <c r="B1697" s="90">
        <v>44816.0</v>
      </c>
      <c r="C1697" s="102">
        <v>2024.0</v>
      </c>
      <c r="D1697" s="103" t="s">
        <v>226</v>
      </c>
      <c r="E1697" s="102">
        <v>0.0</v>
      </c>
      <c r="F1697" s="103" t="s">
        <v>227</v>
      </c>
      <c r="G1697" s="102">
        <v>0.0</v>
      </c>
      <c r="H1697" s="103"/>
      <c r="I1697" s="103"/>
      <c r="J1697" s="103"/>
      <c r="K1697" s="89">
        <v>0.2932</v>
      </c>
      <c r="L1697" s="89">
        <v>0.195</v>
      </c>
      <c r="M1697" s="88"/>
      <c r="N1697" s="88"/>
    </row>
    <row r="1698">
      <c r="A1698" s="90">
        <v>44816.0</v>
      </c>
      <c r="B1698" s="90">
        <v>44816.0</v>
      </c>
      <c r="C1698" s="102">
        <v>2024.0</v>
      </c>
      <c r="D1698" s="103" t="s">
        <v>226</v>
      </c>
      <c r="E1698" s="102">
        <v>0.0</v>
      </c>
      <c r="F1698" s="103" t="s">
        <v>227</v>
      </c>
      <c r="G1698" s="102">
        <v>0.0</v>
      </c>
      <c r="H1698" s="103"/>
      <c r="I1698" s="103"/>
      <c r="J1698" s="103"/>
      <c r="K1698" s="89">
        <v>0.5148</v>
      </c>
      <c r="L1698" s="89">
        <v>0.3185</v>
      </c>
      <c r="M1698" s="88"/>
      <c r="N1698" s="88"/>
    </row>
    <row r="1699">
      <c r="A1699" s="90">
        <v>44816.0</v>
      </c>
      <c r="B1699" s="90">
        <v>44816.0</v>
      </c>
      <c r="C1699" s="102">
        <v>2024.0</v>
      </c>
      <c r="D1699" s="103" t="s">
        <v>226</v>
      </c>
      <c r="E1699" s="102">
        <v>0.0</v>
      </c>
      <c r="F1699" s="103" t="s">
        <v>228</v>
      </c>
      <c r="G1699" s="102">
        <v>0.0</v>
      </c>
      <c r="H1699" s="103"/>
      <c r="I1699" s="103"/>
      <c r="J1699" s="103"/>
      <c r="K1699" s="89">
        <v>3.3979</v>
      </c>
      <c r="L1699" s="89">
        <v>1.921</v>
      </c>
      <c r="M1699" s="88"/>
      <c r="N1699" s="88"/>
    </row>
    <row r="1700">
      <c r="A1700" s="90">
        <v>44816.0</v>
      </c>
      <c r="B1700" s="90">
        <v>44816.0</v>
      </c>
      <c r="C1700" s="102">
        <v>2025.0</v>
      </c>
      <c r="D1700" s="103" t="s">
        <v>226</v>
      </c>
      <c r="E1700" s="102">
        <v>0.0</v>
      </c>
      <c r="F1700" s="103" t="s">
        <v>227</v>
      </c>
      <c r="G1700" s="102">
        <v>0.0</v>
      </c>
      <c r="H1700" s="103"/>
      <c r="I1700" s="103"/>
      <c r="J1700" s="103"/>
      <c r="K1700" s="89">
        <v>0.0625</v>
      </c>
      <c r="L1700" s="89">
        <v>0.0417</v>
      </c>
      <c r="M1700" s="88"/>
      <c r="N1700" s="88"/>
    </row>
    <row r="1701">
      <c r="A1701" s="90">
        <v>44816.0</v>
      </c>
      <c r="B1701" s="90">
        <v>44816.0</v>
      </c>
      <c r="C1701" s="102">
        <v>2025.0</v>
      </c>
      <c r="D1701" s="103" t="s">
        <v>226</v>
      </c>
      <c r="E1701" s="102">
        <v>1.0</v>
      </c>
      <c r="F1701" s="103" t="s">
        <v>227</v>
      </c>
      <c r="G1701" s="102">
        <v>1.0</v>
      </c>
      <c r="H1701" s="103"/>
      <c r="I1701" s="103"/>
      <c r="J1701" s="103"/>
      <c r="K1701" s="89">
        <v>0.0489</v>
      </c>
      <c r="L1701" s="89">
        <v>0.0325</v>
      </c>
      <c r="M1701" s="88"/>
      <c r="N1701" s="88"/>
    </row>
    <row r="1702">
      <c r="A1702" s="90">
        <v>44816.0</v>
      </c>
      <c r="B1702" s="90">
        <v>44816.0</v>
      </c>
      <c r="C1702" s="102">
        <v>2365.0</v>
      </c>
      <c r="D1702" s="103" t="s">
        <v>226</v>
      </c>
      <c r="E1702" s="102">
        <v>0.0</v>
      </c>
      <c r="F1702" s="103" t="s">
        <v>227</v>
      </c>
      <c r="G1702" s="102">
        <v>0.0</v>
      </c>
      <c r="H1702" s="103"/>
      <c r="I1702" s="103"/>
      <c r="J1702" s="103"/>
      <c r="K1702" s="89">
        <v>0.1826</v>
      </c>
      <c r="L1702" s="89">
        <v>0.1209</v>
      </c>
      <c r="M1702" s="88"/>
      <c r="N1702" s="88"/>
    </row>
    <row r="1703">
      <c r="A1703" s="90">
        <v>44816.0</v>
      </c>
      <c r="B1703" s="90">
        <v>44816.0</v>
      </c>
      <c r="C1703" s="102">
        <v>2365.0</v>
      </c>
      <c r="D1703" s="103" t="s">
        <v>226</v>
      </c>
      <c r="E1703" s="102">
        <v>1.0</v>
      </c>
      <c r="F1703" s="103" t="s">
        <v>227</v>
      </c>
      <c r="G1703" s="102">
        <v>1.0</v>
      </c>
      <c r="H1703" s="103"/>
      <c r="I1703" s="103"/>
      <c r="J1703" s="103"/>
      <c r="K1703" s="89">
        <v>0.1383</v>
      </c>
      <c r="L1703" s="89">
        <v>0.0873</v>
      </c>
      <c r="M1703" s="88"/>
      <c r="N1703" s="88"/>
    </row>
    <row r="1704">
      <c r="A1704" s="90">
        <v>44816.0</v>
      </c>
      <c r="B1704" s="90">
        <v>44816.0</v>
      </c>
      <c r="C1704" s="102">
        <v>2343.0</v>
      </c>
      <c r="D1704" s="103" t="s">
        <v>226</v>
      </c>
      <c r="E1704" s="102">
        <v>1.0</v>
      </c>
      <c r="F1704" s="103" t="s">
        <v>227</v>
      </c>
      <c r="G1704" s="102">
        <v>1.0</v>
      </c>
      <c r="H1704" s="103"/>
      <c r="I1704" s="103"/>
      <c r="J1704" s="103"/>
      <c r="K1704" s="89">
        <v>2.009</v>
      </c>
      <c r="L1704" s="89">
        <v>1.035</v>
      </c>
      <c r="M1704" s="88"/>
      <c r="N1704" s="88"/>
    </row>
    <row r="1705">
      <c r="A1705" s="90">
        <v>44816.0</v>
      </c>
      <c r="B1705" s="90">
        <v>44816.0</v>
      </c>
      <c r="C1705" s="102">
        <v>2375.0</v>
      </c>
      <c r="D1705" s="103" t="s">
        <v>226</v>
      </c>
      <c r="E1705" s="102">
        <v>0.0</v>
      </c>
      <c r="F1705" s="103" t="s">
        <v>227</v>
      </c>
      <c r="G1705" s="102">
        <v>0.0</v>
      </c>
      <c r="H1705" s="103"/>
      <c r="I1705" s="103"/>
      <c r="J1705" s="103"/>
      <c r="K1705" s="89">
        <v>1.068</v>
      </c>
      <c r="L1705" s="89">
        <v>0.569</v>
      </c>
      <c r="M1705" s="88"/>
      <c r="N1705" s="88"/>
    </row>
    <row r="1706">
      <c r="A1706" s="90">
        <v>44816.0</v>
      </c>
      <c r="B1706" s="90">
        <v>44816.0</v>
      </c>
      <c r="C1706" s="102">
        <v>2010.0</v>
      </c>
      <c r="D1706" s="103" t="s">
        <v>226</v>
      </c>
      <c r="E1706" s="102">
        <v>1.0</v>
      </c>
      <c r="F1706" s="103" t="s">
        <v>227</v>
      </c>
      <c r="G1706" s="102">
        <v>1.0</v>
      </c>
      <c r="H1706" s="103"/>
      <c r="I1706" s="103"/>
      <c r="J1706" s="103"/>
      <c r="K1706" s="89">
        <v>0.3092</v>
      </c>
      <c r="L1706" s="89">
        <v>0.2124</v>
      </c>
      <c r="M1706" s="88"/>
      <c r="N1706" s="88"/>
    </row>
    <row r="1707">
      <c r="A1707" s="90">
        <v>44816.0</v>
      </c>
      <c r="B1707" s="90">
        <v>44816.0</v>
      </c>
      <c r="C1707" s="102">
        <v>2352.0</v>
      </c>
      <c r="D1707" s="103" t="s">
        <v>226</v>
      </c>
      <c r="E1707" s="102">
        <v>0.0</v>
      </c>
      <c r="F1707" s="103" t="s">
        <v>227</v>
      </c>
      <c r="G1707" s="102">
        <v>0.0</v>
      </c>
      <c r="H1707" s="103"/>
      <c r="I1707" s="103"/>
      <c r="J1707" s="103"/>
      <c r="K1707" s="89">
        <v>0.0203</v>
      </c>
      <c r="L1707" s="89">
        <v>0.0145</v>
      </c>
      <c r="M1707" s="88"/>
      <c r="N1707" s="88"/>
    </row>
    <row r="1708">
      <c r="A1708" s="90">
        <v>44816.0</v>
      </c>
      <c r="B1708" s="90">
        <v>44816.0</v>
      </c>
      <c r="C1708" s="102">
        <v>2010.0</v>
      </c>
      <c r="D1708" s="103" t="s">
        <v>226</v>
      </c>
      <c r="E1708" s="102">
        <v>0.0</v>
      </c>
      <c r="F1708" s="103" t="s">
        <v>227</v>
      </c>
      <c r="G1708" s="102">
        <v>0.0</v>
      </c>
      <c r="H1708" s="103"/>
      <c r="I1708" s="103"/>
      <c r="J1708" s="103"/>
      <c r="K1708" s="89">
        <v>0.2701</v>
      </c>
      <c r="L1708" s="89">
        <v>0.1904</v>
      </c>
      <c r="M1708" s="88"/>
      <c r="N1708" s="88"/>
    </row>
    <row r="1709">
      <c r="A1709" s="90">
        <v>44816.0</v>
      </c>
      <c r="B1709" s="90">
        <v>44816.0</v>
      </c>
      <c r="C1709" s="102">
        <v>2343.0</v>
      </c>
      <c r="D1709" s="103" t="s">
        <v>226</v>
      </c>
      <c r="E1709" s="102">
        <v>0.0</v>
      </c>
      <c r="F1709" s="103" t="s">
        <v>227</v>
      </c>
      <c r="G1709" s="102">
        <v>0.0</v>
      </c>
      <c r="H1709" s="103"/>
      <c r="I1709" s="103"/>
      <c r="J1709" s="103"/>
      <c r="K1709" s="89">
        <v>0.5279</v>
      </c>
      <c r="L1709" s="89">
        <v>0.3062</v>
      </c>
      <c r="M1709" s="88"/>
      <c r="N1709" s="88"/>
    </row>
    <row r="1710">
      <c r="A1710" s="90">
        <v>44816.0</v>
      </c>
      <c r="B1710" s="90">
        <v>44816.0</v>
      </c>
      <c r="C1710" s="102">
        <v>2345.0</v>
      </c>
      <c r="D1710" s="103" t="s">
        <v>226</v>
      </c>
      <c r="E1710" s="102">
        <v>0.0</v>
      </c>
      <c r="F1710" s="103" t="s">
        <v>227</v>
      </c>
      <c r="G1710" s="102">
        <v>0.0</v>
      </c>
      <c r="H1710" s="103"/>
      <c r="I1710" s="103"/>
      <c r="J1710" s="103"/>
      <c r="K1710" s="89">
        <v>0.083</v>
      </c>
      <c r="L1710" s="89">
        <v>0.0425</v>
      </c>
      <c r="M1710" s="88"/>
      <c r="N1710" s="88"/>
    </row>
    <row r="1711">
      <c r="A1711" s="90">
        <v>44816.0</v>
      </c>
      <c r="B1711" s="90">
        <v>44816.0</v>
      </c>
      <c r="C1711" s="102">
        <v>2345.0</v>
      </c>
      <c r="D1711" s="103" t="s">
        <v>226</v>
      </c>
      <c r="E1711" s="102">
        <v>0.0</v>
      </c>
      <c r="F1711" s="103" t="s">
        <v>228</v>
      </c>
      <c r="G1711" s="102">
        <v>0.0</v>
      </c>
      <c r="H1711" s="103"/>
      <c r="I1711" s="103"/>
      <c r="J1711" s="103"/>
      <c r="K1711" s="89">
        <v>0.2105</v>
      </c>
      <c r="L1711" s="89">
        <v>0.1189</v>
      </c>
      <c r="M1711" s="88"/>
      <c r="N1711" s="88"/>
    </row>
    <row r="1712">
      <c r="A1712" s="90">
        <v>44816.0</v>
      </c>
      <c r="B1712" s="90">
        <v>44816.0</v>
      </c>
      <c r="C1712" s="102">
        <v>2370.0</v>
      </c>
      <c r="D1712" s="103" t="s">
        <v>226</v>
      </c>
      <c r="E1712" s="102">
        <v>0.0</v>
      </c>
      <c r="F1712" s="103" t="s">
        <v>227</v>
      </c>
      <c r="G1712" s="102">
        <v>0.0</v>
      </c>
      <c r="H1712" s="103"/>
      <c r="I1712" s="103"/>
      <c r="J1712" s="103"/>
      <c r="K1712" s="89">
        <v>0.5652</v>
      </c>
      <c r="L1712" s="89">
        <v>0.3509</v>
      </c>
      <c r="M1712" s="88"/>
      <c r="N1712" s="88"/>
    </row>
    <row r="1713">
      <c r="A1713" s="90">
        <v>44816.0</v>
      </c>
      <c r="B1713" s="90">
        <v>44816.0</v>
      </c>
      <c r="C1713" s="102">
        <v>2370.0</v>
      </c>
      <c r="D1713" s="103" t="s">
        <v>226</v>
      </c>
      <c r="E1713" s="102">
        <v>1.0</v>
      </c>
      <c r="F1713" s="103" t="s">
        <v>227</v>
      </c>
      <c r="G1713" s="102">
        <v>1.0</v>
      </c>
      <c r="H1713" s="103"/>
      <c r="I1713" s="103"/>
      <c r="J1713" s="103"/>
      <c r="K1713" s="89">
        <v>0.555</v>
      </c>
      <c r="L1713" s="89">
        <v>0.2958</v>
      </c>
      <c r="M1713" s="88"/>
      <c r="N1713" s="88"/>
    </row>
    <row r="1714">
      <c r="A1714" s="90">
        <v>44816.0</v>
      </c>
      <c r="B1714" s="90">
        <v>44816.0</v>
      </c>
      <c r="C1714" s="102">
        <v>2301.0</v>
      </c>
      <c r="D1714" s="103" t="s">
        <v>226</v>
      </c>
      <c r="E1714" s="102">
        <v>1.0</v>
      </c>
      <c r="F1714" s="103" t="s">
        <v>227</v>
      </c>
      <c r="G1714" s="102">
        <v>1.0</v>
      </c>
      <c r="H1714" s="103"/>
      <c r="I1714" s="103"/>
      <c r="J1714" s="103"/>
      <c r="K1714" s="89">
        <v>0.5301</v>
      </c>
      <c r="L1714" s="89">
        <v>0.3206</v>
      </c>
      <c r="M1714" s="88"/>
      <c r="N1714" s="88"/>
    </row>
    <row r="1715">
      <c r="A1715" s="90">
        <v>44816.0</v>
      </c>
      <c r="B1715" s="90">
        <v>44816.0</v>
      </c>
      <c r="C1715" s="102">
        <v>2384.0</v>
      </c>
      <c r="D1715" s="103" t="s">
        <v>226</v>
      </c>
      <c r="E1715" s="102">
        <v>1.0</v>
      </c>
      <c r="F1715" s="103" t="s">
        <v>227</v>
      </c>
      <c r="G1715" s="102">
        <v>1.0</v>
      </c>
      <c r="H1715" s="103"/>
      <c r="I1715" s="103"/>
      <c r="J1715" s="103"/>
      <c r="K1715" s="89">
        <v>0.8148</v>
      </c>
      <c r="L1715" s="89">
        <v>0.4872</v>
      </c>
      <c r="M1715" s="88"/>
      <c r="N1715" s="88"/>
    </row>
    <row r="1716">
      <c r="A1716" s="90">
        <v>44816.0</v>
      </c>
      <c r="B1716" s="90">
        <v>44816.0</v>
      </c>
      <c r="C1716" s="102">
        <v>2343.0</v>
      </c>
      <c r="D1716" s="103" t="s">
        <v>226</v>
      </c>
      <c r="E1716" s="102">
        <v>0.0</v>
      </c>
      <c r="F1716" s="103" t="s">
        <v>227</v>
      </c>
      <c r="G1716" s="102">
        <v>0.0</v>
      </c>
      <c r="H1716" s="103"/>
      <c r="I1716" s="103"/>
      <c r="J1716" s="103"/>
      <c r="K1716" s="89">
        <v>1.3952</v>
      </c>
      <c r="L1716" s="89">
        <v>0.7056</v>
      </c>
      <c r="M1716" s="88"/>
      <c r="N1716" s="88"/>
    </row>
    <row r="1717">
      <c r="A1717" s="90">
        <v>44816.0</v>
      </c>
      <c r="B1717" s="90">
        <v>44816.0</v>
      </c>
      <c r="C1717" s="102">
        <v>2093.0</v>
      </c>
      <c r="D1717" s="103" t="s">
        <v>226</v>
      </c>
      <c r="E1717" s="102">
        <v>0.0</v>
      </c>
      <c r="F1717" s="103" t="s">
        <v>227</v>
      </c>
      <c r="G1717" s="102">
        <v>0.0</v>
      </c>
      <c r="H1717" s="103"/>
      <c r="I1717" s="103"/>
      <c r="J1717" s="103"/>
      <c r="K1717" s="89">
        <v>0.6049</v>
      </c>
      <c r="L1717" s="89">
        <v>0.2778</v>
      </c>
      <c r="M1717" s="88"/>
      <c r="N1717" s="88"/>
    </row>
    <row r="1718">
      <c r="A1718" s="90">
        <v>44816.0</v>
      </c>
      <c r="B1718" s="90">
        <v>44816.0</v>
      </c>
      <c r="C1718" s="102">
        <v>2375.0</v>
      </c>
      <c r="D1718" s="103" t="s">
        <v>226</v>
      </c>
      <c r="E1718" s="102">
        <v>1.0</v>
      </c>
      <c r="F1718" s="103" t="s">
        <v>227</v>
      </c>
      <c r="G1718" s="102">
        <v>1.0</v>
      </c>
      <c r="H1718" s="103"/>
      <c r="I1718" s="103"/>
      <c r="J1718" s="103"/>
      <c r="K1718" s="89">
        <v>1.0578</v>
      </c>
      <c r="L1718" s="89">
        <v>0.5801</v>
      </c>
      <c r="M1718" s="88"/>
      <c r="N1718" s="88"/>
    </row>
    <row r="1719">
      <c r="A1719" s="90">
        <v>44816.0</v>
      </c>
      <c r="B1719" s="90">
        <v>44816.0</v>
      </c>
      <c r="C1719" s="102">
        <v>2010.0</v>
      </c>
      <c r="D1719" s="103" t="s">
        <v>226</v>
      </c>
      <c r="E1719" s="102">
        <v>0.0</v>
      </c>
      <c r="F1719" s="103" t="s">
        <v>227</v>
      </c>
      <c r="G1719" s="102">
        <v>0.0</v>
      </c>
      <c r="H1719" s="103"/>
      <c r="I1719" s="103"/>
      <c r="J1719" s="103"/>
      <c r="K1719" s="89">
        <v>0.4157</v>
      </c>
      <c r="L1719" s="89">
        <v>0.2793</v>
      </c>
      <c r="M1719" s="88"/>
      <c r="N1719" s="88"/>
    </row>
    <row r="1720">
      <c r="A1720" s="90">
        <v>44816.0</v>
      </c>
      <c r="B1720" s="90">
        <v>44816.0</v>
      </c>
      <c r="C1720" s="102">
        <v>2384.0</v>
      </c>
      <c r="D1720" s="103" t="s">
        <v>226</v>
      </c>
      <c r="E1720" s="102">
        <v>0.0</v>
      </c>
      <c r="F1720" s="103" t="s">
        <v>227</v>
      </c>
      <c r="G1720" s="102">
        <v>0.0</v>
      </c>
      <c r="H1720" s="103"/>
      <c r="I1720" s="103"/>
      <c r="J1720" s="103"/>
      <c r="K1720" s="89">
        <v>0.4519</v>
      </c>
      <c r="L1720" s="89">
        <v>0.2763</v>
      </c>
      <c r="M1720" s="88"/>
      <c r="N1720" s="88"/>
    </row>
    <row r="1721">
      <c r="A1721" s="90">
        <v>44816.0</v>
      </c>
      <c r="B1721" s="90">
        <v>44816.0</v>
      </c>
      <c r="C1721" s="102">
        <v>2365.0</v>
      </c>
      <c r="D1721" s="103" t="s">
        <v>226</v>
      </c>
      <c r="E1721" s="102">
        <v>0.0</v>
      </c>
      <c r="F1721" s="103" t="s">
        <v>228</v>
      </c>
      <c r="G1721" s="102">
        <v>0.0</v>
      </c>
      <c r="H1721" s="103"/>
      <c r="I1721" s="103"/>
      <c r="J1721" s="103"/>
      <c r="K1721" s="89">
        <v>0.3868</v>
      </c>
      <c r="L1721" s="89">
        <v>0.231</v>
      </c>
      <c r="M1721" s="88"/>
      <c r="N1721" s="88"/>
    </row>
    <row r="1722">
      <c r="A1722" s="90">
        <v>44816.0</v>
      </c>
      <c r="B1722" s="90">
        <v>44816.0</v>
      </c>
      <c r="C1722" s="102">
        <v>2352.0</v>
      </c>
      <c r="D1722" s="103" t="s">
        <v>226</v>
      </c>
      <c r="E1722" s="102">
        <v>0.0</v>
      </c>
      <c r="F1722" s="103" t="s">
        <v>228</v>
      </c>
      <c r="G1722" s="102">
        <v>0.0</v>
      </c>
      <c r="H1722" s="103"/>
      <c r="I1722" s="103"/>
      <c r="J1722" s="103"/>
      <c r="K1722" s="89">
        <v>0.2226</v>
      </c>
      <c r="L1722" s="89">
        <v>0.1435</v>
      </c>
      <c r="M1722" s="88"/>
      <c r="N1722" s="88"/>
    </row>
    <row r="1723">
      <c r="A1723" s="90">
        <v>44816.0</v>
      </c>
      <c r="B1723" s="90">
        <v>44816.0</v>
      </c>
      <c r="C1723" s="102">
        <v>2006.0</v>
      </c>
      <c r="D1723" s="103" t="s">
        <v>226</v>
      </c>
      <c r="E1723" s="102">
        <v>0.0</v>
      </c>
      <c r="F1723" s="103" t="s">
        <v>227</v>
      </c>
      <c r="G1723" s="102">
        <v>0.0</v>
      </c>
      <c r="H1723" s="103"/>
      <c r="I1723" s="103"/>
      <c r="J1723" s="103"/>
      <c r="K1723" s="89">
        <v>0.6459</v>
      </c>
      <c r="L1723" s="89">
        <v>0.2691</v>
      </c>
      <c r="M1723" s="88"/>
      <c r="N1723" s="88"/>
    </row>
    <row r="1724">
      <c r="A1724" s="90">
        <v>44816.0</v>
      </c>
      <c r="B1724" s="90">
        <v>44816.0</v>
      </c>
      <c r="C1724" s="102">
        <v>2343.0</v>
      </c>
      <c r="D1724" s="103" t="s">
        <v>226</v>
      </c>
      <c r="E1724" s="102">
        <v>0.0</v>
      </c>
      <c r="F1724" s="103" t="s">
        <v>227</v>
      </c>
      <c r="G1724" s="102">
        <v>0.0</v>
      </c>
      <c r="H1724" s="103"/>
      <c r="I1724" s="103"/>
      <c r="J1724" s="103"/>
      <c r="K1724" s="89">
        <v>0.8394</v>
      </c>
      <c r="L1724" s="89">
        <v>0.4992</v>
      </c>
      <c r="M1724" s="88"/>
      <c r="N1724" s="88"/>
    </row>
    <row r="1725">
      <c r="A1725" s="90">
        <v>44816.0</v>
      </c>
      <c r="B1725" s="90">
        <v>44816.0</v>
      </c>
      <c r="C1725" s="102">
        <v>2354.0</v>
      </c>
      <c r="D1725" s="103" t="s">
        <v>226</v>
      </c>
      <c r="E1725" s="102">
        <v>0.0</v>
      </c>
      <c r="F1725" s="103" t="s">
        <v>227</v>
      </c>
      <c r="G1725" s="102">
        <v>0.0</v>
      </c>
      <c r="H1725" s="103"/>
      <c r="I1725" s="103"/>
      <c r="J1725" s="103"/>
      <c r="K1725" s="89">
        <v>0.4842</v>
      </c>
      <c r="L1725" s="89">
        <v>0.2798</v>
      </c>
      <c r="M1725" s="88"/>
      <c r="N1725" s="88"/>
    </row>
    <row r="1726">
      <c r="A1726" s="90">
        <v>44816.0</v>
      </c>
      <c r="B1726" s="90">
        <v>44816.0</v>
      </c>
      <c r="C1726" s="102">
        <v>2025.0</v>
      </c>
      <c r="D1726" s="103" t="s">
        <v>226</v>
      </c>
      <c r="E1726" s="102">
        <v>0.0</v>
      </c>
      <c r="F1726" s="103" t="s">
        <v>228</v>
      </c>
      <c r="G1726" s="102">
        <v>0.0</v>
      </c>
      <c r="H1726" s="103"/>
      <c r="I1726" s="103"/>
      <c r="J1726" s="103"/>
      <c r="K1726" s="89">
        <v>2.79129</v>
      </c>
      <c r="L1726" s="89">
        <v>1.5787</v>
      </c>
      <c r="M1726" s="88"/>
      <c r="N1726" s="88"/>
    </row>
    <row r="1727">
      <c r="A1727" s="90">
        <v>44816.0</v>
      </c>
      <c r="B1727" s="90">
        <v>44816.0</v>
      </c>
      <c r="C1727" s="102">
        <v>2025.0</v>
      </c>
      <c r="D1727" s="103" t="s">
        <v>226</v>
      </c>
      <c r="E1727" s="102">
        <v>0.0</v>
      </c>
      <c r="F1727" s="103" t="s">
        <v>227</v>
      </c>
      <c r="G1727" s="102">
        <v>0.0</v>
      </c>
      <c r="H1727" s="103"/>
      <c r="I1727" s="103"/>
      <c r="J1727" s="103"/>
      <c r="K1727" s="89">
        <v>0.5894</v>
      </c>
      <c r="L1727" s="89">
        <v>0.3621</v>
      </c>
      <c r="M1727" s="88"/>
      <c r="N1727" s="88"/>
    </row>
    <row r="1728">
      <c r="A1728" s="90">
        <v>44816.0</v>
      </c>
      <c r="B1728" s="90">
        <v>44816.0</v>
      </c>
      <c r="C1728" s="102">
        <v>2025.0</v>
      </c>
      <c r="D1728" s="103" t="s">
        <v>226</v>
      </c>
      <c r="E1728" s="102">
        <v>1.0</v>
      </c>
      <c r="F1728" s="103" t="s">
        <v>227</v>
      </c>
      <c r="G1728" s="102">
        <v>1.0</v>
      </c>
      <c r="H1728" s="103"/>
      <c r="I1728" s="103"/>
      <c r="J1728" s="103"/>
      <c r="K1728" s="89">
        <v>0.141</v>
      </c>
      <c r="L1728" s="89">
        <v>0.0896</v>
      </c>
      <c r="M1728" s="88"/>
      <c r="N1728" s="88"/>
    </row>
    <row r="1729">
      <c r="A1729" s="90">
        <v>44816.0</v>
      </c>
      <c r="B1729" s="90">
        <v>44816.0</v>
      </c>
      <c r="C1729" s="102">
        <v>2030.0</v>
      </c>
      <c r="D1729" s="103" t="s">
        <v>226</v>
      </c>
      <c r="E1729" s="102">
        <v>0.0</v>
      </c>
      <c r="F1729" s="103" t="s">
        <v>228</v>
      </c>
      <c r="G1729" s="102">
        <v>0.0</v>
      </c>
      <c r="H1729" s="103"/>
      <c r="I1729" s="103"/>
      <c r="J1729" s="103"/>
      <c r="K1729" s="89">
        <v>0.315</v>
      </c>
      <c r="L1729" s="89">
        <v>0.1982</v>
      </c>
      <c r="M1729" s="88"/>
      <c r="N1729" s="88"/>
    </row>
    <row r="1730">
      <c r="A1730" s="90">
        <v>44816.0</v>
      </c>
      <c r="B1730" s="90">
        <v>44816.0</v>
      </c>
      <c r="C1730" s="102">
        <v>2375.0</v>
      </c>
      <c r="D1730" s="103" t="s">
        <v>226</v>
      </c>
      <c r="E1730" s="102">
        <v>0.0</v>
      </c>
      <c r="F1730" s="103" t="s">
        <v>228</v>
      </c>
      <c r="G1730" s="102">
        <v>0.0</v>
      </c>
      <c r="H1730" s="103"/>
      <c r="I1730" s="103"/>
      <c r="J1730" s="103"/>
      <c r="K1730" s="89">
        <v>4.9387</v>
      </c>
      <c r="L1730" s="89">
        <v>2.6277</v>
      </c>
      <c r="M1730" s="88"/>
      <c r="N1730" s="88"/>
    </row>
    <row r="1731">
      <c r="A1731" s="90">
        <v>44816.0</v>
      </c>
      <c r="B1731" s="90">
        <v>44816.0</v>
      </c>
      <c r="C1731" s="102">
        <v>2384.0</v>
      </c>
      <c r="D1731" s="103" t="s">
        <v>226</v>
      </c>
      <c r="E1731" s="102">
        <v>0.0</v>
      </c>
      <c r="F1731" s="103" t="s">
        <v>228</v>
      </c>
      <c r="G1731" s="102">
        <v>0.0</v>
      </c>
      <c r="H1731" s="103"/>
      <c r="I1731" s="103"/>
      <c r="J1731" s="103"/>
      <c r="K1731" s="89">
        <v>2.9125</v>
      </c>
      <c r="L1731" s="89">
        <v>1.6456</v>
      </c>
      <c r="M1731" s="88"/>
      <c r="N1731" s="88"/>
    </row>
    <row r="1732">
      <c r="A1732" s="90">
        <v>44816.0</v>
      </c>
      <c r="B1732" s="90">
        <v>44816.0</v>
      </c>
      <c r="C1732" s="102">
        <v>2030.0</v>
      </c>
      <c r="D1732" s="103" t="s">
        <v>226</v>
      </c>
      <c r="E1732" s="102">
        <v>1.0</v>
      </c>
      <c r="F1732" s="103" t="s">
        <v>227</v>
      </c>
      <c r="G1732" s="102">
        <v>1.0</v>
      </c>
      <c r="H1732" s="103"/>
      <c r="I1732" s="103"/>
      <c r="J1732" s="103"/>
      <c r="K1732" s="89">
        <v>0.8584</v>
      </c>
      <c r="L1732" s="89">
        <v>0.5254</v>
      </c>
      <c r="M1732" s="88"/>
      <c r="N1732" s="88"/>
    </row>
    <row r="1733">
      <c r="A1733" s="90">
        <v>44791.0</v>
      </c>
      <c r="B1733" s="90">
        <v>44791.0</v>
      </c>
      <c r="C1733" s="102">
        <v>2011.0</v>
      </c>
      <c r="D1733" s="103" t="s">
        <v>226</v>
      </c>
      <c r="E1733" s="102">
        <v>1.0</v>
      </c>
      <c r="F1733" s="103" t="s">
        <v>227</v>
      </c>
      <c r="G1733" s="102">
        <v>1.0</v>
      </c>
      <c r="H1733" s="103"/>
      <c r="I1733" s="103"/>
      <c r="J1733" s="103"/>
      <c r="K1733" s="89">
        <v>1.48</v>
      </c>
      <c r="L1733" s="89">
        <v>0.9805</v>
      </c>
      <c r="M1733" s="88"/>
      <c r="N1733" s="88"/>
    </row>
    <row r="1734">
      <c r="A1734" s="90">
        <v>44791.0</v>
      </c>
      <c r="B1734" s="90">
        <v>44791.0</v>
      </c>
      <c r="C1734" s="102">
        <v>2011.0</v>
      </c>
      <c r="D1734" s="103" t="s">
        <v>226</v>
      </c>
      <c r="E1734" s="102">
        <v>0.0</v>
      </c>
      <c r="F1734" s="103" t="s">
        <v>227</v>
      </c>
      <c r="G1734" s="102">
        <v>0.0</v>
      </c>
      <c r="H1734" s="103"/>
      <c r="I1734" s="103"/>
      <c r="J1734" s="103"/>
      <c r="K1734" s="89">
        <v>0.62</v>
      </c>
      <c r="L1734" s="89">
        <v>0.415</v>
      </c>
      <c r="M1734" s="88"/>
      <c r="N1734" s="88"/>
    </row>
    <row r="1735">
      <c r="A1735" s="90">
        <v>44791.0</v>
      </c>
      <c r="B1735" s="90">
        <v>44791.0</v>
      </c>
      <c r="C1735" s="102">
        <v>2383.0</v>
      </c>
      <c r="D1735" s="103" t="s">
        <v>226</v>
      </c>
      <c r="E1735" s="102">
        <v>0.0</v>
      </c>
      <c r="F1735" s="103" t="s">
        <v>227</v>
      </c>
      <c r="G1735" s="102">
        <v>0.0</v>
      </c>
      <c r="H1735" s="103"/>
      <c r="I1735" s="103"/>
      <c r="J1735" s="103"/>
      <c r="K1735" s="89">
        <v>0.12</v>
      </c>
      <c r="L1735" s="89">
        <v>0.0706</v>
      </c>
      <c r="M1735" s="88"/>
      <c r="N1735" s="88"/>
    </row>
    <row r="1736">
      <c r="A1736" s="90">
        <v>44791.0</v>
      </c>
      <c r="B1736" s="90">
        <v>44791.0</v>
      </c>
      <c r="C1736" s="102">
        <v>2375.0</v>
      </c>
      <c r="D1736" s="103" t="s">
        <v>226</v>
      </c>
      <c r="E1736" s="102">
        <v>0.0</v>
      </c>
      <c r="F1736" s="103" t="s">
        <v>227</v>
      </c>
      <c r="G1736" s="102">
        <v>0.0</v>
      </c>
      <c r="H1736" s="103"/>
      <c r="I1736" s="103"/>
      <c r="J1736" s="103"/>
      <c r="K1736" s="89">
        <v>0.29</v>
      </c>
      <c r="L1736" s="89">
        <v>0.1379</v>
      </c>
      <c r="M1736" s="88"/>
      <c r="N1736" s="88"/>
    </row>
    <row r="1737">
      <c r="A1737" s="90">
        <v>44791.0</v>
      </c>
      <c r="B1737" s="90">
        <v>44791.0</v>
      </c>
      <c r="C1737" s="102">
        <v>2377.0</v>
      </c>
      <c r="D1737" s="103" t="s">
        <v>226</v>
      </c>
      <c r="E1737" s="102">
        <v>1.0</v>
      </c>
      <c r="F1737" s="103" t="s">
        <v>227</v>
      </c>
      <c r="G1737" s="102">
        <v>1.0</v>
      </c>
      <c r="H1737" s="103"/>
      <c r="I1737" s="103"/>
      <c r="J1737" s="103"/>
      <c r="K1737" s="89">
        <v>0.868</v>
      </c>
      <c r="L1737" s="89">
        <v>0.4287</v>
      </c>
      <c r="M1737" s="88"/>
      <c r="N1737" s="88"/>
    </row>
    <row r="1738">
      <c r="A1738" s="90">
        <v>44791.0</v>
      </c>
      <c r="B1738" s="90">
        <v>44791.0</v>
      </c>
      <c r="C1738" s="102">
        <v>2360.0</v>
      </c>
      <c r="D1738" s="103" t="s">
        <v>226</v>
      </c>
      <c r="E1738" s="102">
        <v>0.0</v>
      </c>
      <c r="F1738" s="103" t="s">
        <v>228</v>
      </c>
      <c r="G1738" s="102">
        <v>0.0</v>
      </c>
      <c r="H1738" s="103"/>
      <c r="I1738" s="103"/>
      <c r="J1738" s="103"/>
      <c r="K1738" s="89">
        <v>3.27</v>
      </c>
      <c r="L1738" s="89">
        <v>2.0068</v>
      </c>
      <c r="M1738" s="88"/>
      <c r="N1738" s="105" t="s">
        <v>258</v>
      </c>
    </row>
    <row r="1739">
      <c r="A1739" s="90">
        <v>44791.0</v>
      </c>
      <c r="B1739" s="90">
        <v>44791.0</v>
      </c>
      <c r="C1739" s="102">
        <v>2360.0</v>
      </c>
      <c r="D1739" s="103" t="s">
        <v>226</v>
      </c>
      <c r="E1739" s="102">
        <v>1.0</v>
      </c>
      <c r="F1739" s="103" t="s">
        <v>227</v>
      </c>
      <c r="G1739" s="102">
        <v>1.0</v>
      </c>
      <c r="H1739" s="103"/>
      <c r="I1739" s="103"/>
      <c r="J1739" s="103"/>
      <c r="K1739" s="89">
        <v>0.54</v>
      </c>
      <c r="L1739" s="89">
        <v>0.3633</v>
      </c>
      <c r="M1739" s="88"/>
      <c r="N1739" s="88"/>
    </row>
    <row r="1740">
      <c r="A1740" s="90">
        <v>44791.0</v>
      </c>
      <c r="B1740" s="90">
        <v>44791.0</v>
      </c>
      <c r="C1740" s="102">
        <v>2367.0</v>
      </c>
      <c r="D1740" s="103" t="s">
        <v>226</v>
      </c>
      <c r="E1740" s="102">
        <v>0.0</v>
      </c>
      <c r="F1740" s="103" t="s">
        <v>228</v>
      </c>
      <c r="G1740" s="102">
        <v>0.0</v>
      </c>
      <c r="H1740" s="103"/>
      <c r="I1740" s="103"/>
      <c r="J1740" s="103"/>
      <c r="K1740" s="89">
        <v>1.95</v>
      </c>
      <c r="L1740" s="89">
        <v>1.2566</v>
      </c>
      <c r="M1740" s="88"/>
      <c r="N1740" s="88"/>
    </row>
    <row r="1741">
      <c r="A1741" s="90">
        <v>44791.0</v>
      </c>
      <c r="B1741" s="90">
        <v>44791.0</v>
      </c>
      <c r="C1741" s="102">
        <v>2370.0</v>
      </c>
      <c r="D1741" s="103" t="s">
        <v>226</v>
      </c>
      <c r="E1741" s="102">
        <v>0.0</v>
      </c>
      <c r="F1741" s="103" t="s">
        <v>227</v>
      </c>
      <c r="G1741" s="102">
        <v>0.0</v>
      </c>
      <c r="H1741" s="103"/>
      <c r="I1741" s="103"/>
      <c r="J1741" s="103"/>
      <c r="K1741" s="89">
        <v>0.13</v>
      </c>
      <c r="L1741" s="89">
        <v>0.045</v>
      </c>
      <c r="M1741" s="88"/>
      <c r="N1741" s="88"/>
    </row>
    <row r="1742">
      <c r="A1742" s="90">
        <v>44791.0</v>
      </c>
      <c r="B1742" s="90">
        <v>44791.0</v>
      </c>
      <c r="C1742" s="102">
        <v>2343.0</v>
      </c>
      <c r="D1742" s="103" t="s">
        <v>226</v>
      </c>
      <c r="E1742" s="102">
        <v>1.0</v>
      </c>
      <c r="F1742" s="103" t="s">
        <v>227</v>
      </c>
      <c r="G1742" s="102">
        <v>1.0</v>
      </c>
      <c r="H1742" s="103"/>
      <c r="I1742" s="103"/>
      <c r="J1742" s="103"/>
      <c r="K1742" s="89">
        <v>0.82</v>
      </c>
      <c r="L1742" s="89">
        <v>0.5437</v>
      </c>
      <c r="M1742" s="88"/>
      <c r="N1742" s="88"/>
    </row>
    <row r="1743">
      <c r="A1743" s="90">
        <v>44791.0</v>
      </c>
      <c r="B1743" s="90">
        <v>44791.0</v>
      </c>
      <c r="C1743" s="102">
        <v>2376.0</v>
      </c>
      <c r="D1743" s="103" t="s">
        <v>226</v>
      </c>
      <c r="E1743" s="102">
        <v>1.0</v>
      </c>
      <c r="F1743" s="103" t="s">
        <v>227</v>
      </c>
      <c r="G1743" s="102">
        <v>1.0</v>
      </c>
      <c r="H1743" s="103"/>
      <c r="I1743" s="103"/>
      <c r="J1743" s="103"/>
      <c r="K1743" s="89">
        <v>1.29</v>
      </c>
      <c r="L1743" s="89">
        <v>0.8973</v>
      </c>
      <c r="M1743" s="88"/>
      <c r="N1743" s="88"/>
    </row>
    <row r="1744">
      <c r="A1744" s="90">
        <v>44791.0</v>
      </c>
      <c r="B1744" s="90">
        <v>44791.0</v>
      </c>
      <c r="C1744" s="102">
        <v>2383.0</v>
      </c>
      <c r="D1744" s="103" t="s">
        <v>226</v>
      </c>
      <c r="E1744" s="102">
        <v>0.0</v>
      </c>
      <c r="F1744" s="103" t="s">
        <v>228</v>
      </c>
      <c r="G1744" s="102">
        <v>0.0</v>
      </c>
      <c r="H1744" s="103"/>
      <c r="I1744" s="103"/>
      <c r="J1744" s="103"/>
      <c r="K1744" s="89">
        <v>1.99</v>
      </c>
      <c r="L1744" s="89">
        <v>1.2695</v>
      </c>
      <c r="M1744" s="88"/>
      <c r="N1744" s="88"/>
    </row>
    <row r="1745">
      <c r="A1745" s="90">
        <v>44791.0</v>
      </c>
      <c r="B1745" s="90">
        <v>44791.0</v>
      </c>
      <c r="C1745" s="102">
        <v>2010.0</v>
      </c>
      <c r="D1745" s="103" t="s">
        <v>226</v>
      </c>
      <c r="E1745" s="102">
        <v>1.0</v>
      </c>
      <c r="F1745" s="103" t="s">
        <v>227</v>
      </c>
      <c r="G1745" s="102">
        <v>1.0</v>
      </c>
      <c r="H1745" s="103"/>
      <c r="I1745" s="103"/>
      <c r="J1745" s="103"/>
      <c r="K1745" s="89">
        <v>1.04</v>
      </c>
      <c r="L1745" s="89">
        <v>0.6628</v>
      </c>
      <c r="M1745" s="88"/>
      <c r="N1745" s="88"/>
    </row>
    <row r="1746">
      <c r="A1746" s="90">
        <v>44791.0</v>
      </c>
      <c r="B1746" s="90">
        <v>44791.0</v>
      </c>
      <c r="C1746" s="102">
        <v>2369.0</v>
      </c>
      <c r="D1746" s="103" t="s">
        <v>226</v>
      </c>
      <c r="E1746" s="102">
        <v>1.0</v>
      </c>
      <c r="F1746" s="103" t="s">
        <v>227</v>
      </c>
      <c r="G1746" s="102">
        <v>1.0</v>
      </c>
      <c r="H1746" s="103"/>
      <c r="I1746" s="103"/>
      <c r="J1746" s="103"/>
      <c r="K1746" s="89">
        <v>0.22</v>
      </c>
      <c r="L1746" s="89">
        <v>0.1613</v>
      </c>
      <c r="M1746" s="88"/>
      <c r="N1746" s="88"/>
    </row>
    <row r="1747">
      <c r="A1747" s="90">
        <v>44791.0</v>
      </c>
      <c r="B1747" s="90">
        <v>44791.0</v>
      </c>
      <c r="C1747" s="102">
        <v>2369.0</v>
      </c>
      <c r="D1747" s="103" t="s">
        <v>226</v>
      </c>
      <c r="E1747" s="102">
        <v>0.0</v>
      </c>
      <c r="F1747" s="103" t="s">
        <v>227</v>
      </c>
      <c r="G1747" s="102">
        <v>0.0</v>
      </c>
      <c r="H1747" s="103"/>
      <c r="I1747" s="103"/>
      <c r="J1747" s="103"/>
      <c r="K1747" s="89">
        <v>0.27</v>
      </c>
      <c r="L1747" s="89">
        <v>0.1851</v>
      </c>
      <c r="M1747" s="88"/>
      <c r="N1747" s="88"/>
    </row>
    <row r="1748">
      <c r="A1748" s="90">
        <v>44791.0</v>
      </c>
      <c r="B1748" s="90">
        <v>44791.0</v>
      </c>
      <c r="C1748" s="102">
        <v>2369.0</v>
      </c>
      <c r="D1748" s="103" t="s">
        <v>226</v>
      </c>
      <c r="E1748" s="102">
        <v>0.0</v>
      </c>
      <c r="F1748" s="103" t="s">
        <v>228</v>
      </c>
      <c r="G1748" s="102">
        <v>0.0</v>
      </c>
      <c r="H1748" s="103"/>
      <c r="I1748" s="103"/>
      <c r="J1748" s="103"/>
      <c r="K1748" s="89">
        <v>1.69</v>
      </c>
      <c r="L1748" s="89">
        <v>1.1223</v>
      </c>
      <c r="M1748" s="88"/>
      <c r="N1748" s="88"/>
    </row>
    <row r="1749">
      <c r="A1749" s="90">
        <v>44791.0</v>
      </c>
      <c r="B1749" s="90">
        <v>44791.0</v>
      </c>
      <c r="C1749" s="102">
        <v>2345.0</v>
      </c>
      <c r="D1749" s="103" t="s">
        <v>226</v>
      </c>
      <c r="E1749" s="102">
        <v>0.0</v>
      </c>
      <c r="F1749" s="103" t="s">
        <v>228</v>
      </c>
      <c r="G1749" s="102">
        <v>0.0</v>
      </c>
      <c r="H1749" s="103"/>
      <c r="I1749" s="103"/>
      <c r="J1749" s="103"/>
      <c r="K1749" s="89">
        <v>2.33</v>
      </c>
      <c r="L1749" s="89">
        <v>1.5027</v>
      </c>
      <c r="M1749" s="88"/>
      <c r="N1749" s="88"/>
    </row>
    <row r="1750">
      <c r="A1750" s="90">
        <v>44791.0</v>
      </c>
      <c r="B1750" s="90">
        <v>44791.0</v>
      </c>
      <c r="C1750" s="102">
        <v>2370.0</v>
      </c>
      <c r="D1750" s="103" t="s">
        <v>226</v>
      </c>
      <c r="E1750" s="102">
        <v>1.0</v>
      </c>
      <c r="F1750" s="103" t="s">
        <v>227</v>
      </c>
      <c r="G1750" s="102">
        <v>1.0</v>
      </c>
      <c r="H1750" s="103"/>
      <c r="I1750" s="103"/>
      <c r="J1750" s="103"/>
      <c r="K1750" s="89">
        <v>1.86</v>
      </c>
      <c r="L1750" s="89">
        <v>1.2569</v>
      </c>
      <c r="M1750" s="88"/>
      <c r="N1750" s="88"/>
    </row>
    <row r="1751">
      <c r="A1751" s="90">
        <v>44791.0</v>
      </c>
      <c r="B1751" s="90">
        <v>44791.0</v>
      </c>
      <c r="C1751" s="102">
        <v>2383.0</v>
      </c>
      <c r="D1751" s="103" t="s">
        <v>226</v>
      </c>
      <c r="E1751" s="102">
        <v>1.0</v>
      </c>
      <c r="F1751" s="103" t="s">
        <v>227</v>
      </c>
      <c r="G1751" s="102">
        <v>1.0</v>
      </c>
      <c r="H1751" s="103"/>
      <c r="I1751" s="103"/>
      <c r="J1751" s="103"/>
      <c r="K1751" s="89">
        <v>0.69</v>
      </c>
      <c r="L1751" s="89">
        <v>0.5373</v>
      </c>
      <c r="M1751" s="88"/>
      <c r="N1751" s="88"/>
    </row>
    <row r="1752">
      <c r="A1752" s="90">
        <v>44791.0</v>
      </c>
      <c r="B1752" s="90">
        <v>44791.0</v>
      </c>
      <c r="C1752" s="102">
        <v>2381.0</v>
      </c>
      <c r="D1752" s="103" t="s">
        <v>221</v>
      </c>
      <c r="E1752" s="102">
        <v>1.0</v>
      </c>
      <c r="F1752" s="103" t="s">
        <v>227</v>
      </c>
      <c r="G1752" s="102">
        <v>1.0</v>
      </c>
      <c r="H1752" s="103"/>
      <c r="I1752" s="103"/>
      <c r="J1752" s="103"/>
      <c r="K1752" s="89">
        <v>1.6248</v>
      </c>
      <c r="L1752" s="89">
        <v>1.0724</v>
      </c>
      <c r="M1752" s="88"/>
      <c r="N1752" s="88"/>
    </row>
    <row r="1753">
      <c r="A1753" s="90">
        <v>44791.0</v>
      </c>
      <c r="B1753" s="90">
        <v>44791.0</v>
      </c>
      <c r="C1753" s="102">
        <v>2371.0</v>
      </c>
      <c r="D1753" s="103" t="s">
        <v>221</v>
      </c>
      <c r="E1753" s="102">
        <v>0.0</v>
      </c>
      <c r="F1753" s="103" t="s">
        <v>227</v>
      </c>
      <c r="G1753" s="102">
        <v>0.0</v>
      </c>
      <c r="H1753" s="103"/>
      <c r="I1753" s="103"/>
      <c r="J1753" s="103"/>
      <c r="K1753" s="89">
        <v>0.3842</v>
      </c>
      <c r="L1753" s="89">
        <v>0.2564</v>
      </c>
      <c r="M1753" s="88"/>
      <c r="N1753" s="88"/>
    </row>
    <row r="1754">
      <c r="A1754" s="90">
        <v>44791.0</v>
      </c>
      <c r="B1754" s="90">
        <v>44791.0</v>
      </c>
      <c r="C1754" s="102">
        <v>2010.0</v>
      </c>
      <c r="D1754" s="103" t="s">
        <v>221</v>
      </c>
      <c r="E1754" s="102">
        <v>0.0</v>
      </c>
      <c r="F1754" s="103" t="s">
        <v>228</v>
      </c>
      <c r="G1754" s="102">
        <v>0.0</v>
      </c>
      <c r="H1754" s="103"/>
      <c r="I1754" s="103"/>
      <c r="J1754" s="103"/>
      <c r="K1754" s="89">
        <v>4.0363</v>
      </c>
      <c r="L1754" s="89">
        <v>2.4556</v>
      </c>
      <c r="M1754" s="88"/>
      <c r="N1754" s="88"/>
    </row>
    <row r="1755">
      <c r="A1755" s="90">
        <v>44791.0</v>
      </c>
      <c r="B1755" s="90">
        <v>44791.0</v>
      </c>
      <c r="C1755" s="102">
        <v>2352.0</v>
      </c>
      <c r="D1755" s="103" t="s">
        <v>221</v>
      </c>
      <c r="E1755" s="102">
        <v>0.0</v>
      </c>
      <c r="F1755" s="103" t="s">
        <v>227</v>
      </c>
      <c r="G1755" s="102">
        <v>0.0</v>
      </c>
      <c r="H1755" s="103"/>
      <c r="I1755" s="103"/>
      <c r="J1755" s="103"/>
      <c r="K1755" s="89">
        <v>0.2241</v>
      </c>
      <c r="L1755" s="89">
        <v>0.1443</v>
      </c>
      <c r="M1755" s="88"/>
      <c r="N1755" s="88"/>
    </row>
    <row r="1756">
      <c r="A1756" s="90">
        <v>44791.0</v>
      </c>
      <c r="B1756" s="90">
        <v>44791.0</v>
      </c>
      <c r="C1756" s="102">
        <v>2381.0</v>
      </c>
      <c r="D1756" s="103" t="s">
        <v>221</v>
      </c>
      <c r="E1756" s="102">
        <v>0.0</v>
      </c>
      <c r="F1756" s="103" t="s">
        <v>227</v>
      </c>
      <c r="G1756" s="102">
        <v>0.0</v>
      </c>
      <c r="H1756" s="103"/>
      <c r="I1756" s="103"/>
      <c r="J1756" s="103"/>
      <c r="K1756" s="89">
        <v>0.5855</v>
      </c>
      <c r="L1756" s="89">
        <v>0.3959</v>
      </c>
      <c r="M1756" s="88"/>
      <c r="N1756" s="88"/>
    </row>
    <row r="1757">
      <c r="A1757" s="90">
        <v>44791.0</v>
      </c>
      <c r="B1757" s="90">
        <v>44791.0</v>
      </c>
      <c r="C1757" s="102">
        <v>2367.0</v>
      </c>
      <c r="D1757" s="103" t="s">
        <v>221</v>
      </c>
      <c r="E1757" s="102">
        <v>1.0</v>
      </c>
      <c r="F1757" s="103" t="s">
        <v>227</v>
      </c>
      <c r="G1757" s="102">
        <v>1.0</v>
      </c>
      <c r="H1757" s="103"/>
      <c r="I1757" s="103"/>
      <c r="J1757" s="103"/>
      <c r="K1757" s="89">
        <v>1.4058</v>
      </c>
      <c r="L1757" s="89">
        <v>0.9693</v>
      </c>
      <c r="M1757" s="88"/>
      <c r="N1757" s="88"/>
    </row>
    <row r="1758">
      <c r="A1758" s="90">
        <v>44791.0</v>
      </c>
      <c r="B1758" s="90">
        <v>44791.0</v>
      </c>
      <c r="C1758" s="102">
        <v>2377.0</v>
      </c>
      <c r="D1758" s="103" t="s">
        <v>221</v>
      </c>
      <c r="E1758" s="102">
        <v>1.0</v>
      </c>
      <c r="F1758" s="103" t="s">
        <v>228</v>
      </c>
      <c r="G1758" s="102">
        <v>1.0</v>
      </c>
      <c r="H1758" s="103"/>
      <c r="I1758" s="103"/>
      <c r="J1758" s="103"/>
      <c r="K1758" s="89">
        <v>1.9945</v>
      </c>
      <c r="L1758" s="89">
        <v>1.3093</v>
      </c>
      <c r="M1758" s="88"/>
      <c r="N1758" s="88"/>
    </row>
    <row r="1759">
      <c r="A1759" s="90">
        <v>44791.0</v>
      </c>
      <c r="B1759" s="90">
        <v>44791.0</v>
      </c>
      <c r="C1759" s="102">
        <v>2354.0</v>
      </c>
      <c r="D1759" s="103" t="s">
        <v>221</v>
      </c>
      <c r="E1759" s="102">
        <v>1.0</v>
      </c>
      <c r="F1759" s="103" t="s">
        <v>228</v>
      </c>
      <c r="G1759" s="102">
        <v>1.0</v>
      </c>
      <c r="H1759" s="103"/>
      <c r="I1759" s="103"/>
      <c r="J1759" s="103"/>
      <c r="K1759" s="89">
        <v>2.9277</v>
      </c>
      <c r="L1759" s="89">
        <v>1.8109</v>
      </c>
      <c r="M1759" s="88"/>
      <c r="N1759" s="88"/>
    </row>
    <row r="1760">
      <c r="A1760" s="90">
        <v>44791.0</v>
      </c>
      <c r="B1760" s="90">
        <v>44791.0</v>
      </c>
      <c r="C1760" s="102">
        <v>2345.0</v>
      </c>
      <c r="D1760" s="103" t="s">
        <v>221</v>
      </c>
      <c r="E1760" s="102">
        <v>1.0</v>
      </c>
      <c r="F1760" s="103" t="s">
        <v>228</v>
      </c>
      <c r="G1760" s="102">
        <v>1.0</v>
      </c>
      <c r="H1760" s="103"/>
      <c r="I1760" s="103"/>
      <c r="J1760" s="103"/>
      <c r="K1760" s="89">
        <v>2.6507</v>
      </c>
      <c r="L1760" s="89">
        <v>1.6879</v>
      </c>
      <c r="M1760" s="88"/>
      <c r="N1760" s="88"/>
    </row>
    <row r="1761">
      <c r="A1761" s="90">
        <v>44791.0</v>
      </c>
      <c r="B1761" s="90">
        <v>44791.0</v>
      </c>
      <c r="C1761" s="102">
        <v>2346.0</v>
      </c>
      <c r="D1761" s="103" t="s">
        <v>221</v>
      </c>
      <c r="E1761" s="102">
        <v>0.0</v>
      </c>
      <c r="F1761" s="103" t="s">
        <v>228</v>
      </c>
      <c r="G1761" s="102">
        <v>0.0</v>
      </c>
      <c r="H1761" s="103"/>
      <c r="I1761" s="103"/>
      <c r="J1761" s="103"/>
      <c r="K1761" s="89">
        <v>2.3745</v>
      </c>
      <c r="L1761" s="89">
        <v>1.4913</v>
      </c>
      <c r="M1761" s="88"/>
      <c r="N1761" s="88"/>
    </row>
    <row r="1762">
      <c r="A1762" s="90">
        <v>44791.0</v>
      </c>
      <c r="B1762" s="90">
        <v>44791.0</v>
      </c>
      <c r="C1762" s="102">
        <v>2367.0</v>
      </c>
      <c r="D1762" s="103" t="s">
        <v>221</v>
      </c>
      <c r="E1762" s="102">
        <v>1.0</v>
      </c>
      <c r="F1762" s="103" t="s">
        <v>227</v>
      </c>
      <c r="G1762" s="102">
        <v>1.0</v>
      </c>
      <c r="H1762" s="103"/>
      <c r="I1762" s="103"/>
      <c r="J1762" s="103"/>
      <c r="K1762" s="89">
        <v>0.7703</v>
      </c>
      <c r="L1762" s="89">
        <v>0.5426</v>
      </c>
      <c r="M1762" s="88"/>
      <c r="N1762" s="88"/>
    </row>
    <row r="1763">
      <c r="A1763" s="90">
        <v>44791.0</v>
      </c>
      <c r="B1763" s="90">
        <v>44791.0</v>
      </c>
      <c r="C1763" s="102">
        <v>2382.0</v>
      </c>
      <c r="D1763" s="103" t="s">
        <v>221</v>
      </c>
      <c r="E1763" s="102">
        <v>0.0</v>
      </c>
      <c r="F1763" s="103" t="s">
        <v>227</v>
      </c>
      <c r="G1763" s="102">
        <v>0.0</v>
      </c>
      <c r="H1763" s="103"/>
      <c r="I1763" s="103"/>
      <c r="J1763" s="103"/>
      <c r="K1763" s="89">
        <v>0.3477</v>
      </c>
      <c r="L1763" s="89">
        <v>0.2404</v>
      </c>
      <c r="M1763" s="88"/>
      <c r="N1763" s="88"/>
    </row>
    <row r="1764">
      <c r="A1764" s="90">
        <v>44791.0</v>
      </c>
      <c r="B1764" s="90">
        <v>44791.0</v>
      </c>
      <c r="C1764" s="102">
        <v>2011.0</v>
      </c>
      <c r="D1764" s="103" t="s">
        <v>221</v>
      </c>
      <c r="E1764" s="102">
        <v>1.0</v>
      </c>
      <c r="F1764" s="103" t="s">
        <v>227</v>
      </c>
      <c r="G1764" s="102">
        <v>1.0</v>
      </c>
      <c r="H1764" s="103"/>
      <c r="I1764" s="103"/>
      <c r="J1764" s="103"/>
      <c r="K1764" s="89">
        <v>1.2667</v>
      </c>
      <c r="L1764" s="89">
        <v>0.8219</v>
      </c>
      <c r="M1764" s="88"/>
      <c r="N1764" s="88"/>
    </row>
    <row r="1765">
      <c r="A1765" s="90">
        <v>44791.0</v>
      </c>
      <c r="B1765" s="90">
        <v>44791.0</v>
      </c>
      <c r="C1765" s="102">
        <v>2352.0</v>
      </c>
      <c r="D1765" s="103" t="s">
        <v>221</v>
      </c>
      <c r="E1765" s="102">
        <v>0.0</v>
      </c>
      <c r="F1765" s="103" t="s">
        <v>228</v>
      </c>
      <c r="G1765" s="102">
        <v>0.0</v>
      </c>
      <c r="H1765" s="103"/>
      <c r="I1765" s="103"/>
      <c r="J1765" s="103"/>
      <c r="K1765" s="89">
        <v>0.7864</v>
      </c>
      <c r="L1765" s="89">
        <v>0.5109</v>
      </c>
      <c r="M1765" s="88"/>
      <c r="N1765" s="105" t="s">
        <v>259</v>
      </c>
    </row>
    <row r="1766">
      <c r="A1766" s="90">
        <v>44791.0</v>
      </c>
      <c r="B1766" s="90">
        <v>44791.0</v>
      </c>
      <c r="C1766" s="102">
        <v>2343.0</v>
      </c>
      <c r="D1766" s="103" t="s">
        <v>221</v>
      </c>
      <c r="E1766" s="102">
        <v>1.0</v>
      </c>
      <c r="F1766" s="103" t="s">
        <v>227</v>
      </c>
      <c r="G1766" s="102">
        <v>1.0</v>
      </c>
      <c r="H1766" s="103"/>
      <c r="I1766" s="103"/>
      <c r="J1766" s="103"/>
      <c r="K1766" s="89">
        <v>0.7868</v>
      </c>
      <c r="L1766" s="89">
        <v>0.5101</v>
      </c>
      <c r="M1766" s="88"/>
      <c r="N1766" s="88"/>
    </row>
    <row r="1767">
      <c r="A1767" s="90">
        <v>44791.0</v>
      </c>
      <c r="B1767" s="90">
        <v>44791.0</v>
      </c>
      <c r="C1767" s="102">
        <v>2301.0</v>
      </c>
      <c r="D1767" s="103" t="s">
        <v>221</v>
      </c>
      <c r="E1767" s="102">
        <v>1.0</v>
      </c>
      <c r="F1767" s="103" t="s">
        <v>228</v>
      </c>
      <c r="G1767" s="102">
        <v>1.0</v>
      </c>
      <c r="H1767" s="103"/>
      <c r="I1767" s="103"/>
      <c r="J1767" s="103"/>
      <c r="K1767" s="89">
        <v>3.4423</v>
      </c>
      <c r="L1767" s="89">
        <v>2.2282</v>
      </c>
      <c r="M1767" s="88"/>
      <c r="N1767" s="88"/>
    </row>
    <row r="1768">
      <c r="A1768" s="90">
        <v>44791.0</v>
      </c>
      <c r="B1768" s="90">
        <v>44791.0</v>
      </c>
      <c r="C1768" s="102">
        <v>2331.0</v>
      </c>
      <c r="D1768" s="103" t="s">
        <v>221</v>
      </c>
      <c r="E1768" s="102">
        <v>0.0</v>
      </c>
      <c r="F1768" s="103" t="s">
        <v>228</v>
      </c>
      <c r="G1768" s="102">
        <v>0.0</v>
      </c>
      <c r="H1768" s="103"/>
      <c r="I1768" s="103"/>
      <c r="J1768" s="103"/>
      <c r="K1768" s="89">
        <v>0.7003</v>
      </c>
      <c r="L1768" s="89">
        <v>0.448</v>
      </c>
      <c r="M1768" s="88"/>
      <c r="N1768" s="105" t="s">
        <v>259</v>
      </c>
    </row>
    <row r="1769">
      <c r="A1769" s="90">
        <v>44791.0</v>
      </c>
      <c r="B1769" s="90">
        <v>44791.0</v>
      </c>
      <c r="C1769" s="102">
        <v>2382.0</v>
      </c>
      <c r="D1769" s="103" t="s">
        <v>221</v>
      </c>
      <c r="E1769" s="102">
        <v>0.0</v>
      </c>
      <c r="F1769" s="103" t="s">
        <v>228</v>
      </c>
      <c r="G1769" s="102">
        <v>0.0</v>
      </c>
      <c r="H1769" s="103"/>
      <c r="I1769" s="103"/>
      <c r="J1769" s="103"/>
      <c r="K1769" s="89">
        <v>3.9178</v>
      </c>
      <c r="L1769" s="89">
        <v>2.6501</v>
      </c>
      <c r="M1769" s="88"/>
      <c r="N1769" s="88"/>
    </row>
    <row r="1770">
      <c r="A1770" s="90">
        <v>44791.0</v>
      </c>
      <c r="B1770" s="90">
        <v>44791.0</v>
      </c>
      <c r="C1770" s="102">
        <v>2360.0</v>
      </c>
      <c r="D1770" s="103" t="s">
        <v>221</v>
      </c>
      <c r="E1770" s="102">
        <v>1.0</v>
      </c>
      <c r="F1770" s="103" t="s">
        <v>227</v>
      </c>
      <c r="G1770" s="102">
        <v>1.0</v>
      </c>
      <c r="H1770" s="103"/>
      <c r="I1770" s="103"/>
      <c r="J1770" s="103"/>
      <c r="K1770" s="89">
        <v>1.0307</v>
      </c>
      <c r="L1770" s="89">
        <v>0.7068</v>
      </c>
      <c r="M1770" s="88"/>
      <c r="N1770" s="88"/>
    </row>
    <row r="1771">
      <c r="A1771" s="90">
        <v>44791.0</v>
      </c>
      <c r="B1771" s="90">
        <v>44791.0</v>
      </c>
      <c r="C1771" s="102">
        <v>2345.0</v>
      </c>
      <c r="D1771" s="103" t="s">
        <v>221</v>
      </c>
      <c r="E1771" s="102">
        <v>0.0</v>
      </c>
      <c r="F1771" s="103" t="s">
        <v>228</v>
      </c>
      <c r="G1771" s="102">
        <v>0.0</v>
      </c>
      <c r="H1771" s="103"/>
      <c r="I1771" s="103"/>
      <c r="J1771" s="103"/>
      <c r="K1771" s="89">
        <v>0.78</v>
      </c>
      <c r="L1771" s="89">
        <v>0.4738</v>
      </c>
      <c r="M1771" s="88"/>
      <c r="N1771" s="88"/>
    </row>
    <row r="1772">
      <c r="A1772" s="90">
        <v>44791.0</v>
      </c>
      <c r="B1772" s="90">
        <v>44791.0</v>
      </c>
      <c r="C1772" s="102">
        <v>2382.0</v>
      </c>
      <c r="D1772" s="103" t="s">
        <v>221</v>
      </c>
      <c r="E1772" s="102">
        <v>1.0</v>
      </c>
      <c r="F1772" s="103" t="s">
        <v>227</v>
      </c>
      <c r="G1772" s="102">
        <v>1.0</v>
      </c>
      <c r="H1772" s="103"/>
      <c r="I1772" s="103"/>
      <c r="J1772" s="103"/>
      <c r="K1772" s="89">
        <v>0.6109</v>
      </c>
      <c r="L1772" s="89">
        <v>0.42</v>
      </c>
      <c r="M1772" s="88"/>
      <c r="N1772" s="88"/>
    </row>
    <row r="1773">
      <c r="A1773" s="90">
        <v>44791.0</v>
      </c>
      <c r="B1773" s="90">
        <v>44791.0</v>
      </c>
      <c r="C1773" s="102">
        <v>2343.0</v>
      </c>
      <c r="D1773" s="103" t="s">
        <v>221</v>
      </c>
      <c r="E1773" s="102">
        <v>0.0</v>
      </c>
      <c r="F1773" s="103" t="s">
        <v>228</v>
      </c>
      <c r="G1773" s="102">
        <v>0.0</v>
      </c>
      <c r="H1773" s="103"/>
      <c r="I1773" s="103"/>
      <c r="J1773" s="103"/>
      <c r="K1773" s="89">
        <v>2.4998</v>
      </c>
      <c r="L1773" s="89">
        <v>1.547</v>
      </c>
      <c r="M1773" s="88"/>
      <c r="N1773" s="88"/>
    </row>
    <row r="1774">
      <c r="A1774" s="90">
        <v>44791.0</v>
      </c>
      <c r="B1774" s="90">
        <v>44791.0</v>
      </c>
      <c r="C1774" s="102">
        <v>2347.0</v>
      </c>
      <c r="D1774" s="103" t="s">
        <v>221</v>
      </c>
      <c r="E1774" s="102">
        <v>0.0</v>
      </c>
      <c r="F1774" s="103" t="s">
        <v>227</v>
      </c>
      <c r="G1774" s="102">
        <v>0.0</v>
      </c>
      <c r="H1774" s="103"/>
      <c r="I1774" s="103"/>
      <c r="J1774" s="103"/>
      <c r="K1774" s="89">
        <v>0.3851</v>
      </c>
      <c r="L1774" s="89">
        <v>0.2573</v>
      </c>
      <c r="M1774" s="88"/>
      <c r="N1774" s="88"/>
    </row>
    <row r="1775">
      <c r="A1775" s="90">
        <v>44791.0</v>
      </c>
      <c r="B1775" s="90">
        <v>44791.0</v>
      </c>
      <c r="C1775" s="102">
        <v>2346.0</v>
      </c>
      <c r="D1775" s="103" t="s">
        <v>221</v>
      </c>
      <c r="E1775" s="102">
        <v>1.0</v>
      </c>
      <c r="F1775" s="103" t="s">
        <v>227</v>
      </c>
      <c r="G1775" s="102">
        <v>1.0</v>
      </c>
      <c r="H1775" s="103"/>
      <c r="I1775" s="103"/>
      <c r="J1775" s="103"/>
      <c r="K1775" s="89">
        <v>0.8272</v>
      </c>
      <c r="L1775" s="89">
        <v>0.5627</v>
      </c>
      <c r="M1775" s="88"/>
      <c r="N1775" s="88"/>
    </row>
    <row r="1776">
      <c r="A1776" s="90">
        <v>44791.0</v>
      </c>
      <c r="B1776" s="90">
        <v>44791.0</v>
      </c>
      <c r="C1776" s="102">
        <v>2384.0</v>
      </c>
      <c r="D1776" s="103" t="s">
        <v>221</v>
      </c>
      <c r="E1776" s="102">
        <v>0.0</v>
      </c>
      <c r="F1776" s="103" t="s">
        <v>228</v>
      </c>
      <c r="G1776" s="102">
        <v>0.0</v>
      </c>
      <c r="H1776" s="103"/>
      <c r="I1776" s="103"/>
      <c r="J1776" s="103"/>
      <c r="K1776" s="89">
        <v>2.7021</v>
      </c>
      <c r="L1776" s="89">
        <v>1.7055</v>
      </c>
      <c r="M1776" s="88"/>
      <c r="N1776" s="88"/>
    </row>
    <row r="1777">
      <c r="A1777" s="90">
        <v>44791.0</v>
      </c>
      <c r="B1777" s="90">
        <v>44791.0</v>
      </c>
      <c r="C1777" s="102">
        <v>2360.0</v>
      </c>
      <c r="D1777" s="103" t="s">
        <v>221</v>
      </c>
      <c r="E1777" s="102">
        <v>0.0</v>
      </c>
      <c r="F1777" s="103" t="s">
        <v>227</v>
      </c>
      <c r="G1777" s="102">
        <v>0.0</v>
      </c>
      <c r="H1777" s="103"/>
      <c r="I1777" s="103"/>
      <c r="J1777" s="103"/>
      <c r="K1777" s="89">
        <v>0.5474</v>
      </c>
      <c r="L1777" s="89">
        <v>0.3831</v>
      </c>
      <c r="M1777" s="88"/>
      <c r="N1777" s="88"/>
    </row>
    <row r="1778">
      <c r="A1778" s="90">
        <v>44791.0</v>
      </c>
      <c r="B1778" s="90">
        <v>44791.0</v>
      </c>
      <c r="C1778" s="102">
        <v>2360.0</v>
      </c>
      <c r="D1778" s="103" t="s">
        <v>221</v>
      </c>
      <c r="E1778" s="102">
        <v>0.0</v>
      </c>
      <c r="F1778" s="103" t="s">
        <v>228</v>
      </c>
      <c r="G1778" s="102">
        <v>0.0</v>
      </c>
      <c r="H1778" s="103"/>
      <c r="I1778" s="103"/>
      <c r="J1778" s="103"/>
      <c r="K1778" s="89">
        <v>2.723</v>
      </c>
      <c r="L1778" s="89">
        <v>1.6519</v>
      </c>
      <c r="M1778" s="88"/>
      <c r="N1778" s="88"/>
    </row>
    <row r="1779">
      <c r="A1779" s="90">
        <v>44791.0</v>
      </c>
      <c r="B1779" s="90">
        <v>44791.0</v>
      </c>
      <c r="C1779" s="102">
        <v>2383.0</v>
      </c>
      <c r="D1779" s="103" t="s">
        <v>221</v>
      </c>
      <c r="E1779" s="102">
        <v>0.0</v>
      </c>
      <c r="F1779" s="103" t="s">
        <v>228</v>
      </c>
      <c r="G1779" s="102">
        <v>0.0</v>
      </c>
      <c r="H1779" s="103"/>
      <c r="I1779" s="103"/>
      <c r="J1779" s="103"/>
      <c r="K1779" s="89">
        <v>3.1565</v>
      </c>
      <c r="L1779" s="89">
        <v>1.9396</v>
      </c>
      <c r="M1779" s="88"/>
      <c r="N1779" s="88"/>
    </row>
    <row r="1780">
      <c r="A1780" s="90">
        <v>44791.0</v>
      </c>
      <c r="B1780" s="90">
        <v>44791.0</v>
      </c>
      <c r="C1780" s="102">
        <v>2331.0</v>
      </c>
      <c r="D1780" s="103" t="s">
        <v>221</v>
      </c>
      <c r="E1780" s="102">
        <v>1.0</v>
      </c>
      <c r="F1780" s="103" t="s">
        <v>227</v>
      </c>
      <c r="G1780" s="102">
        <v>1.0</v>
      </c>
      <c r="H1780" s="103"/>
      <c r="I1780" s="103"/>
      <c r="J1780" s="103"/>
      <c r="K1780" s="89">
        <v>0.4086</v>
      </c>
      <c r="L1780" s="89">
        <v>0.279</v>
      </c>
      <c r="M1780" s="88"/>
      <c r="N1780" s="88"/>
    </row>
    <row r="1781">
      <c r="A1781" s="90">
        <v>44791.0</v>
      </c>
      <c r="B1781" s="90">
        <v>44791.0</v>
      </c>
      <c r="C1781" s="102">
        <v>2371.0</v>
      </c>
      <c r="D1781" s="103" t="s">
        <v>221</v>
      </c>
      <c r="E1781" s="102">
        <v>0.0</v>
      </c>
      <c r="F1781" s="103" t="s">
        <v>228</v>
      </c>
      <c r="G1781" s="102">
        <v>0.0</v>
      </c>
      <c r="H1781" s="103"/>
      <c r="I1781" s="103"/>
      <c r="J1781" s="103"/>
      <c r="K1781" s="89">
        <v>3.5524</v>
      </c>
      <c r="L1781" s="89">
        <v>2.1978</v>
      </c>
      <c r="M1781" s="88"/>
      <c r="N1781" s="88"/>
    </row>
    <row r="1782">
      <c r="A1782" s="90">
        <v>44791.0</v>
      </c>
      <c r="B1782" s="90">
        <v>44791.0</v>
      </c>
      <c r="C1782" s="102">
        <v>2380.0</v>
      </c>
      <c r="D1782" s="103" t="s">
        <v>221</v>
      </c>
      <c r="E1782" s="102">
        <v>1.0</v>
      </c>
      <c r="F1782" s="103" t="s">
        <v>228</v>
      </c>
      <c r="G1782" s="102">
        <v>1.0</v>
      </c>
      <c r="H1782" s="103"/>
      <c r="I1782" s="103"/>
      <c r="J1782" s="103"/>
      <c r="K1782" s="89">
        <v>3.516</v>
      </c>
      <c r="L1782" s="89">
        <v>2.3128</v>
      </c>
      <c r="M1782" s="88"/>
      <c r="N1782" s="88"/>
    </row>
    <row r="1783">
      <c r="A1783" s="90">
        <v>44791.0</v>
      </c>
      <c r="B1783" s="90">
        <v>44791.0</v>
      </c>
      <c r="C1783" s="102">
        <v>2378.0</v>
      </c>
      <c r="D1783" s="103" t="s">
        <v>221</v>
      </c>
      <c r="E1783" s="102">
        <v>0.0</v>
      </c>
      <c r="F1783" s="103" t="s">
        <v>228</v>
      </c>
      <c r="G1783" s="102">
        <v>0.0</v>
      </c>
      <c r="H1783" s="103"/>
      <c r="I1783" s="103"/>
      <c r="J1783" s="103"/>
      <c r="K1783" s="89">
        <v>5.4353</v>
      </c>
      <c r="L1783" s="89">
        <v>3.2691</v>
      </c>
      <c r="M1783" s="88"/>
      <c r="N1783" s="88"/>
    </row>
    <row r="1784">
      <c r="A1784" s="90">
        <v>44791.0</v>
      </c>
      <c r="B1784" s="90">
        <v>44791.0</v>
      </c>
      <c r="C1784" s="102">
        <v>2010.0</v>
      </c>
      <c r="D1784" s="103" t="s">
        <v>221</v>
      </c>
      <c r="E1784" s="102">
        <v>1.0</v>
      </c>
      <c r="F1784" s="103" t="s">
        <v>227</v>
      </c>
      <c r="G1784" s="102">
        <v>1.0</v>
      </c>
      <c r="H1784" s="103"/>
      <c r="I1784" s="103"/>
      <c r="J1784" s="103"/>
      <c r="K1784" s="89">
        <v>0.5051</v>
      </c>
      <c r="L1784" s="89">
        <v>0.3323</v>
      </c>
      <c r="M1784" s="88"/>
      <c r="N1784" s="88"/>
    </row>
    <row r="1785">
      <c r="A1785" s="90">
        <v>44791.0</v>
      </c>
      <c r="B1785" s="90">
        <v>44791.0</v>
      </c>
      <c r="C1785" s="102">
        <v>2365.0</v>
      </c>
      <c r="D1785" s="103" t="s">
        <v>221</v>
      </c>
      <c r="E1785" s="102">
        <v>0.0</v>
      </c>
      <c r="F1785" s="103" t="s">
        <v>228</v>
      </c>
      <c r="G1785" s="102">
        <v>0.0</v>
      </c>
      <c r="H1785" s="103"/>
      <c r="I1785" s="103"/>
      <c r="J1785" s="103"/>
      <c r="K1785" s="89">
        <v>1.5551</v>
      </c>
      <c r="L1785" s="89">
        <v>0.9921</v>
      </c>
      <c r="M1785" s="88"/>
      <c r="N1785" s="88"/>
    </row>
    <row r="1786">
      <c r="A1786" s="90">
        <v>44791.0</v>
      </c>
      <c r="B1786" s="90">
        <v>44791.0</v>
      </c>
      <c r="C1786" s="102">
        <v>2352.0</v>
      </c>
      <c r="D1786" s="103" t="s">
        <v>221</v>
      </c>
      <c r="E1786" s="102">
        <v>1.0</v>
      </c>
      <c r="F1786" s="103" t="s">
        <v>227</v>
      </c>
      <c r="G1786" s="102">
        <v>1.0</v>
      </c>
      <c r="H1786" s="103"/>
      <c r="I1786" s="103"/>
      <c r="J1786" s="103"/>
      <c r="K1786" s="89">
        <v>0.2774</v>
      </c>
      <c r="L1786" s="89">
        <v>0.1861</v>
      </c>
      <c r="M1786" s="88"/>
      <c r="N1786" s="88"/>
    </row>
    <row r="1787">
      <c r="A1787" s="90">
        <v>44791.0</v>
      </c>
      <c r="B1787" s="90">
        <v>44791.0</v>
      </c>
      <c r="C1787" s="102">
        <v>2367.0</v>
      </c>
      <c r="D1787" s="103" t="s">
        <v>221</v>
      </c>
      <c r="E1787" s="102">
        <v>0.0</v>
      </c>
      <c r="F1787" s="103" t="s">
        <v>228</v>
      </c>
      <c r="G1787" s="102">
        <v>0.0</v>
      </c>
      <c r="H1787" s="103"/>
      <c r="I1787" s="103"/>
      <c r="J1787" s="103"/>
      <c r="K1787" s="89">
        <v>1.3311</v>
      </c>
      <c r="L1787" s="89">
        <v>0.8422</v>
      </c>
      <c r="M1787" s="88"/>
      <c r="N1787" s="88"/>
    </row>
    <row r="1788">
      <c r="A1788" s="90">
        <v>44791.0</v>
      </c>
      <c r="B1788" s="90">
        <v>44791.0</v>
      </c>
      <c r="C1788" s="102">
        <v>2011.0</v>
      </c>
      <c r="D1788" s="103" t="s">
        <v>221</v>
      </c>
      <c r="E1788" s="102">
        <v>0.0</v>
      </c>
      <c r="F1788" s="103" t="s">
        <v>228</v>
      </c>
      <c r="G1788" s="102">
        <v>0.0</v>
      </c>
      <c r="H1788" s="103"/>
      <c r="I1788" s="103"/>
      <c r="J1788" s="103"/>
      <c r="K1788" s="89">
        <v>3.083</v>
      </c>
      <c r="L1788" s="89">
        <v>1.9345</v>
      </c>
      <c r="M1788" s="88"/>
      <c r="N1788" s="88"/>
    </row>
    <row r="1789">
      <c r="A1789" s="90">
        <v>44791.0</v>
      </c>
      <c r="B1789" s="90">
        <v>44791.0</v>
      </c>
      <c r="C1789" s="102">
        <v>2382.0</v>
      </c>
      <c r="D1789" s="103" t="s">
        <v>221</v>
      </c>
      <c r="E1789" s="103"/>
      <c r="F1789" s="103" t="s">
        <v>248</v>
      </c>
      <c r="G1789" s="103"/>
      <c r="H1789" s="103"/>
      <c r="I1789" s="103"/>
      <c r="J1789" s="103"/>
      <c r="K1789" s="89">
        <v>1.7297</v>
      </c>
      <c r="L1789" s="89">
        <v>1.0804</v>
      </c>
      <c r="M1789" s="88"/>
      <c r="N1789" s="105" t="s">
        <v>260</v>
      </c>
    </row>
    <row r="1790">
      <c r="A1790" s="90">
        <v>44791.0</v>
      </c>
      <c r="B1790" s="90">
        <v>44791.0</v>
      </c>
      <c r="C1790" s="102">
        <v>2371.0</v>
      </c>
      <c r="D1790" s="103" t="s">
        <v>221</v>
      </c>
      <c r="E1790" s="103"/>
      <c r="F1790" s="103" t="s">
        <v>248</v>
      </c>
      <c r="G1790" s="103"/>
      <c r="H1790" s="103"/>
      <c r="I1790" s="103"/>
      <c r="J1790" s="103"/>
      <c r="K1790" s="89">
        <v>2.5284</v>
      </c>
      <c r="L1790" s="89">
        <v>1.5535</v>
      </c>
      <c r="M1790" s="88"/>
      <c r="N1790" s="105" t="s">
        <v>261</v>
      </c>
    </row>
    <row r="1791">
      <c r="A1791" s="90">
        <v>44791.0</v>
      </c>
      <c r="B1791" s="90">
        <v>44791.0</v>
      </c>
      <c r="C1791" s="102">
        <v>2331.0</v>
      </c>
      <c r="D1791" s="103" t="s">
        <v>221</v>
      </c>
      <c r="E1791" s="102">
        <v>0.0</v>
      </c>
      <c r="F1791" s="103" t="s">
        <v>227</v>
      </c>
      <c r="G1791" s="102">
        <v>0.0</v>
      </c>
      <c r="H1791" s="103"/>
      <c r="I1791" s="103"/>
      <c r="J1791" s="103"/>
      <c r="K1791" s="89">
        <v>0.1011</v>
      </c>
      <c r="L1791" s="89">
        <v>0.0675</v>
      </c>
      <c r="M1791" s="88"/>
      <c r="N1791" s="88" t="s">
        <v>262</v>
      </c>
    </row>
    <row r="1792">
      <c r="A1792" s="90">
        <v>44791.0</v>
      </c>
      <c r="B1792" s="90">
        <v>44791.0</v>
      </c>
      <c r="C1792" s="102">
        <v>2370.0</v>
      </c>
      <c r="D1792" s="103" t="s">
        <v>221</v>
      </c>
      <c r="E1792" s="103"/>
      <c r="F1792" s="103" t="s">
        <v>228</v>
      </c>
      <c r="G1792" s="103"/>
      <c r="H1792" s="103"/>
      <c r="I1792" s="103"/>
      <c r="J1792" s="103"/>
      <c r="K1792" s="89">
        <v>2.0568</v>
      </c>
      <c r="L1792" s="89">
        <v>1.3026</v>
      </c>
      <c r="M1792" s="88"/>
      <c r="N1792" s="105" t="s">
        <v>263</v>
      </c>
    </row>
    <row r="1793">
      <c r="A1793" s="90">
        <v>44791.0</v>
      </c>
      <c r="B1793" s="90">
        <v>44791.0</v>
      </c>
      <c r="C1793" s="102">
        <v>2331.0</v>
      </c>
      <c r="D1793" s="103" t="s">
        <v>221</v>
      </c>
      <c r="E1793" s="102">
        <v>1.0</v>
      </c>
      <c r="F1793" s="103" t="s">
        <v>228</v>
      </c>
      <c r="G1793" s="102">
        <v>1.0</v>
      </c>
      <c r="H1793" s="103"/>
      <c r="I1793" s="103"/>
      <c r="J1793" s="103"/>
      <c r="K1793" s="89">
        <v>2.3922</v>
      </c>
      <c r="L1793" s="89">
        <v>1.5608</v>
      </c>
      <c r="M1793" s="88"/>
      <c r="N1793" s="88" t="s">
        <v>262</v>
      </c>
    </row>
    <row r="1794">
      <c r="A1794" s="90">
        <v>44791.0</v>
      </c>
      <c r="B1794" s="90">
        <v>44791.0</v>
      </c>
      <c r="C1794" s="102">
        <v>2330.0</v>
      </c>
      <c r="D1794" s="103" t="s">
        <v>226</v>
      </c>
      <c r="E1794" s="102">
        <v>1.0</v>
      </c>
      <c r="F1794" s="103" t="s">
        <v>227</v>
      </c>
      <c r="G1794" s="102">
        <v>1.0</v>
      </c>
      <c r="H1794" s="103"/>
      <c r="I1794" s="103"/>
      <c r="J1794" s="103"/>
      <c r="K1794" s="104">
        <v>1.62</v>
      </c>
      <c r="L1794" s="89">
        <v>1.0873</v>
      </c>
      <c r="M1794" s="88"/>
      <c r="N1794" s="88"/>
    </row>
    <row r="1795">
      <c r="A1795" s="90">
        <v>44791.0</v>
      </c>
      <c r="B1795" s="90">
        <v>44791.0</v>
      </c>
      <c r="C1795" s="102">
        <v>2330.0</v>
      </c>
      <c r="D1795" s="103" t="s">
        <v>226</v>
      </c>
      <c r="E1795" s="102">
        <v>0.0</v>
      </c>
      <c r="F1795" s="103" t="s">
        <v>227</v>
      </c>
      <c r="G1795" s="102">
        <v>0.0</v>
      </c>
      <c r="H1795" s="103"/>
      <c r="I1795" s="103"/>
      <c r="J1795" s="103"/>
      <c r="K1795" s="104">
        <v>0.27</v>
      </c>
      <c r="L1795" s="89">
        <v>0.1857</v>
      </c>
      <c r="M1795" s="88"/>
      <c r="N1795" s="88"/>
    </row>
    <row r="1796">
      <c r="A1796" s="90">
        <v>44791.0</v>
      </c>
      <c r="B1796" s="90">
        <v>44791.0</v>
      </c>
      <c r="C1796" s="102">
        <v>2352.0</v>
      </c>
      <c r="D1796" s="103" t="s">
        <v>226</v>
      </c>
      <c r="E1796" s="102">
        <v>1.0</v>
      </c>
      <c r="F1796" s="103" t="s">
        <v>228</v>
      </c>
      <c r="G1796" s="102">
        <v>1.0</v>
      </c>
      <c r="H1796" s="103"/>
      <c r="I1796" s="103"/>
      <c r="J1796" s="103"/>
      <c r="K1796" s="104">
        <v>1.71</v>
      </c>
      <c r="L1796" s="89">
        <v>1.2176</v>
      </c>
      <c r="M1796" s="88"/>
      <c r="N1796" s="88"/>
    </row>
    <row r="1797">
      <c r="A1797" s="90">
        <v>44791.0</v>
      </c>
      <c r="B1797" s="90">
        <v>44791.0</v>
      </c>
      <c r="C1797" s="102">
        <v>2352.0</v>
      </c>
      <c r="D1797" s="103" t="s">
        <v>226</v>
      </c>
      <c r="E1797" s="102">
        <v>1.0</v>
      </c>
      <c r="F1797" s="103" t="s">
        <v>227</v>
      </c>
      <c r="G1797" s="102">
        <v>1.0</v>
      </c>
      <c r="H1797" s="103"/>
      <c r="I1797" s="103"/>
      <c r="J1797" s="103"/>
      <c r="K1797" s="104">
        <v>0.6</v>
      </c>
      <c r="L1797" s="89">
        <v>0.4115</v>
      </c>
      <c r="M1797" s="88"/>
      <c r="N1797" s="88"/>
    </row>
    <row r="1798">
      <c r="A1798" s="90">
        <v>44791.0</v>
      </c>
      <c r="B1798" s="90">
        <v>44791.0</v>
      </c>
      <c r="C1798" s="102">
        <v>2371.0</v>
      </c>
      <c r="D1798" s="103" t="s">
        <v>226</v>
      </c>
      <c r="E1798" s="102">
        <v>0.0</v>
      </c>
      <c r="F1798" s="103" t="s">
        <v>228</v>
      </c>
      <c r="G1798" s="102">
        <v>0.0</v>
      </c>
      <c r="H1798" s="103"/>
      <c r="I1798" s="103"/>
      <c r="J1798" s="103"/>
      <c r="K1798" s="104">
        <v>2.15</v>
      </c>
      <c r="L1798" s="89">
        <v>1.3027</v>
      </c>
      <c r="M1798" s="88"/>
      <c r="N1798" s="88"/>
    </row>
    <row r="1799">
      <c r="A1799" s="90">
        <v>44791.0</v>
      </c>
      <c r="B1799" s="90">
        <v>44791.0</v>
      </c>
      <c r="C1799" s="102">
        <v>2352.0</v>
      </c>
      <c r="D1799" s="103" t="s">
        <v>226</v>
      </c>
      <c r="E1799" s="102">
        <v>0.0</v>
      </c>
      <c r="F1799" s="103" t="s">
        <v>228</v>
      </c>
      <c r="G1799" s="102">
        <v>0.0</v>
      </c>
      <c r="H1799" s="103"/>
      <c r="I1799" s="103"/>
      <c r="J1799" s="103"/>
      <c r="K1799" s="104">
        <v>0.95</v>
      </c>
      <c r="L1799" s="89">
        <v>0.6102</v>
      </c>
      <c r="M1799" s="88"/>
      <c r="N1799" s="88"/>
    </row>
    <row r="1800">
      <c r="A1800" s="90">
        <v>44791.0</v>
      </c>
      <c r="B1800" s="90">
        <v>44791.0</v>
      </c>
      <c r="C1800" s="102">
        <v>2378.0</v>
      </c>
      <c r="D1800" s="103" t="s">
        <v>226</v>
      </c>
      <c r="E1800" s="102">
        <v>0.0</v>
      </c>
      <c r="F1800" s="103" t="s">
        <v>228</v>
      </c>
      <c r="G1800" s="102">
        <v>0.0</v>
      </c>
      <c r="H1800" s="103"/>
      <c r="I1800" s="103"/>
      <c r="J1800" s="103"/>
      <c r="K1800" s="104">
        <v>1.77</v>
      </c>
      <c r="L1800" s="89">
        <v>1.0953</v>
      </c>
      <c r="M1800" s="88"/>
      <c r="N1800" s="88"/>
    </row>
    <row r="1801">
      <c r="A1801" s="90">
        <v>44791.0</v>
      </c>
      <c r="B1801" s="90">
        <v>44791.0</v>
      </c>
      <c r="C1801" s="102">
        <v>2381.0</v>
      </c>
      <c r="D1801" s="103" t="s">
        <v>226</v>
      </c>
      <c r="E1801" s="102">
        <v>0.0</v>
      </c>
      <c r="F1801" s="103" t="s">
        <v>227</v>
      </c>
      <c r="G1801" s="102">
        <v>0.0</v>
      </c>
      <c r="H1801" s="103"/>
      <c r="I1801" s="103"/>
      <c r="J1801" s="103"/>
      <c r="K1801" s="104">
        <v>0.34</v>
      </c>
      <c r="L1801" s="89">
        <v>0.2278</v>
      </c>
      <c r="M1801" s="88"/>
      <c r="N1801" s="88"/>
    </row>
    <row r="1802">
      <c r="A1802" s="90">
        <v>44791.0</v>
      </c>
      <c r="B1802" s="90">
        <v>44791.0</v>
      </c>
      <c r="C1802" s="102">
        <v>2371.0</v>
      </c>
      <c r="D1802" s="103" t="s">
        <v>226</v>
      </c>
      <c r="E1802" s="102">
        <v>1.0</v>
      </c>
      <c r="F1802" s="103" t="s">
        <v>227</v>
      </c>
      <c r="G1802" s="102">
        <v>1.0</v>
      </c>
      <c r="H1802" s="103"/>
      <c r="I1802" s="103"/>
      <c r="J1802" s="103"/>
      <c r="K1802" s="104">
        <v>1.09</v>
      </c>
      <c r="L1802" s="89">
        <v>0.6855</v>
      </c>
      <c r="M1802" s="88"/>
      <c r="N1802" s="88"/>
    </row>
    <row r="1803">
      <c r="A1803" s="90">
        <v>44791.0</v>
      </c>
      <c r="B1803" s="90">
        <v>44791.0</v>
      </c>
      <c r="C1803" s="102">
        <v>2381.0</v>
      </c>
      <c r="D1803" s="103" t="s">
        <v>226</v>
      </c>
      <c r="E1803" s="102">
        <v>0.0</v>
      </c>
      <c r="F1803" s="103" t="s">
        <v>228</v>
      </c>
      <c r="G1803" s="102">
        <v>0.0</v>
      </c>
      <c r="H1803" s="103"/>
      <c r="I1803" s="103"/>
      <c r="J1803" s="103"/>
      <c r="K1803" s="104">
        <v>1.8</v>
      </c>
      <c r="L1803" s="89">
        <v>1.1135</v>
      </c>
      <c r="M1803" s="88"/>
      <c r="N1803" s="88"/>
    </row>
    <row r="1804">
      <c r="A1804" s="90">
        <v>44791.0</v>
      </c>
      <c r="B1804" s="90">
        <v>44791.0</v>
      </c>
      <c r="C1804" s="102">
        <v>2352.0</v>
      </c>
      <c r="D1804" s="103" t="s">
        <v>226</v>
      </c>
      <c r="E1804" s="102">
        <v>0.0</v>
      </c>
      <c r="F1804" s="103" t="s">
        <v>227</v>
      </c>
      <c r="G1804" s="102">
        <v>0.0</v>
      </c>
      <c r="H1804" s="103"/>
      <c r="I1804" s="103"/>
      <c r="J1804" s="103"/>
      <c r="K1804" s="104">
        <v>0.05</v>
      </c>
      <c r="L1804" s="89">
        <v>0.0352</v>
      </c>
      <c r="M1804" s="88"/>
      <c r="N1804" s="88"/>
    </row>
    <row r="1805">
      <c r="A1805" s="90">
        <v>44791.0</v>
      </c>
      <c r="B1805" s="90">
        <v>44791.0</v>
      </c>
      <c r="C1805" s="102">
        <v>2377.0</v>
      </c>
      <c r="D1805" s="103" t="s">
        <v>226</v>
      </c>
      <c r="E1805" s="102">
        <v>0.0</v>
      </c>
      <c r="F1805" s="103" t="s">
        <v>227</v>
      </c>
      <c r="G1805" s="102">
        <v>0.0</v>
      </c>
      <c r="H1805" s="103"/>
      <c r="I1805" s="103"/>
      <c r="J1805" s="103"/>
      <c r="K1805" s="104">
        <v>0.18</v>
      </c>
      <c r="L1805" s="89">
        <v>0.1026</v>
      </c>
      <c r="M1805" s="88"/>
      <c r="N1805" s="88"/>
    </row>
    <row r="1806">
      <c r="A1806" s="90">
        <v>44791.0</v>
      </c>
      <c r="B1806" s="90">
        <v>44791.0</v>
      </c>
      <c r="C1806" s="102">
        <v>2082.0</v>
      </c>
      <c r="D1806" s="103" t="s">
        <v>226</v>
      </c>
      <c r="E1806" s="102">
        <v>0.0</v>
      </c>
      <c r="F1806" s="103" t="s">
        <v>227</v>
      </c>
      <c r="G1806" s="102">
        <v>0.0</v>
      </c>
      <c r="H1806" s="103"/>
      <c r="I1806" s="103"/>
      <c r="J1806" s="103"/>
      <c r="K1806" s="104">
        <v>0.25</v>
      </c>
      <c r="L1806" s="89">
        <v>0.1674</v>
      </c>
      <c r="M1806" s="88"/>
      <c r="N1806" s="88"/>
    </row>
    <row r="1807">
      <c r="A1807" s="90">
        <v>44791.0</v>
      </c>
      <c r="B1807" s="90">
        <v>44791.0</v>
      </c>
      <c r="C1807" s="102">
        <v>2365.0</v>
      </c>
      <c r="D1807" s="103" t="s">
        <v>226</v>
      </c>
      <c r="E1807" s="102">
        <v>0.0</v>
      </c>
      <c r="F1807" s="103" t="s">
        <v>228</v>
      </c>
      <c r="G1807" s="102">
        <v>0.0</v>
      </c>
      <c r="H1807" s="103"/>
      <c r="I1807" s="103"/>
      <c r="J1807" s="103"/>
      <c r="K1807" s="104">
        <v>1.24</v>
      </c>
      <c r="L1807" s="89">
        <v>0.8008</v>
      </c>
      <c r="M1807" s="88"/>
      <c r="N1807" s="88"/>
    </row>
    <row r="1808">
      <c r="A1808" s="90">
        <v>44791.0</v>
      </c>
      <c r="B1808" s="90">
        <v>44791.0</v>
      </c>
      <c r="C1808" s="102">
        <v>2371.0</v>
      </c>
      <c r="D1808" s="103" t="s">
        <v>226</v>
      </c>
      <c r="E1808" s="102">
        <v>0.0</v>
      </c>
      <c r="F1808" s="103" t="s">
        <v>227</v>
      </c>
      <c r="G1808" s="102">
        <v>0.0</v>
      </c>
      <c r="H1808" s="103"/>
      <c r="I1808" s="103"/>
      <c r="J1808" s="103"/>
      <c r="K1808" s="104">
        <v>0.19</v>
      </c>
      <c r="L1808" s="89">
        <v>0.1125</v>
      </c>
      <c r="M1808" s="88"/>
      <c r="N1808" s="88"/>
    </row>
    <row r="1809">
      <c r="A1809" s="90">
        <v>44791.0</v>
      </c>
      <c r="B1809" s="90">
        <v>44791.0</v>
      </c>
      <c r="C1809" s="102">
        <v>2009.0</v>
      </c>
      <c r="D1809" s="103" t="s">
        <v>226</v>
      </c>
      <c r="E1809" s="102">
        <v>0.0</v>
      </c>
      <c r="F1809" s="103" t="s">
        <v>227</v>
      </c>
      <c r="G1809" s="102">
        <v>0.0</v>
      </c>
      <c r="H1809" s="103"/>
      <c r="I1809" s="103"/>
      <c r="J1809" s="103"/>
      <c r="K1809" s="104">
        <v>0.2</v>
      </c>
      <c r="L1809" s="89">
        <v>0.1447</v>
      </c>
      <c r="M1809" s="88"/>
      <c r="N1809" s="88"/>
    </row>
    <row r="1810">
      <c r="A1810" s="90">
        <v>44791.0</v>
      </c>
      <c r="B1810" s="90">
        <v>44791.0</v>
      </c>
      <c r="C1810" s="102">
        <v>2365.0</v>
      </c>
      <c r="D1810" s="103" t="s">
        <v>226</v>
      </c>
      <c r="E1810" s="102">
        <v>1.0</v>
      </c>
      <c r="F1810" s="103" t="s">
        <v>227</v>
      </c>
      <c r="G1810" s="102">
        <v>1.0</v>
      </c>
      <c r="H1810" s="103"/>
      <c r="I1810" s="103"/>
      <c r="J1810" s="103"/>
      <c r="K1810" s="104">
        <v>0.38</v>
      </c>
      <c r="L1810" s="89">
        <v>0.2702</v>
      </c>
      <c r="M1810" s="88"/>
      <c r="N1810" s="88"/>
    </row>
    <row r="1811">
      <c r="A1811" s="90">
        <v>44791.0</v>
      </c>
      <c r="B1811" s="90">
        <v>44791.0</v>
      </c>
      <c r="C1811" s="102">
        <v>2365.0</v>
      </c>
      <c r="D1811" s="103" t="s">
        <v>226</v>
      </c>
      <c r="E1811" s="102">
        <v>0.0</v>
      </c>
      <c r="F1811" s="103" t="s">
        <v>227</v>
      </c>
      <c r="G1811" s="102">
        <v>0.0</v>
      </c>
      <c r="H1811" s="103"/>
      <c r="I1811" s="103"/>
      <c r="J1811" s="103"/>
      <c r="K1811" s="104">
        <v>0.28</v>
      </c>
      <c r="L1811" s="89">
        <v>0.1841</v>
      </c>
      <c r="M1811" s="88"/>
      <c r="N1811" s="88"/>
    </row>
    <row r="1812">
      <c r="A1812" s="90">
        <v>44791.0</v>
      </c>
      <c r="B1812" s="90">
        <v>44791.0</v>
      </c>
      <c r="C1812" s="102">
        <v>2082.0</v>
      </c>
      <c r="D1812" s="103" t="s">
        <v>226</v>
      </c>
      <c r="E1812" s="102">
        <v>1.0</v>
      </c>
      <c r="F1812" s="103" t="s">
        <v>227</v>
      </c>
      <c r="G1812" s="102">
        <v>1.0</v>
      </c>
      <c r="H1812" s="103"/>
      <c r="I1812" s="103"/>
      <c r="J1812" s="103"/>
      <c r="K1812" s="104">
        <v>0.72</v>
      </c>
      <c r="L1812" s="89">
        <v>0.4748</v>
      </c>
      <c r="M1812" s="88"/>
      <c r="N1812" s="88"/>
    </row>
    <row r="1813">
      <c r="A1813" s="90">
        <v>44791.0</v>
      </c>
      <c r="B1813" s="90">
        <v>44791.0</v>
      </c>
      <c r="C1813" s="102">
        <v>2011.0</v>
      </c>
      <c r="D1813" s="103" t="s">
        <v>226</v>
      </c>
      <c r="E1813" s="102">
        <v>0.0</v>
      </c>
      <c r="F1813" s="103" t="s">
        <v>228</v>
      </c>
      <c r="G1813" s="102">
        <v>0.0</v>
      </c>
      <c r="H1813" s="103"/>
      <c r="I1813" s="103"/>
      <c r="J1813" s="103"/>
      <c r="K1813" s="104">
        <v>3.38</v>
      </c>
      <c r="L1813" s="89">
        <v>2.3469</v>
      </c>
      <c r="M1813" s="88"/>
      <c r="N1813" s="88"/>
    </row>
    <row r="1814">
      <c r="A1814" s="90">
        <v>44791.0</v>
      </c>
      <c r="B1814" s="90">
        <v>44791.0</v>
      </c>
      <c r="C1814" s="102">
        <v>2082.0</v>
      </c>
      <c r="D1814" s="103" t="s">
        <v>226</v>
      </c>
      <c r="E1814" s="102">
        <v>0.0</v>
      </c>
      <c r="F1814" s="103" t="s">
        <v>228</v>
      </c>
      <c r="G1814" s="102">
        <v>0.0</v>
      </c>
      <c r="H1814" s="103"/>
      <c r="I1814" s="103"/>
      <c r="J1814" s="103"/>
      <c r="K1814" s="104">
        <v>3.37</v>
      </c>
      <c r="L1814" s="89">
        <v>2.1267</v>
      </c>
      <c r="M1814" s="88"/>
      <c r="N1814" s="88"/>
    </row>
    <row r="1815">
      <c r="A1815" s="90">
        <v>44791.0</v>
      </c>
      <c r="B1815" s="90">
        <v>44791.0</v>
      </c>
      <c r="C1815" s="102">
        <v>2347.0</v>
      </c>
      <c r="D1815" s="103" t="s">
        <v>226</v>
      </c>
      <c r="E1815" s="102">
        <v>1.0</v>
      </c>
      <c r="F1815" s="103" t="s">
        <v>227</v>
      </c>
      <c r="G1815" s="102">
        <v>1.0</v>
      </c>
      <c r="H1815" s="103"/>
      <c r="I1815" s="103"/>
      <c r="J1815" s="103"/>
      <c r="K1815" s="104">
        <v>0.71</v>
      </c>
      <c r="L1815" s="89">
        <v>0.5176</v>
      </c>
      <c r="M1815" s="88"/>
      <c r="N1815" s="88"/>
    </row>
    <row r="1816">
      <c r="A1816" s="90">
        <v>44791.0</v>
      </c>
      <c r="B1816" s="90">
        <v>44791.0</v>
      </c>
      <c r="C1816" s="102">
        <v>2380.0</v>
      </c>
      <c r="D1816" s="103" t="s">
        <v>226</v>
      </c>
      <c r="E1816" s="102">
        <v>1.0</v>
      </c>
      <c r="F1816" s="103" t="s">
        <v>227</v>
      </c>
      <c r="G1816" s="102">
        <v>1.0</v>
      </c>
      <c r="H1816" s="103"/>
      <c r="I1816" s="103"/>
      <c r="J1816" s="103"/>
      <c r="K1816" s="104">
        <v>0.6</v>
      </c>
      <c r="L1816" s="89">
        <v>0.3792</v>
      </c>
      <c r="M1816" s="88"/>
      <c r="N1816" s="88"/>
    </row>
    <row r="1817">
      <c r="A1817" s="90">
        <v>44791.0</v>
      </c>
      <c r="B1817" s="90">
        <v>44791.0</v>
      </c>
      <c r="C1817" s="102">
        <v>2330.0</v>
      </c>
      <c r="D1817" s="103" t="s">
        <v>226</v>
      </c>
      <c r="E1817" s="102">
        <v>1.0</v>
      </c>
      <c r="F1817" s="103" t="s">
        <v>228</v>
      </c>
      <c r="G1817" s="102">
        <v>1.0</v>
      </c>
      <c r="H1817" s="103"/>
      <c r="I1817" s="103"/>
      <c r="J1817" s="103"/>
      <c r="K1817" s="104">
        <v>5.13</v>
      </c>
      <c r="L1817" s="89">
        <v>3.3783</v>
      </c>
      <c r="M1817" s="88"/>
      <c r="N1817" s="88"/>
    </row>
    <row r="1818">
      <c r="A1818" s="90">
        <v>44791.0</v>
      </c>
      <c r="B1818" s="90">
        <v>44791.0</v>
      </c>
      <c r="C1818" s="102">
        <v>2370.0</v>
      </c>
      <c r="D1818" s="103" t="s">
        <v>226</v>
      </c>
      <c r="E1818" s="102">
        <v>0.0</v>
      </c>
      <c r="F1818" s="103" t="s">
        <v>228</v>
      </c>
      <c r="G1818" s="102">
        <v>0.0</v>
      </c>
      <c r="H1818" s="103"/>
      <c r="I1818" s="103"/>
      <c r="J1818" s="103"/>
      <c r="K1818" s="104">
        <v>2.6</v>
      </c>
      <c r="L1818" s="89">
        <v>1.7163</v>
      </c>
      <c r="M1818" s="88"/>
      <c r="N1818" s="88"/>
    </row>
    <row r="1819">
      <c r="A1819" s="90">
        <v>44791.0</v>
      </c>
      <c r="B1819" s="90">
        <v>44791.0</v>
      </c>
      <c r="C1819" s="102">
        <v>2380.0</v>
      </c>
      <c r="D1819" s="103" t="s">
        <v>226</v>
      </c>
      <c r="E1819" s="102">
        <v>1.0</v>
      </c>
      <c r="F1819" s="103" t="s">
        <v>228</v>
      </c>
      <c r="G1819" s="102">
        <v>1.0</v>
      </c>
      <c r="H1819" s="103"/>
      <c r="I1819" s="103"/>
      <c r="J1819" s="103"/>
      <c r="K1819" s="104">
        <v>3.5</v>
      </c>
      <c r="L1819" s="89">
        <v>2.255</v>
      </c>
      <c r="M1819" s="88"/>
      <c r="N1819" s="88"/>
    </row>
    <row r="1820">
      <c r="A1820" s="90">
        <v>44791.0</v>
      </c>
      <c r="B1820" s="90">
        <v>44791.0</v>
      </c>
      <c r="C1820" s="102">
        <v>2345.0</v>
      </c>
      <c r="D1820" s="103" t="s">
        <v>226</v>
      </c>
      <c r="E1820" s="102">
        <v>1.0</v>
      </c>
      <c r="F1820" s="103" t="s">
        <v>227</v>
      </c>
      <c r="G1820" s="102">
        <v>1.0</v>
      </c>
      <c r="H1820" s="103"/>
      <c r="I1820" s="103"/>
      <c r="J1820" s="103"/>
      <c r="K1820" s="104">
        <v>0.87</v>
      </c>
      <c r="L1820" s="89">
        <v>0.5698</v>
      </c>
      <c r="M1820" s="88"/>
      <c r="N1820" s="88"/>
    </row>
    <row r="1821">
      <c r="A1821" s="90">
        <v>44791.0</v>
      </c>
      <c r="B1821" s="90">
        <v>44791.0</v>
      </c>
      <c r="C1821" s="102">
        <v>2379.0</v>
      </c>
      <c r="D1821" s="103" t="s">
        <v>226</v>
      </c>
      <c r="E1821" s="102">
        <v>0.0</v>
      </c>
      <c r="F1821" s="103" t="s">
        <v>228</v>
      </c>
      <c r="G1821" s="102">
        <v>0.0</v>
      </c>
      <c r="H1821" s="103"/>
      <c r="I1821" s="103"/>
      <c r="J1821" s="103"/>
      <c r="K1821" s="104">
        <v>3.79</v>
      </c>
      <c r="L1821" s="89">
        <v>2.3207</v>
      </c>
      <c r="M1821" s="88"/>
      <c r="N1821" s="88"/>
    </row>
    <row r="1822">
      <c r="A1822" s="90">
        <v>44791.0</v>
      </c>
      <c r="B1822" s="90">
        <v>44791.0</v>
      </c>
      <c r="C1822" s="102">
        <v>2354.0</v>
      </c>
      <c r="D1822" s="103" t="s">
        <v>226</v>
      </c>
      <c r="E1822" s="102">
        <v>0.0</v>
      </c>
      <c r="F1822" s="103" t="s">
        <v>228</v>
      </c>
      <c r="G1822" s="102">
        <v>0.0</v>
      </c>
      <c r="H1822" s="103"/>
      <c r="I1822" s="103"/>
      <c r="J1822" s="103"/>
      <c r="K1822" s="104">
        <v>1.95</v>
      </c>
      <c r="L1822" s="89">
        <v>1.1313</v>
      </c>
      <c r="M1822" s="88"/>
      <c r="N1822" s="88"/>
    </row>
    <row r="1823">
      <c r="A1823" s="90">
        <v>44791.0</v>
      </c>
      <c r="B1823" s="90">
        <v>44791.0</v>
      </c>
      <c r="C1823" s="102">
        <v>2009.0</v>
      </c>
      <c r="D1823" s="103" t="s">
        <v>226</v>
      </c>
      <c r="E1823" s="102">
        <v>0.0</v>
      </c>
      <c r="F1823" s="103" t="s">
        <v>228</v>
      </c>
      <c r="G1823" s="102">
        <v>0.0</v>
      </c>
      <c r="H1823" s="103"/>
      <c r="I1823" s="103"/>
      <c r="J1823" s="103"/>
      <c r="K1823" s="104">
        <v>1.7</v>
      </c>
      <c r="L1823" s="89">
        <v>1.0965</v>
      </c>
      <c r="M1823" s="88"/>
      <c r="N1823" s="88"/>
    </row>
    <row r="1824">
      <c r="A1824" s="90">
        <v>44791.0</v>
      </c>
      <c r="B1824" s="90">
        <v>44791.0</v>
      </c>
      <c r="C1824" s="102">
        <v>2377.0</v>
      </c>
      <c r="D1824" s="103" t="s">
        <v>226</v>
      </c>
      <c r="E1824" s="102">
        <v>0.0</v>
      </c>
      <c r="F1824" s="103" t="s">
        <v>228</v>
      </c>
      <c r="G1824" s="102">
        <v>0.0</v>
      </c>
      <c r="H1824" s="103"/>
      <c r="I1824" s="103"/>
      <c r="J1824" s="103"/>
      <c r="K1824" s="104">
        <v>1.4</v>
      </c>
      <c r="L1824" s="89">
        <v>0.9276</v>
      </c>
      <c r="M1824" s="88"/>
      <c r="N1824" s="88"/>
    </row>
    <row r="1825">
      <c r="A1825" s="90">
        <v>44791.0</v>
      </c>
      <c r="B1825" s="90">
        <v>44791.0</v>
      </c>
      <c r="C1825" s="102">
        <v>2377.0</v>
      </c>
      <c r="D1825" s="103" t="s">
        <v>226</v>
      </c>
      <c r="E1825" s="102">
        <v>1.0</v>
      </c>
      <c r="F1825" s="103" t="s">
        <v>228</v>
      </c>
      <c r="G1825" s="102">
        <v>1.0</v>
      </c>
      <c r="H1825" s="103"/>
      <c r="I1825" s="103"/>
      <c r="J1825" s="103"/>
      <c r="K1825" s="104">
        <v>1.72</v>
      </c>
      <c r="L1825" s="89">
        <v>1.1867</v>
      </c>
      <c r="M1825" s="88"/>
      <c r="N1825" s="88"/>
    </row>
    <row r="1826">
      <c r="A1826" s="90">
        <v>44820.0</v>
      </c>
      <c r="B1826" s="90">
        <v>44820.0</v>
      </c>
      <c r="C1826" s="102">
        <v>2012.0</v>
      </c>
      <c r="D1826" s="103" t="s">
        <v>226</v>
      </c>
      <c r="E1826" s="102">
        <v>0.0</v>
      </c>
      <c r="F1826" s="103" t="s">
        <v>227</v>
      </c>
      <c r="G1826" s="102">
        <v>0.0</v>
      </c>
      <c r="H1826" s="103"/>
      <c r="I1826" s="103"/>
      <c r="J1826" s="103"/>
      <c r="K1826" s="104">
        <v>0.5684</v>
      </c>
      <c r="L1826" s="89">
        <v>0.3494</v>
      </c>
      <c r="M1826" s="88"/>
      <c r="N1826" s="88"/>
    </row>
    <row r="1827">
      <c r="A1827" s="90">
        <v>44820.0</v>
      </c>
      <c r="B1827" s="90">
        <v>44820.0</v>
      </c>
      <c r="C1827" s="102">
        <v>1478.0</v>
      </c>
      <c r="D1827" s="103" t="s">
        <v>226</v>
      </c>
      <c r="E1827" s="102">
        <v>1.0</v>
      </c>
      <c r="F1827" s="103" t="s">
        <v>227</v>
      </c>
      <c r="G1827" s="102">
        <v>1.0</v>
      </c>
      <c r="H1827" s="103"/>
      <c r="I1827" s="103"/>
      <c r="J1827" s="103"/>
      <c r="K1827" s="104">
        <v>0.9988</v>
      </c>
      <c r="L1827" s="89">
        <v>0.5848</v>
      </c>
      <c r="M1827" s="88"/>
      <c r="N1827" s="88"/>
    </row>
    <row r="1828">
      <c r="A1828" s="90">
        <v>44820.0</v>
      </c>
      <c r="B1828" s="90">
        <v>44820.0</v>
      </c>
      <c r="C1828" s="102">
        <v>1478.0</v>
      </c>
      <c r="D1828" s="103" t="s">
        <v>226</v>
      </c>
      <c r="E1828" s="102">
        <v>0.0</v>
      </c>
      <c r="F1828" s="103" t="s">
        <v>227</v>
      </c>
      <c r="G1828" s="102">
        <v>0.0</v>
      </c>
      <c r="H1828" s="103"/>
      <c r="I1828" s="103"/>
      <c r="J1828" s="103"/>
      <c r="K1828" s="104">
        <v>1.6604</v>
      </c>
      <c r="L1828" s="89">
        <v>0.9715</v>
      </c>
      <c r="M1828" s="88"/>
      <c r="N1828" s="88"/>
    </row>
    <row r="1829">
      <c r="A1829" s="90">
        <v>44820.0</v>
      </c>
      <c r="B1829" s="90">
        <v>44820.0</v>
      </c>
      <c r="C1829" s="102">
        <v>1478.0</v>
      </c>
      <c r="D1829" s="103" t="s">
        <v>226</v>
      </c>
      <c r="E1829" s="102">
        <v>0.0</v>
      </c>
      <c r="F1829" s="103" t="s">
        <v>228</v>
      </c>
      <c r="G1829" s="102">
        <v>0.0</v>
      </c>
      <c r="H1829" s="103"/>
      <c r="I1829" s="103"/>
      <c r="J1829" s="103"/>
      <c r="K1829" s="104">
        <v>3.8919</v>
      </c>
      <c r="L1829" s="89">
        <v>2.2707</v>
      </c>
      <c r="M1829" s="88"/>
      <c r="N1829" s="88"/>
    </row>
    <row r="1830">
      <c r="A1830" s="90">
        <v>44820.0</v>
      </c>
      <c r="B1830" s="90">
        <v>44820.0</v>
      </c>
      <c r="C1830" s="102">
        <v>2802.0</v>
      </c>
      <c r="D1830" s="103" t="s">
        <v>226</v>
      </c>
      <c r="E1830" s="102">
        <v>1.0</v>
      </c>
      <c r="F1830" s="103" t="s">
        <v>227</v>
      </c>
      <c r="G1830" s="102">
        <v>1.0</v>
      </c>
      <c r="H1830" s="103"/>
      <c r="I1830" s="103"/>
      <c r="J1830" s="103"/>
      <c r="K1830" s="104">
        <v>0.8977</v>
      </c>
      <c r="L1830" s="89">
        <v>0.5763</v>
      </c>
      <c r="M1830" s="88"/>
      <c r="N1830" s="88"/>
    </row>
    <row r="1831">
      <c r="A1831" s="90">
        <v>44820.0</v>
      </c>
      <c r="B1831" s="90">
        <v>44820.0</v>
      </c>
      <c r="C1831" s="102">
        <v>2802.0</v>
      </c>
      <c r="D1831" s="103" t="s">
        <v>226</v>
      </c>
      <c r="E1831" s="102">
        <v>0.0</v>
      </c>
      <c r="F1831" s="103" t="s">
        <v>227</v>
      </c>
      <c r="G1831" s="102">
        <v>0.0</v>
      </c>
      <c r="H1831" s="103"/>
      <c r="I1831" s="103"/>
      <c r="J1831" s="103"/>
      <c r="K1831" s="104">
        <v>1.4116</v>
      </c>
      <c r="L1831" s="89">
        <v>0.9116</v>
      </c>
      <c r="M1831" s="88"/>
      <c r="N1831" s="88"/>
    </row>
    <row r="1832">
      <c r="A1832" s="90">
        <v>44820.0</v>
      </c>
      <c r="B1832" s="90">
        <v>44820.0</v>
      </c>
      <c r="C1832" s="102">
        <v>2012.0</v>
      </c>
      <c r="D1832" s="103" t="s">
        <v>226</v>
      </c>
      <c r="E1832" s="102">
        <v>0.0</v>
      </c>
      <c r="F1832" s="103" t="s">
        <v>228</v>
      </c>
      <c r="G1832" s="102">
        <v>0.0</v>
      </c>
      <c r="H1832" s="103"/>
      <c r="I1832" s="103"/>
      <c r="J1832" s="103"/>
      <c r="K1832" s="104">
        <v>3.7663</v>
      </c>
      <c r="L1832" s="89">
        <v>2.2129</v>
      </c>
      <c r="M1832" s="88"/>
      <c r="N1832" s="88"/>
    </row>
    <row r="1833">
      <c r="A1833" s="90">
        <v>44820.0</v>
      </c>
      <c r="B1833" s="90">
        <v>44820.0</v>
      </c>
      <c r="C1833" s="102">
        <v>2012.0</v>
      </c>
      <c r="D1833" s="103" t="s">
        <v>226</v>
      </c>
      <c r="E1833" s="102">
        <v>1.0</v>
      </c>
      <c r="F1833" s="103" t="s">
        <v>227</v>
      </c>
      <c r="G1833" s="102">
        <v>1.0</v>
      </c>
      <c r="H1833" s="103"/>
      <c r="I1833" s="103"/>
      <c r="J1833" s="103"/>
      <c r="K1833" s="104">
        <v>0.9086</v>
      </c>
      <c r="L1833" s="89">
        <v>0.5525</v>
      </c>
      <c r="M1833" s="88"/>
      <c r="N1833" s="88"/>
    </row>
    <row r="1834">
      <c r="A1834" s="90">
        <v>44820.0</v>
      </c>
      <c r="B1834" s="90">
        <v>44820.0</v>
      </c>
      <c r="C1834" s="102">
        <v>2015.0</v>
      </c>
      <c r="D1834" s="103" t="s">
        <v>226</v>
      </c>
      <c r="E1834" s="102">
        <v>0.0</v>
      </c>
      <c r="F1834" s="103" t="s">
        <v>228</v>
      </c>
      <c r="G1834" s="102">
        <v>0.0</v>
      </c>
      <c r="H1834" s="103"/>
      <c r="I1834" s="103"/>
      <c r="J1834" s="103"/>
      <c r="K1834" s="104">
        <v>2.7881</v>
      </c>
      <c r="L1834" s="89">
        <v>1.6076</v>
      </c>
      <c r="M1834" s="88"/>
      <c r="N1834" s="88"/>
    </row>
    <row r="1835">
      <c r="A1835" s="90">
        <v>44820.0</v>
      </c>
      <c r="B1835" s="90">
        <v>44820.0</v>
      </c>
      <c r="C1835" s="102">
        <v>2015.0</v>
      </c>
      <c r="D1835" s="103" t="s">
        <v>226</v>
      </c>
      <c r="E1835" s="102">
        <v>0.0</v>
      </c>
      <c r="F1835" s="103" t="s">
        <v>227</v>
      </c>
      <c r="G1835" s="102">
        <v>0.0</v>
      </c>
      <c r="H1835" s="103"/>
      <c r="I1835" s="103"/>
      <c r="J1835" s="103"/>
      <c r="K1835" s="104">
        <v>0.5666</v>
      </c>
      <c r="L1835" s="89">
        <v>0.3612</v>
      </c>
      <c r="M1835" s="88"/>
      <c r="N1835" s="88"/>
    </row>
    <row r="1836">
      <c r="A1836" s="90">
        <v>44820.0</v>
      </c>
      <c r="B1836" s="90">
        <v>44820.0</v>
      </c>
      <c r="C1836" s="102">
        <v>2015.0</v>
      </c>
      <c r="D1836" s="103" t="s">
        <v>226</v>
      </c>
      <c r="E1836" s="102">
        <v>1.0</v>
      </c>
      <c r="F1836" s="103" t="s">
        <v>227</v>
      </c>
      <c r="G1836" s="102">
        <v>1.0</v>
      </c>
      <c r="H1836" s="103"/>
      <c r="I1836" s="103"/>
      <c r="J1836" s="103"/>
      <c r="K1836" s="104">
        <v>1.0536</v>
      </c>
      <c r="L1836" s="89">
        <v>0.6714</v>
      </c>
      <c r="M1836" s="88"/>
      <c r="N1836" s="88"/>
    </row>
    <row r="1837">
      <c r="A1837" s="90">
        <v>44820.0</v>
      </c>
      <c r="B1837" s="90">
        <v>44820.0</v>
      </c>
      <c r="C1837" s="102">
        <v>2086.0</v>
      </c>
      <c r="D1837" s="103" t="s">
        <v>226</v>
      </c>
      <c r="E1837" s="102">
        <v>0.0</v>
      </c>
      <c r="F1837" s="103" t="s">
        <v>228</v>
      </c>
      <c r="G1837" s="102">
        <v>0.0</v>
      </c>
      <c r="H1837" s="103"/>
      <c r="I1837" s="103"/>
      <c r="J1837" s="103"/>
      <c r="K1837" s="104">
        <v>3.7855</v>
      </c>
      <c r="L1837" s="89">
        <v>2.2465</v>
      </c>
      <c r="M1837" s="88"/>
      <c r="N1837" s="88"/>
    </row>
    <row r="1838">
      <c r="A1838" s="90">
        <v>44820.0</v>
      </c>
      <c r="B1838" s="90">
        <v>44820.0</v>
      </c>
      <c r="C1838" s="102">
        <v>2086.0</v>
      </c>
      <c r="D1838" s="103" t="s">
        <v>226</v>
      </c>
      <c r="E1838" s="102">
        <v>0.0</v>
      </c>
      <c r="F1838" s="103" t="s">
        <v>227</v>
      </c>
      <c r="G1838" s="102">
        <v>0.0</v>
      </c>
      <c r="H1838" s="103"/>
      <c r="I1838" s="103"/>
      <c r="J1838" s="103"/>
      <c r="K1838" s="104">
        <v>1.364</v>
      </c>
      <c r="L1838" s="89">
        <v>0.8836</v>
      </c>
      <c r="M1838" s="88"/>
      <c r="N1838" s="88"/>
    </row>
    <row r="1839">
      <c r="A1839" s="90">
        <v>44820.0</v>
      </c>
      <c r="B1839" s="90">
        <v>44820.0</v>
      </c>
      <c r="C1839" s="102">
        <v>2086.0</v>
      </c>
      <c r="D1839" s="103" t="s">
        <v>226</v>
      </c>
      <c r="E1839" s="102">
        <v>1.0</v>
      </c>
      <c r="F1839" s="103" t="s">
        <v>227</v>
      </c>
      <c r="G1839" s="102">
        <v>1.0</v>
      </c>
      <c r="H1839" s="103"/>
      <c r="I1839" s="103"/>
      <c r="J1839" s="103"/>
      <c r="K1839" s="104">
        <v>0.6356</v>
      </c>
      <c r="L1839" s="89">
        <v>0.3975</v>
      </c>
      <c r="M1839" s="88"/>
      <c r="N1839" s="88"/>
    </row>
    <row r="1840">
      <c r="A1840" s="90">
        <v>44820.0</v>
      </c>
      <c r="B1840" s="90">
        <v>44820.0</v>
      </c>
      <c r="C1840" s="102">
        <v>2006.0</v>
      </c>
      <c r="D1840" s="103" t="s">
        <v>226</v>
      </c>
      <c r="E1840" s="102">
        <v>0.0</v>
      </c>
      <c r="F1840" s="103" t="s">
        <v>228</v>
      </c>
      <c r="G1840" s="102">
        <v>0.0</v>
      </c>
      <c r="H1840" s="103"/>
      <c r="I1840" s="103"/>
      <c r="J1840" s="103"/>
      <c r="K1840" s="104">
        <v>1.9228</v>
      </c>
      <c r="L1840" s="89">
        <v>1.0371</v>
      </c>
      <c r="M1840" s="88"/>
      <c r="N1840" s="88"/>
    </row>
    <row r="1841">
      <c r="A1841" s="90">
        <v>44820.0</v>
      </c>
      <c r="B1841" s="90">
        <v>44820.0</v>
      </c>
      <c r="C1841" s="102">
        <v>2006.0</v>
      </c>
      <c r="D1841" s="103" t="s">
        <v>226</v>
      </c>
      <c r="E1841" s="102">
        <v>0.0</v>
      </c>
      <c r="F1841" s="103" t="s">
        <v>227</v>
      </c>
      <c r="G1841" s="102">
        <v>0.0</v>
      </c>
      <c r="H1841" s="103"/>
      <c r="I1841" s="103"/>
      <c r="J1841" s="103"/>
      <c r="K1841" s="104">
        <v>0.8916</v>
      </c>
      <c r="L1841" s="89">
        <v>0.5506</v>
      </c>
      <c r="M1841" s="88"/>
      <c r="N1841" s="88"/>
    </row>
    <row r="1842">
      <c r="A1842" s="90">
        <v>44820.0</v>
      </c>
      <c r="B1842" s="90">
        <v>44820.0</v>
      </c>
      <c r="C1842" s="102">
        <v>2006.0</v>
      </c>
      <c r="D1842" s="103" t="s">
        <v>226</v>
      </c>
      <c r="E1842" s="102">
        <v>1.0</v>
      </c>
      <c r="F1842" s="103" t="s">
        <v>227</v>
      </c>
      <c r="G1842" s="102">
        <v>1.0</v>
      </c>
      <c r="H1842" s="103"/>
      <c r="I1842" s="103"/>
      <c r="J1842" s="103"/>
      <c r="K1842" s="104">
        <v>0.5702</v>
      </c>
      <c r="L1842" s="89">
        <v>0.3603</v>
      </c>
      <c r="M1842" s="88"/>
      <c r="N1842" s="88"/>
    </row>
    <row r="1843">
      <c r="A1843" s="90">
        <v>44791.0</v>
      </c>
      <c r="B1843" s="90">
        <v>44791.0</v>
      </c>
      <c r="C1843" s="102">
        <v>2347.0</v>
      </c>
      <c r="D1843" s="103" t="s">
        <v>221</v>
      </c>
      <c r="E1843" s="102">
        <v>1.0</v>
      </c>
      <c r="F1843" s="103" t="s">
        <v>227</v>
      </c>
      <c r="G1843" s="102">
        <v>1.0</v>
      </c>
      <c r="H1843" s="103"/>
      <c r="I1843" s="103"/>
      <c r="J1843" s="103"/>
      <c r="K1843" s="104">
        <v>2.2212</v>
      </c>
      <c r="L1843" s="89">
        <v>0.3417</v>
      </c>
      <c r="M1843" s="88"/>
      <c r="N1843" s="88"/>
    </row>
    <row r="1844">
      <c r="A1844" s="90">
        <v>44791.0</v>
      </c>
      <c r="B1844" s="90">
        <v>44791.0</v>
      </c>
      <c r="C1844" s="102">
        <v>2377.0</v>
      </c>
      <c r="D1844" s="103" t="s">
        <v>221</v>
      </c>
      <c r="E1844" s="102">
        <v>0.0</v>
      </c>
      <c r="F1844" s="103" t="s">
        <v>227</v>
      </c>
      <c r="G1844" s="102">
        <v>0.0</v>
      </c>
      <c r="H1844" s="103"/>
      <c r="I1844" s="103"/>
      <c r="J1844" s="103"/>
      <c r="K1844" s="104">
        <v>0.4203</v>
      </c>
      <c r="L1844" s="89">
        <v>0.2801</v>
      </c>
      <c r="M1844" s="88"/>
      <c r="N1844" s="88"/>
    </row>
    <row r="1845">
      <c r="A1845" s="90">
        <v>44791.0</v>
      </c>
      <c r="B1845" s="90">
        <v>44791.0</v>
      </c>
      <c r="C1845" s="102">
        <v>2380.0</v>
      </c>
      <c r="D1845" s="103" t="s">
        <v>221</v>
      </c>
      <c r="E1845" s="102">
        <v>0.0</v>
      </c>
      <c r="F1845" s="103" t="s">
        <v>228</v>
      </c>
      <c r="G1845" s="102">
        <v>0.0</v>
      </c>
      <c r="H1845" s="103"/>
      <c r="I1845" s="103"/>
      <c r="J1845" s="103"/>
      <c r="K1845" s="104">
        <v>0.6048</v>
      </c>
      <c r="L1845" s="89">
        <v>0.4043</v>
      </c>
      <c r="M1845" s="88"/>
      <c r="N1845" s="88"/>
    </row>
    <row r="1846">
      <c r="A1846" s="90">
        <v>44791.0</v>
      </c>
      <c r="B1846" s="90">
        <v>44791.0</v>
      </c>
      <c r="C1846" s="102">
        <v>2367.0</v>
      </c>
      <c r="D1846" s="103" t="s">
        <v>221</v>
      </c>
      <c r="E1846" s="102">
        <v>0.0</v>
      </c>
      <c r="F1846" s="103" t="s">
        <v>227</v>
      </c>
      <c r="G1846" s="102">
        <v>0.0</v>
      </c>
      <c r="H1846" s="103"/>
      <c r="I1846" s="103"/>
      <c r="J1846" s="103"/>
      <c r="K1846" s="104">
        <v>0.0456</v>
      </c>
      <c r="L1846" s="89">
        <v>0.0318</v>
      </c>
      <c r="M1846" s="88"/>
      <c r="N1846" s="88"/>
    </row>
    <row r="1847">
      <c r="A1847" s="90">
        <v>44791.0</v>
      </c>
      <c r="B1847" s="90">
        <v>44791.0</v>
      </c>
      <c r="C1847" s="102">
        <v>2369.0</v>
      </c>
      <c r="D1847" s="103" t="s">
        <v>221</v>
      </c>
      <c r="E1847" s="102">
        <v>1.0</v>
      </c>
      <c r="F1847" s="103" t="s">
        <v>227</v>
      </c>
      <c r="G1847" s="102">
        <v>1.0</v>
      </c>
      <c r="H1847" s="103"/>
      <c r="I1847" s="103"/>
      <c r="J1847" s="103"/>
      <c r="K1847" s="104">
        <v>0.5141</v>
      </c>
      <c r="L1847" s="89">
        <v>0.3365</v>
      </c>
      <c r="M1847" s="88"/>
      <c r="N1847" s="88"/>
    </row>
    <row r="1848">
      <c r="A1848" s="90">
        <v>44791.0</v>
      </c>
      <c r="B1848" s="90">
        <v>44791.0</v>
      </c>
      <c r="C1848" s="102">
        <v>2377.0</v>
      </c>
      <c r="D1848" s="103" t="s">
        <v>221</v>
      </c>
      <c r="E1848" s="102">
        <v>1.0</v>
      </c>
      <c r="F1848" s="103" t="s">
        <v>227</v>
      </c>
      <c r="G1848" s="102">
        <v>1.0</v>
      </c>
      <c r="H1848" s="103"/>
      <c r="I1848" s="103"/>
      <c r="J1848" s="103"/>
      <c r="K1848" s="104">
        <v>0.4928</v>
      </c>
      <c r="L1848" s="89">
        <v>0.3294</v>
      </c>
      <c r="M1848" s="88"/>
      <c r="N1848" s="88"/>
    </row>
    <row r="1849">
      <c r="A1849" s="90">
        <v>44791.0</v>
      </c>
      <c r="B1849" s="90">
        <v>44791.0</v>
      </c>
      <c r="C1849" s="102">
        <v>2375.0</v>
      </c>
      <c r="D1849" s="103" t="s">
        <v>221</v>
      </c>
      <c r="E1849" s="102">
        <v>1.0</v>
      </c>
      <c r="F1849" s="103" t="s">
        <v>227</v>
      </c>
      <c r="G1849" s="102">
        <v>1.0</v>
      </c>
      <c r="H1849" s="103"/>
      <c r="I1849" s="103"/>
      <c r="J1849" s="103"/>
      <c r="K1849" s="104">
        <v>0.4042</v>
      </c>
      <c r="L1849" s="89">
        <v>0.2805</v>
      </c>
      <c r="M1849" s="88"/>
      <c r="N1849" s="88"/>
    </row>
    <row r="1850">
      <c r="A1850" s="90">
        <v>44791.0</v>
      </c>
      <c r="B1850" s="90">
        <v>44791.0</v>
      </c>
      <c r="C1850" s="102">
        <v>2370.0</v>
      </c>
      <c r="D1850" s="103" t="s">
        <v>221</v>
      </c>
      <c r="E1850" s="102">
        <v>0.0</v>
      </c>
      <c r="F1850" s="103" t="s">
        <v>227</v>
      </c>
      <c r="G1850" s="102">
        <v>0.0</v>
      </c>
      <c r="H1850" s="103"/>
      <c r="I1850" s="103"/>
      <c r="J1850" s="103"/>
      <c r="K1850" s="104">
        <v>0.4606</v>
      </c>
      <c r="L1850" s="89">
        <v>0.3186</v>
      </c>
      <c r="M1850" s="88"/>
      <c r="N1850" s="88"/>
    </row>
    <row r="1851">
      <c r="A1851" s="90">
        <v>44791.0</v>
      </c>
      <c r="B1851" s="90">
        <v>44791.0</v>
      </c>
      <c r="C1851" s="102">
        <v>2352.0</v>
      </c>
      <c r="D1851" s="103" t="s">
        <v>221</v>
      </c>
      <c r="E1851" s="102">
        <v>1.0</v>
      </c>
      <c r="F1851" s="103" t="s">
        <v>228</v>
      </c>
      <c r="G1851" s="102">
        <v>1.0</v>
      </c>
      <c r="H1851" s="103"/>
      <c r="I1851" s="103"/>
      <c r="J1851" s="103"/>
      <c r="K1851" s="104">
        <v>0.8559</v>
      </c>
      <c r="L1851" s="89">
        <v>0.5735</v>
      </c>
      <c r="M1851" s="88"/>
      <c r="N1851" s="88"/>
    </row>
    <row r="1852">
      <c r="A1852" s="90">
        <v>44791.0</v>
      </c>
      <c r="B1852" s="90">
        <v>44791.0</v>
      </c>
      <c r="C1852" s="102">
        <v>2383.0</v>
      </c>
      <c r="D1852" s="103" t="s">
        <v>221</v>
      </c>
      <c r="E1852" s="102">
        <v>1.0</v>
      </c>
      <c r="F1852" s="103" t="s">
        <v>227</v>
      </c>
      <c r="G1852" s="102">
        <v>1.0</v>
      </c>
      <c r="H1852" s="103"/>
      <c r="I1852" s="103"/>
      <c r="J1852" s="103"/>
      <c r="K1852" s="104">
        <v>1.032</v>
      </c>
      <c r="L1852" s="89">
        <v>0.7228</v>
      </c>
      <c r="M1852" s="88"/>
      <c r="N1852" s="88"/>
    </row>
    <row r="1853">
      <c r="A1853" s="90">
        <v>44791.0</v>
      </c>
      <c r="B1853" s="90">
        <v>44791.0</v>
      </c>
      <c r="C1853" s="102">
        <v>2375.0</v>
      </c>
      <c r="D1853" s="103" t="s">
        <v>221</v>
      </c>
      <c r="E1853" s="102">
        <v>0.0</v>
      </c>
      <c r="F1853" s="103" t="s">
        <v>228</v>
      </c>
      <c r="G1853" s="102">
        <v>0.0</v>
      </c>
      <c r="H1853" s="103"/>
      <c r="I1853" s="103"/>
      <c r="J1853" s="103"/>
      <c r="K1853" s="104">
        <v>1.3432</v>
      </c>
      <c r="L1853" s="89">
        <v>0.8416</v>
      </c>
      <c r="M1853" s="88"/>
      <c r="N1853" s="88"/>
    </row>
    <row r="1854">
      <c r="A1854" s="90">
        <v>44791.0</v>
      </c>
      <c r="B1854" s="90">
        <v>44791.0</v>
      </c>
      <c r="C1854" s="102">
        <v>2380.0</v>
      </c>
      <c r="D1854" s="103" t="s">
        <v>221</v>
      </c>
      <c r="E1854" s="102">
        <v>0.0</v>
      </c>
      <c r="F1854" s="103" t="s">
        <v>227</v>
      </c>
      <c r="G1854" s="102">
        <v>0.0</v>
      </c>
      <c r="H1854" s="103"/>
      <c r="I1854" s="103"/>
      <c r="J1854" s="103"/>
      <c r="K1854" s="104">
        <v>0.1807</v>
      </c>
      <c r="L1854" s="89">
        <v>0.1243</v>
      </c>
      <c r="M1854" s="88"/>
      <c r="N1854" s="88"/>
    </row>
    <row r="1855">
      <c r="A1855" s="90">
        <v>44791.0</v>
      </c>
      <c r="B1855" s="90">
        <v>44791.0</v>
      </c>
      <c r="C1855" s="102">
        <v>2346.0</v>
      </c>
      <c r="D1855" s="103" t="s">
        <v>221</v>
      </c>
      <c r="E1855" s="102">
        <v>0.0</v>
      </c>
      <c r="F1855" s="103" t="s">
        <v>227</v>
      </c>
      <c r="G1855" s="102">
        <v>0.0</v>
      </c>
      <c r="H1855" s="103"/>
      <c r="I1855" s="103"/>
      <c r="J1855" s="103"/>
      <c r="K1855" s="104">
        <v>0.5057</v>
      </c>
      <c r="L1855" s="89">
        <v>0.3484</v>
      </c>
      <c r="M1855" s="88"/>
      <c r="N1855" s="88"/>
    </row>
    <row r="1856">
      <c r="A1856" s="90">
        <v>44791.0</v>
      </c>
      <c r="B1856" s="90">
        <v>44791.0</v>
      </c>
      <c r="C1856" s="102">
        <v>2375.0</v>
      </c>
      <c r="D1856" s="103" t="s">
        <v>221</v>
      </c>
      <c r="E1856" s="102">
        <v>0.0</v>
      </c>
      <c r="F1856" s="103" t="s">
        <v>227</v>
      </c>
      <c r="G1856" s="102">
        <v>0.0</v>
      </c>
      <c r="H1856" s="103"/>
      <c r="I1856" s="103"/>
      <c r="J1856" s="103"/>
      <c r="K1856" s="104">
        <v>0.251</v>
      </c>
      <c r="L1856" s="89">
        <v>0.1731</v>
      </c>
      <c r="M1856" s="88"/>
      <c r="N1856" s="88"/>
    </row>
    <row r="1857">
      <c r="A1857" s="90">
        <v>44791.0</v>
      </c>
      <c r="B1857" s="90">
        <v>44791.0</v>
      </c>
      <c r="C1857" s="102">
        <v>2380.0</v>
      </c>
      <c r="D1857" s="103" t="s">
        <v>221</v>
      </c>
      <c r="E1857" s="102">
        <v>1.0</v>
      </c>
      <c r="F1857" s="103" t="s">
        <v>227</v>
      </c>
      <c r="G1857" s="102">
        <v>1.0</v>
      </c>
      <c r="H1857" s="103"/>
      <c r="I1857" s="103"/>
      <c r="J1857" s="103"/>
      <c r="K1857" s="104">
        <v>0.2353</v>
      </c>
      <c r="L1857" s="89">
        <v>0.1673</v>
      </c>
      <c r="M1857" s="88"/>
      <c r="N1857" s="88"/>
    </row>
    <row r="1858">
      <c r="A1858" s="90">
        <v>44791.0</v>
      </c>
      <c r="B1858" s="90">
        <v>44791.0</v>
      </c>
      <c r="C1858" s="102">
        <v>2370.0</v>
      </c>
      <c r="D1858" s="103" t="s">
        <v>221</v>
      </c>
      <c r="E1858" s="102">
        <v>1.0</v>
      </c>
      <c r="F1858" s="103" t="s">
        <v>227</v>
      </c>
      <c r="G1858" s="102">
        <v>1.0</v>
      </c>
      <c r="H1858" s="103"/>
      <c r="I1858" s="103"/>
      <c r="J1858" s="103"/>
      <c r="K1858" s="104">
        <v>1.4438</v>
      </c>
      <c r="L1858" s="89">
        <v>0.9765</v>
      </c>
      <c r="M1858" s="88"/>
      <c r="N1858" s="88"/>
    </row>
    <row r="1859">
      <c r="A1859" s="90">
        <v>44791.0</v>
      </c>
      <c r="B1859" s="90">
        <v>44791.0</v>
      </c>
      <c r="C1859" s="102">
        <v>2009.0</v>
      </c>
      <c r="D1859" s="103" t="s">
        <v>221</v>
      </c>
      <c r="E1859" s="102">
        <v>0.0</v>
      </c>
      <c r="F1859" s="103" t="s">
        <v>227</v>
      </c>
      <c r="G1859" s="102">
        <v>0.0</v>
      </c>
      <c r="H1859" s="103"/>
      <c r="I1859" s="103"/>
      <c r="J1859" s="103"/>
      <c r="K1859" s="104">
        <v>0.5685</v>
      </c>
      <c r="L1859" s="89">
        <v>0.3878</v>
      </c>
      <c r="M1859" s="88"/>
      <c r="N1859" s="88"/>
    </row>
    <row r="1860">
      <c r="A1860" s="90">
        <v>44791.0</v>
      </c>
      <c r="B1860" s="90">
        <v>44791.0</v>
      </c>
      <c r="C1860" s="102">
        <v>2381.0</v>
      </c>
      <c r="D1860" s="103" t="s">
        <v>221</v>
      </c>
      <c r="E1860" s="102">
        <v>0.0</v>
      </c>
      <c r="F1860" s="103" t="s">
        <v>228</v>
      </c>
      <c r="G1860" s="102">
        <v>0.0</v>
      </c>
      <c r="H1860" s="103"/>
      <c r="I1860" s="103"/>
      <c r="J1860" s="103"/>
      <c r="K1860" s="104">
        <v>2.1309</v>
      </c>
      <c r="L1860" s="89">
        <v>1.3091</v>
      </c>
      <c r="M1860" s="88"/>
      <c r="N1860" s="88"/>
    </row>
    <row r="1861">
      <c r="A1861" s="90">
        <v>44791.0</v>
      </c>
      <c r="B1861" s="90">
        <v>44791.0</v>
      </c>
      <c r="C1861" s="102">
        <v>2301.0</v>
      </c>
      <c r="D1861" s="103" t="s">
        <v>221</v>
      </c>
      <c r="E1861" s="102">
        <v>0.0</v>
      </c>
      <c r="F1861" s="103" t="s">
        <v>228</v>
      </c>
      <c r="G1861" s="102">
        <v>0.0</v>
      </c>
      <c r="H1861" s="103"/>
      <c r="I1861" s="103"/>
      <c r="J1861" s="103"/>
      <c r="K1861" s="104">
        <v>0.8032</v>
      </c>
      <c r="L1861" s="89">
        <v>0.5387</v>
      </c>
      <c r="M1861" s="88"/>
      <c r="N1861" s="88"/>
    </row>
    <row r="1862">
      <c r="A1862" s="90">
        <v>44791.0</v>
      </c>
      <c r="B1862" s="90">
        <v>44791.0</v>
      </c>
      <c r="C1862" s="102">
        <v>2369.0</v>
      </c>
      <c r="D1862" s="103" t="s">
        <v>221</v>
      </c>
      <c r="E1862" s="102">
        <v>0.0</v>
      </c>
      <c r="F1862" s="103" t="s">
        <v>228</v>
      </c>
      <c r="G1862" s="102">
        <v>0.0</v>
      </c>
      <c r="H1862" s="103"/>
      <c r="I1862" s="103"/>
      <c r="J1862" s="103"/>
      <c r="K1862" s="104">
        <v>2.2748</v>
      </c>
      <c r="L1862" s="89">
        <v>1.4579</v>
      </c>
      <c r="M1862" s="88"/>
      <c r="N1862" s="88"/>
    </row>
    <row r="1863">
      <c r="A1863" s="90">
        <v>44791.0</v>
      </c>
      <c r="B1863" s="90">
        <v>44791.0</v>
      </c>
      <c r="C1863" s="102">
        <v>2379.0</v>
      </c>
      <c r="D1863" s="103" t="s">
        <v>221</v>
      </c>
      <c r="E1863" s="102">
        <v>0.0</v>
      </c>
      <c r="F1863" s="103" t="s">
        <v>228</v>
      </c>
      <c r="G1863" s="102">
        <v>0.0</v>
      </c>
      <c r="H1863" s="103"/>
      <c r="I1863" s="103"/>
      <c r="J1863" s="103"/>
      <c r="K1863" s="104">
        <v>2.2443</v>
      </c>
      <c r="L1863" s="89">
        <v>1.3925</v>
      </c>
      <c r="M1863" s="88"/>
      <c r="N1863" s="88"/>
    </row>
    <row r="1864">
      <c r="A1864" s="90">
        <v>44791.0</v>
      </c>
      <c r="B1864" s="90">
        <v>44791.0</v>
      </c>
      <c r="C1864" s="102">
        <v>2301.0</v>
      </c>
      <c r="D1864" s="103" t="s">
        <v>221</v>
      </c>
      <c r="E1864" s="102">
        <v>0.0</v>
      </c>
      <c r="F1864" s="103" t="s">
        <v>227</v>
      </c>
      <c r="G1864" s="102">
        <v>0.0</v>
      </c>
      <c r="H1864" s="103"/>
      <c r="I1864" s="103"/>
      <c r="J1864" s="103"/>
      <c r="K1864" s="104">
        <v>0.2752</v>
      </c>
      <c r="L1864" s="89">
        <v>0.1854</v>
      </c>
      <c r="M1864" s="88"/>
      <c r="N1864" s="88"/>
    </row>
    <row r="1865">
      <c r="A1865" s="90">
        <v>44791.0</v>
      </c>
      <c r="B1865" s="90">
        <v>44791.0</v>
      </c>
      <c r="C1865" s="102">
        <v>2343.0</v>
      </c>
      <c r="D1865" s="103" t="s">
        <v>221</v>
      </c>
      <c r="E1865" s="102">
        <v>0.0</v>
      </c>
      <c r="F1865" s="103" t="s">
        <v>227</v>
      </c>
      <c r="G1865" s="102">
        <v>0.0</v>
      </c>
      <c r="H1865" s="103"/>
      <c r="I1865" s="103"/>
      <c r="J1865" s="103"/>
      <c r="K1865" s="104">
        <v>0.42</v>
      </c>
      <c r="L1865" s="89">
        <v>0.2773</v>
      </c>
      <c r="M1865" s="88"/>
      <c r="N1865" s="88"/>
    </row>
    <row r="1866">
      <c r="A1866" s="90">
        <v>44791.0</v>
      </c>
      <c r="B1866" s="90">
        <v>44791.0</v>
      </c>
      <c r="C1866" s="102">
        <v>2378.0</v>
      </c>
      <c r="D1866" s="103" t="s">
        <v>221</v>
      </c>
      <c r="E1866" s="102">
        <v>0.0</v>
      </c>
      <c r="F1866" s="103" t="s">
        <v>227</v>
      </c>
      <c r="G1866" s="102">
        <v>0.0</v>
      </c>
      <c r="H1866" s="103"/>
      <c r="I1866" s="103"/>
      <c r="J1866" s="103"/>
      <c r="K1866" s="104">
        <v>1.0148</v>
      </c>
      <c r="L1866" s="89">
        <v>0.6788</v>
      </c>
      <c r="M1866" s="88"/>
      <c r="N1866" s="88" t="s">
        <v>264</v>
      </c>
    </row>
    <row r="1867">
      <c r="A1867" s="90">
        <v>44791.0</v>
      </c>
      <c r="B1867" s="90">
        <v>44791.0</v>
      </c>
      <c r="C1867" s="102">
        <v>2365.0</v>
      </c>
      <c r="D1867" s="103" t="s">
        <v>221</v>
      </c>
      <c r="E1867" s="102">
        <v>0.0</v>
      </c>
      <c r="F1867" s="103" t="s">
        <v>227</v>
      </c>
      <c r="G1867" s="102">
        <v>0.0</v>
      </c>
      <c r="H1867" s="103"/>
      <c r="I1867" s="103"/>
      <c r="J1867" s="103"/>
      <c r="K1867" s="104">
        <v>0.2173</v>
      </c>
      <c r="L1867" s="89">
        <v>0.1591</v>
      </c>
      <c r="M1867" s="88"/>
      <c r="N1867" s="88"/>
    </row>
    <row r="1868">
      <c r="A1868" s="90">
        <v>44791.0</v>
      </c>
      <c r="B1868" s="90">
        <v>44791.0</v>
      </c>
      <c r="C1868" s="102">
        <v>2354.0</v>
      </c>
      <c r="D1868" s="103" t="s">
        <v>221</v>
      </c>
      <c r="E1868" s="102">
        <v>0.0</v>
      </c>
      <c r="F1868" s="103" t="s">
        <v>228</v>
      </c>
      <c r="G1868" s="102">
        <v>0.0</v>
      </c>
      <c r="H1868" s="103"/>
      <c r="I1868" s="103"/>
      <c r="J1868" s="103"/>
      <c r="K1868" s="104">
        <v>0.6039</v>
      </c>
      <c r="L1868" s="89">
        <v>0.3631</v>
      </c>
      <c r="M1868" s="88"/>
      <c r="N1868" s="88"/>
    </row>
    <row r="1869">
      <c r="A1869" s="90">
        <v>44791.0</v>
      </c>
      <c r="B1869" s="90">
        <v>44791.0</v>
      </c>
      <c r="C1869" s="102">
        <v>2010.0</v>
      </c>
      <c r="D1869" s="103" t="s">
        <v>221</v>
      </c>
      <c r="E1869" s="102">
        <v>0.0</v>
      </c>
      <c r="F1869" s="103" t="s">
        <v>227</v>
      </c>
      <c r="G1869" s="102">
        <v>0.0</v>
      </c>
      <c r="H1869" s="103"/>
      <c r="I1869" s="103"/>
      <c r="J1869" s="103"/>
      <c r="K1869" s="104">
        <v>0.614</v>
      </c>
      <c r="L1869" s="89">
        <v>0.4269</v>
      </c>
      <c r="M1869" s="88"/>
      <c r="N1869" s="88"/>
    </row>
    <row r="1870">
      <c r="A1870" s="90">
        <v>44791.0</v>
      </c>
      <c r="B1870" s="90">
        <v>44791.0</v>
      </c>
      <c r="C1870" s="102">
        <v>2011.0</v>
      </c>
      <c r="D1870" s="103" t="s">
        <v>221</v>
      </c>
      <c r="E1870" s="102">
        <v>0.0</v>
      </c>
      <c r="F1870" s="103" t="s">
        <v>227</v>
      </c>
      <c r="G1870" s="102">
        <v>0.0</v>
      </c>
      <c r="H1870" s="103"/>
      <c r="I1870" s="103"/>
      <c r="J1870" s="103"/>
      <c r="K1870" s="104">
        <v>0.4945</v>
      </c>
      <c r="L1870" s="89">
        <v>0.3354</v>
      </c>
      <c r="M1870" s="88"/>
      <c r="N1870" s="88"/>
    </row>
    <row r="1871">
      <c r="A1871" s="90">
        <v>44791.0</v>
      </c>
      <c r="B1871" s="90">
        <v>44791.0</v>
      </c>
      <c r="C1871" s="102">
        <v>2009.0</v>
      </c>
      <c r="D1871" s="103" t="s">
        <v>221</v>
      </c>
      <c r="E1871" s="102">
        <v>0.0</v>
      </c>
      <c r="F1871" s="103" t="s">
        <v>228</v>
      </c>
      <c r="G1871" s="102">
        <v>0.0</v>
      </c>
      <c r="H1871" s="103"/>
      <c r="I1871" s="103"/>
      <c r="J1871" s="103"/>
      <c r="K1871" s="104">
        <v>2.7431</v>
      </c>
      <c r="L1871" s="89">
        <v>1.7119</v>
      </c>
      <c r="M1871" s="88"/>
      <c r="N1871" s="88"/>
    </row>
    <row r="1872">
      <c r="A1872" s="90">
        <v>44791.0</v>
      </c>
      <c r="B1872" s="90">
        <v>44791.0</v>
      </c>
      <c r="C1872" s="102">
        <v>2378.0</v>
      </c>
      <c r="D1872" s="103" t="s">
        <v>221</v>
      </c>
      <c r="E1872" s="102">
        <v>1.0</v>
      </c>
      <c r="F1872" s="103" t="s">
        <v>227</v>
      </c>
      <c r="G1872" s="102">
        <v>1.0</v>
      </c>
      <c r="H1872" s="103"/>
      <c r="I1872" s="103"/>
      <c r="J1872" s="103"/>
      <c r="K1872" s="104">
        <v>1.3278</v>
      </c>
      <c r="L1872" s="89">
        <v>0.888</v>
      </c>
      <c r="M1872" s="88"/>
      <c r="N1872" s="88"/>
    </row>
    <row r="1873">
      <c r="A1873" s="90">
        <v>44791.0</v>
      </c>
      <c r="B1873" s="90">
        <v>44791.0</v>
      </c>
      <c r="C1873" s="102">
        <v>2384.0</v>
      </c>
      <c r="D1873" s="103" t="s">
        <v>221</v>
      </c>
      <c r="E1873" s="102">
        <v>0.0</v>
      </c>
      <c r="F1873" s="103" t="s">
        <v>227</v>
      </c>
      <c r="G1873" s="102">
        <v>0.0</v>
      </c>
      <c r="H1873" s="103"/>
      <c r="I1873" s="103"/>
      <c r="J1873" s="103"/>
      <c r="K1873" s="104">
        <v>0.2873</v>
      </c>
      <c r="L1873" s="89">
        <v>0.2033</v>
      </c>
      <c r="M1873" s="88"/>
      <c r="N1873" s="88"/>
    </row>
    <row r="1874">
      <c r="A1874" s="90">
        <v>44791.0</v>
      </c>
      <c r="B1874" s="90">
        <v>44791.0</v>
      </c>
      <c r="C1874" s="102">
        <v>2009.0</v>
      </c>
      <c r="D1874" s="103" t="s">
        <v>221</v>
      </c>
      <c r="E1874" s="102">
        <v>1.0</v>
      </c>
      <c r="F1874" s="103" t="s">
        <v>227</v>
      </c>
      <c r="G1874" s="102">
        <v>1.0</v>
      </c>
      <c r="H1874" s="103"/>
      <c r="I1874" s="103"/>
      <c r="J1874" s="103"/>
      <c r="K1874" s="104">
        <v>0.6451</v>
      </c>
      <c r="L1874" s="89">
        <v>0.4365</v>
      </c>
      <c r="M1874" s="88"/>
      <c r="N1874" s="88"/>
    </row>
    <row r="1875">
      <c r="A1875" s="90">
        <v>44791.0</v>
      </c>
      <c r="B1875" s="90">
        <v>44791.0</v>
      </c>
      <c r="C1875" s="102">
        <v>2354.0</v>
      </c>
      <c r="D1875" s="103" t="s">
        <v>221</v>
      </c>
      <c r="E1875" s="102">
        <v>1.0</v>
      </c>
      <c r="F1875" s="103" t="s">
        <v>227</v>
      </c>
      <c r="G1875" s="102">
        <v>1.0</v>
      </c>
      <c r="H1875" s="103"/>
      <c r="I1875" s="103"/>
      <c r="J1875" s="103"/>
      <c r="K1875" s="104">
        <v>0.448</v>
      </c>
      <c r="L1875" s="89">
        <v>0.2851</v>
      </c>
      <c r="M1875" s="88"/>
      <c r="N1875" s="88"/>
    </row>
    <row r="1876">
      <c r="A1876" s="90">
        <v>44791.0</v>
      </c>
      <c r="B1876" s="90">
        <v>44791.0</v>
      </c>
      <c r="C1876" s="102">
        <v>2379.0</v>
      </c>
      <c r="D1876" s="103" t="s">
        <v>221</v>
      </c>
      <c r="E1876" s="102">
        <v>0.0</v>
      </c>
      <c r="F1876" s="103" t="s">
        <v>227</v>
      </c>
      <c r="G1876" s="102">
        <v>0.0</v>
      </c>
      <c r="H1876" s="103"/>
      <c r="I1876" s="103"/>
      <c r="J1876" s="103"/>
      <c r="K1876" s="104">
        <v>0.4222</v>
      </c>
      <c r="L1876" s="89">
        <v>0.3047</v>
      </c>
      <c r="M1876" s="88"/>
      <c r="N1876" s="88"/>
    </row>
    <row r="1877">
      <c r="A1877" s="90">
        <v>44791.0</v>
      </c>
      <c r="B1877" s="90">
        <v>44791.0</v>
      </c>
      <c r="C1877" s="102">
        <v>2301.0</v>
      </c>
      <c r="D1877" s="103" t="s">
        <v>221</v>
      </c>
      <c r="E1877" s="102">
        <v>1.0</v>
      </c>
      <c r="F1877" s="103" t="s">
        <v>227</v>
      </c>
      <c r="G1877" s="102">
        <v>1.0</v>
      </c>
      <c r="H1877" s="103"/>
      <c r="I1877" s="103"/>
      <c r="J1877" s="103"/>
      <c r="K1877" s="104">
        <v>0.4348</v>
      </c>
      <c r="L1877" s="89">
        <v>0.2858</v>
      </c>
      <c r="M1877" s="88"/>
      <c r="N1877" s="88"/>
    </row>
    <row r="1878">
      <c r="A1878" s="90">
        <v>44791.0</v>
      </c>
      <c r="B1878" s="90">
        <v>44791.0</v>
      </c>
      <c r="C1878" s="102">
        <v>2369.0</v>
      </c>
      <c r="D1878" s="103" t="s">
        <v>221</v>
      </c>
      <c r="E1878" s="102">
        <v>0.0</v>
      </c>
      <c r="F1878" s="103" t="s">
        <v>227</v>
      </c>
      <c r="G1878" s="102">
        <v>0.0</v>
      </c>
      <c r="H1878" s="103"/>
      <c r="I1878" s="103"/>
      <c r="J1878" s="103"/>
      <c r="K1878" s="104">
        <v>0.5354</v>
      </c>
      <c r="L1878" s="89">
        <v>0.3788</v>
      </c>
      <c r="M1878" s="88"/>
      <c r="N1878" s="88"/>
    </row>
    <row r="1879">
      <c r="A1879" s="90">
        <v>44791.0</v>
      </c>
      <c r="B1879" s="90">
        <v>44791.0</v>
      </c>
      <c r="C1879" s="102">
        <v>2380.0</v>
      </c>
      <c r="D1879" s="103" t="s">
        <v>221</v>
      </c>
      <c r="E1879" s="102">
        <v>1.0</v>
      </c>
      <c r="F1879" s="103" t="s">
        <v>227</v>
      </c>
      <c r="G1879" s="102">
        <v>1.0</v>
      </c>
      <c r="H1879" s="103"/>
      <c r="I1879" s="103"/>
      <c r="J1879" s="103"/>
      <c r="K1879" s="104">
        <v>1.4803</v>
      </c>
      <c r="L1879" s="89">
        <v>1.0229</v>
      </c>
      <c r="M1879" s="88"/>
      <c r="N1879" s="88"/>
    </row>
    <row r="1880">
      <c r="A1880" s="90">
        <v>44791.0</v>
      </c>
      <c r="B1880" s="90">
        <v>44791.0</v>
      </c>
      <c r="C1880" s="102">
        <v>2377.0</v>
      </c>
      <c r="D1880" s="103" t="s">
        <v>221</v>
      </c>
      <c r="E1880" s="102">
        <v>0.0</v>
      </c>
      <c r="F1880" s="103" t="s">
        <v>228</v>
      </c>
      <c r="G1880" s="102">
        <v>0.0</v>
      </c>
      <c r="H1880" s="103"/>
      <c r="I1880" s="103"/>
      <c r="J1880" s="103"/>
      <c r="K1880" s="104">
        <v>1.0875</v>
      </c>
      <c r="L1880" s="89">
        <v>0.7291</v>
      </c>
      <c r="M1880" s="88"/>
      <c r="N1880" s="88"/>
    </row>
    <row r="1881">
      <c r="A1881" s="90">
        <v>44791.0</v>
      </c>
      <c r="B1881" s="90">
        <v>44791.0</v>
      </c>
      <c r="C1881" s="102">
        <v>2384.0</v>
      </c>
      <c r="D1881" s="103" t="s">
        <v>221</v>
      </c>
      <c r="E1881" s="102">
        <v>1.0</v>
      </c>
      <c r="F1881" s="103" t="s">
        <v>227</v>
      </c>
      <c r="G1881" s="102">
        <v>1.0</v>
      </c>
      <c r="H1881" s="103"/>
      <c r="I1881" s="103"/>
      <c r="J1881" s="103"/>
      <c r="K1881" s="104">
        <v>0.7752</v>
      </c>
      <c r="L1881" s="89">
        <v>0.5533</v>
      </c>
      <c r="M1881" s="88"/>
      <c r="N1881" s="88"/>
    </row>
    <row r="1882">
      <c r="A1882" s="90">
        <v>44791.0</v>
      </c>
      <c r="B1882" s="90">
        <v>44791.0</v>
      </c>
      <c r="C1882" s="102">
        <v>2379.0</v>
      </c>
      <c r="D1882" s="103" t="s">
        <v>221</v>
      </c>
      <c r="E1882" s="102">
        <v>1.0</v>
      </c>
      <c r="F1882" s="103" t="s">
        <v>227</v>
      </c>
      <c r="G1882" s="102">
        <v>1.0</v>
      </c>
      <c r="H1882" s="103"/>
      <c r="I1882" s="103"/>
      <c r="J1882" s="103"/>
      <c r="K1882" s="104">
        <v>0.9539</v>
      </c>
      <c r="L1882" s="89">
        <v>0.6478</v>
      </c>
      <c r="M1882" s="88"/>
      <c r="N1882" s="88"/>
    </row>
    <row r="1883">
      <c r="A1883" s="90">
        <v>44791.0</v>
      </c>
      <c r="B1883" s="90">
        <v>44791.0</v>
      </c>
      <c r="C1883" s="102">
        <v>2347.0</v>
      </c>
      <c r="D1883" s="103" t="s">
        <v>221</v>
      </c>
      <c r="E1883" s="102">
        <v>0.0</v>
      </c>
      <c r="F1883" s="103" t="s">
        <v>228</v>
      </c>
      <c r="G1883" s="102">
        <v>0.0</v>
      </c>
      <c r="H1883" s="103"/>
      <c r="I1883" s="103"/>
      <c r="J1883" s="103"/>
      <c r="K1883" s="104">
        <v>2.2227</v>
      </c>
      <c r="L1883" s="89">
        <v>1.3608</v>
      </c>
      <c r="M1883" s="88"/>
      <c r="N1883" s="88"/>
    </row>
    <row r="1884">
      <c r="A1884" s="90">
        <v>44791.0</v>
      </c>
      <c r="B1884" s="90">
        <v>44791.0</v>
      </c>
      <c r="C1884" s="102">
        <v>2345.0</v>
      </c>
      <c r="D1884" s="103" t="s">
        <v>221</v>
      </c>
      <c r="E1884" s="102">
        <v>1.0</v>
      </c>
      <c r="F1884" s="103" t="s">
        <v>227</v>
      </c>
      <c r="G1884" s="102">
        <v>1.0</v>
      </c>
      <c r="H1884" s="103"/>
      <c r="I1884" s="103"/>
      <c r="J1884" s="103"/>
      <c r="K1884" s="104">
        <v>0.9028</v>
      </c>
      <c r="L1884" s="89">
        <v>0.5939</v>
      </c>
      <c r="M1884" s="88"/>
      <c r="N1884" s="88"/>
    </row>
    <row r="1885">
      <c r="A1885" s="90">
        <v>44791.0</v>
      </c>
      <c r="B1885" s="90">
        <v>44791.0</v>
      </c>
      <c r="C1885" s="102">
        <v>2383.0</v>
      </c>
      <c r="D1885" s="103" t="s">
        <v>221</v>
      </c>
      <c r="E1885" s="102">
        <v>0.0</v>
      </c>
      <c r="F1885" s="103" t="s">
        <v>227</v>
      </c>
      <c r="G1885" s="102">
        <v>0.0</v>
      </c>
      <c r="H1885" s="103"/>
      <c r="I1885" s="103"/>
      <c r="J1885" s="103"/>
      <c r="K1885" s="104">
        <v>0.5081</v>
      </c>
      <c r="L1885" s="89">
        <v>0.3575</v>
      </c>
      <c r="M1885" s="88"/>
      <c r="N1885" s="88"/>
    </row>
    <row r="1886">
      <c r="A1886" s="90">
        <v>44791.0</v>
      </c>
      <c r="B1886" s="90">
        <v>44791.0</v>
      </c>
      <c r="C1886" s="102">
        <v>2376.0</v>
      </c>
      <c r="D1886" s="103" t="s">
        <v>221</v>
      </c>
      <c r="E1886" s="102">
        <v>1.0</v>
      </c>
      <c r="F1886" s="103" t="s">
        <v>228</v>
      </c>
      <c r="G1886" s="102">
        <v>1.0</v>
      </c>
      <c r="H1886" s="103"/>
      <c r="I1886" s="103"/>
      <c r="J1886" s="103"/>
      <c r="K1886" s="104">
        <v>5.5037</v>
      </c>
      <c r="L1886" s="89">
        <v>3.6199</v>
      </c>
      <c r="M1886" s="88"/>
      <c r="N1886" s="88" t="s">
        <v>207</v>
      </c>
    </row>
    <row r="1887">
      <c r="A1887" s="90">
        <v>44791.0</v>
      </c>
      <c r="B1887" s="90">
        <v>44791.0</v>
      </c>
      <c r="C1887" s="102">
        <v>2376.0</v>
      </c>
      <c r="D1887" s="103" t="s">
        <v>221</v>
      </c>
      <c r="E1887" s="102">
        <v>1.0</v>
      </c>
      <c r="F1887" s="103" t="s">
        <v>227</v>
      </c>
      <c r="G1887" s="102">
        <v>1.0</v>
      </c>
      <c r="H1887" s="103"/>
      <c r="I1887" s="103"/>
      <c r="J1887" s="103"/>
      <c r="K1887" s="104">
        <v>1.1059</v>
      </c>
      <c r="L1887" s="89">
        <v>0.7693</v>
      </c>
      <c r="M1887" s="88"/>
      <c r="N1887" s="88" t="s">
        <v>207</v>
      </c>
    </row>
    <row r="1888">
      <c r="A1888" s="90">
        <v>44791.0</v>
      </c>
      <c r="B1888" s="90">
        <v>44791.0</v>
      </c>
      <c r="C1888" s="102">
        <v>2380.0</v>
      </c>
      <c r="D1888" s="103" t="s">
        <v>226</v>
      </c>
      <c r="E1888" s="102">
        <v>1.0</v>
      </c>
      <c r="F1888" s="103" t="s">
        <v>227</v>
      </c>
      <c r="G1888" s="102">
        <v>1.0</v>
      </c>
      <c r="H1888" s="103"/>
      <c r="I1888" s="103"/>
      <c r="J1888" s="103"/>
      <c r="K1888" s="104">
        <v>0.6</v>
      </c>
      <c r="L1888" s="89">
        <v>0.3792</v>
      </c>
      <c r="M1888" s="88"/>
      <c r="N1888" s="88" t="s">
        <v>207</v>
      </c>
    </row>
    <row r="1889">
      <c r="A1889" s="90">
        <v>44791.0</v>
      </c>
      <c r="B1889" s="90">
        <v>44791.0</v>
      </c>
      <c r="C1889" s="102">
        <v>2347.0</v>
      </c>
      <c r="D1889" s="103" t="s">
        <v>226</v>
      </c>
      <c r="E1889" s="102">
        <v>1.0</v>
      </c>
      <c r="F1889" s="103" t="s">
        <v>227</v>
      </c>
      <c r="G1889" s="102">
        <v>1.0</v>
      </c>
      <c r="H1889" s="103"/>
      <c r="I1889" s="103"/>
      <c r="J1889" s="103"/>
      <c r="K1889" s="104">
        <v>0.71</v>
      </c>
      <c r="L1889" s="89">
        <v>0.5176</v>
      </c>
      <c r="M1889" s="88"/>
      <c r="N1889" s="88"/>
    </row>
    <row r="1890">
      <c r="A1890" s="90">
        <v>44791.0</v>
      </c>
      <c r="B1890" s="90">
        <v>44791.0</v>
      </c>
      <c r="C1890" s="102">
        <v>2082.0</v>
      </c>
      <c r="D1890" s="103" t="s">
        <v>226</v>
      </c>
      <c r="E1890" s="102">
        <v>0.0</v>
      </c>
      <c r="F1890" s="103" t="s">
        <v>228</v>
      </c>
      <c r="G1890" s="102">
        <v>0.0</v>
      </c>
      <c r="H1890" s="103"/>
      <c r="I1890" s="103"/>
      <c r="J1890" s="103"/>
      <c r="K1890" s="104">
        <v>3.37</v>
      </c>
      <c r="L1890" s="89">
        <v>2.1267</v>
      </c>
      <c r="M1890" s="88"/>
      <c r="N1890" s="88" t="s">
        <v>265</v>
      </c>
    </row>
    <row r="1891">
      <c r="A1891" s="90">
        <v>44791.0</v>
      </c>
      <c r="B1891" s="90">
        <v>44791.0</v>
      </c>
      <c r="C1891" s="102">
        <v>2011.0</v>
      </c>
      <c r="D1891" s="103" t="s">
        <v>226</v>
      </c>
      <c r="E1891" s="102">
        <v>0.0</v>
      </c>
      <c r="F1891" s="103" t="s">
        <v>228</v>
      </c>
      <c r="G1891" s="102">
        <v>0.0</v>
      </c>
      <c r="H1891" s="103"/>
      <c r="I1891" s="103"/>
      <c r="J1891" s="103"/>
      <c r="K1891" s="104">
        <v>3.38</v>
      </c>
      <c r="L1891" s="89">
        <v>2.3469</v>
      </c>
      <c r="M1891" s="88"/>
      <c r="N1891" s="88"/>
    </row>
    <row r="1892">
      <c r="A1892" s="90">
        <v>44791.0</v>
      </c>
      <c r="B1892" s="90">
        <v>44791.0</v>
      </c>
      <c r="C1892" s="102">
        <v>2370.0</v>
      </c>
      <c r="D1892" s="103" t="s">
        <v>226</v>
      </c>
      <c r="E1892" s="102">
        <v>0.0</v>
      </c>
      <c r="F1892" s="103" t="s">
        <v>228</v>
      </c>
      <c r="G1892" s="102">
        <v>0.0</v>
      </c>
      <c r="H1892" s="103"/>
      <c r="I1892" s="103"/>
      <c r="J1892" s="103"/>
      <c r="K1892" s="104">
        <v>2.69</v>
      </c>
      <c r="L1892" s="89">
        <v>1.7163</v>
      </c>
      <c r="M1892" s="88"/>
      <c r="N1892" s="88"/>
    </row>
    <row r="1893">
      <c r="A1893" s="90">
        <v>44791.0</v>
      </c>
      <c r="B1893" s="90">
        <v>44791.0</v>
      </c>
      <c r="C1893" s="102">
        <v>2330.0</v>
      </c>
      <c r="D1893" s="103" t="s">
        <v>226</v>
      </c>
      <c r="E1893" s="102">
        <v>1.0</v>
      </c>
      <c r="F1893" s="103" t="s">
        <v>228</v>
      </c>
      <c r="G1893" s="102">
        <v>1.0</v>
      </c>
      <c r="H1893" s="103"/>
      <c r="I1893" s="103"/>
      <c r="J1893" s="103"/>
      <c r="K1893" s="104">
        <v>5.13</v>
      </c>
      <c r="L1893" s="89">
        <v>3.3783</v>
      </c>
      <c r="M1893" s="88"/>
      <c r="N1893" s="88"/>
    </row>
    <row r="1894">
      <c r="A1894" s="90">
        <v>44791.0</v>
      </c>
      <c r="B1894" s="90">
        <v>44791.0</v>
      </c>
      <c r="C1894" s="102">
        <v>2379.0</v>
      </c>
      <c r="D1894" s="103" t="s">
        <v>226</v>
      </c>
      <c r="E1894" s="102">
        <v>0.0</v>
      </c>
      <c r="F1894" s="103" t="s">
        <v>228</v>
      </c>
      <c r="G1894" s="102">
        <v>0.0</v>
      </c>
      <c r="H1894" s="103"/>
      <c r="I1894" s="103"/>
      <c r="J1894" s="103"/>
      <c r="K1894" s="104">
        <v>3.79</v>
      </c>
      <c r="L1894" s="89">
        <v>2.3207</v>
      </c>
      <c r="M1894" s="88"/>
      <c r="N1894" s="88"/>
    </row>
    <row r="1895">
      <c r="A1895" s="90">
        <v>44791.0</v>
      </c>
      <c r="B1895" s="90">
        <v>44791.0</v>
      </c>
      <c r="C1895" s="102">
        <v>2345.0</v>
      </c>
      <c r="D1895" s="103" t="s">
        <v>226</v>
      </c>
      <c r="E1895" s="102">
        <v>1.0</v>
      </c>
      <c r="F1895" s="103" t="s">
        <v>227</v>
      </c>
      <c r="G1895" s="102">
        <v>1.0</v>
      </c>
      <c r="H1895" s="103"/>
      <c r="I1895" s="103"/>
      <c r="J1895" s="103"/>
      <c r="K1895" s="104">
        <v>0.87</v>
      </c>
      <c r="L1895" s="89">
        <v>0.5698</v>
      </c>
      <c r="M1895" s="88"/>
      <c r="N1895" s="88"/>
    </row>
    <row r="1896">
      <c r="A1896" s="90">
        <v>44791.0</v>
      </c>
      <c r="B1896" s="90">
        <v>44791.0</v>
      </c>
      <c r="C1896" s="102">
        <v>2380.0</v>
      </c>
      <c r="D1896" s="103" t="s">
        <v>226</v>
      </c>
      <c r="E1896" s="102">
        <v>1.0</v>
      </c>
      <c r="F1896" s="103" t="s">
        <v>228</v>
      </c>
      <c r="G1896" s="102">
        <v>1.0</v>
      </c>
      <c r="H1896" s="103"/>
      <c r="I1896" s="103"/>
      <c r="J1896" s="103"/>
      <c r="K1896" s="104">
        <v>3.5</v>
      </c>
      <c r="L1896" s="89">
        <v>2.255</v>
      </c>
      <c r="M1896" s="88"/>
      <c r="N1896" s="88" t="s">
        <v>266</v>
      </c>
    </row>
    <row r="1897">
      <c r="A1897" s="90">
        <v>44791.0</v>
      </c>
      <c r="B1897" s="90">
        <v>44791.0</v>
      </c>
      <c r="C1897" s="102">
        <v>2009.0</v>
      </c>
      <c r="D1897" s="103" t="s">
        <v>226</v>
      </c>
      <c r="E1897" s="102">
        <v>0.0</v>
      </c>
      <c r="F1897" s="103" t="s">
        <v>228</v>
      </c>
      <c r="G1897" s="102">
        <v>0.0</v>
      </c>
      <c r="H1897" s="103"/>
      <c r="I1897" s="103"/>
      <c r="J1897" s="103"/>
      <c r="K1897" s="104">
        <v>1.7</v>
      </c>
      <c r="L1897" s="89">
        <v>1.0965</v>
      </c>
      <c r="M1897" s="88"/>
      <c r="N1897" s="88"/>
    </row>
    <row r="1898">
      <c r="A1898" s="90">
        <v>44791.0</v>
      </c>
      <c r="B1898" s="90">
        <v>44791.0</v>
      </c>
      <c r="C1898" s="102">
        <v>2354.0</v>
      </c>
      <c r="D1898" s="103" t="s">
        <v>226</v>
      </c>
      <c r="E1898" s="102">
        <v>0.0</v>
      </c>
      <c r="F1898" s="103" t="s">
        <v>228</v>
      </c>
      <c r="G1898" s="102">
        <v>0.0</v>
      </c>
      <c r="H1898" s="103"/>
      <c r="I1898" s="103"/>
      <c r="J1898" s="103"/>
      <c r="K1898" s="104">
        <v>1.95</v>
      </c>
      <c r="L1898" s="89">
        <v>1.1313</v>
      </c>
      <c r="M1898" s="88"/>
      <c r="N1898" s="88"/>
    </row>
    <row r="1899">
      <c r="A1899" s="90">
        <v>44791.0</v>
      </c>
      <c r="B1899" s="90">
        <v>44791.0</v>
      </c>
      <c r="C1899" s="102">
        <v>2377.0</v>
      </c>
      <c r="D1899" s="103" t="s">
        <v>226</v>
      </c>
      <c r="E1899" s="102">
        <v>0.0</v>
      </c>
      <c r="F1899" s="103" t="s">
        <v>228</v>
      </c>
      <c r="G1899" s="102">
        <v>0.0</v>
      </c>
      <c r="H1899" s="103"/>
      <c r="I1899" s="103"/>
      <c r="J1899" s="103"/>
      <c r="K1899" s="104">
        <v>1.4</v>
      </c>
      <c r="L1899" s="89">
        <v>0.9276</v>
      </c>
      <c r="M1899" s="88"/>
      <c r="N1899" s="88"/>
    </row>
    <row r="1900">
      <c r="A1900" s="90">
        <v>44791.0</v>
      </c>
      <c r="B1900" s="90">
        <v>44791.0</v>
      </c>
      <c r="C1900" s="102">
        <v>2377.0</v>
      </c>
      <c r="D1900" s="103" t="s">
        <v>226</v>
      </c>
      <c r="E1900" s="102">
        <v>1.0</v>
      </c>
      <c r="F1900" s="103" t="s">
        <v>228</v>
      </c>
      <c r="G1900" s="102">
        <v>1.0</v>
      </c>
      <c r="H1900" s="103"/>
      <c r="I1900" s="103"/>
      <c r="J1900" s="103"/>
      <c r="K1900" s="104">
        <v>1.72</v>
      </c>
      <c r="L1900" s="89">
        <v>1.1867</v>
      </c>
      <c r="M1900" s="88"/>
      <c r="N1900" s="88"/>
    </row>
    <row r="1901">
      <c r="A1901" s="90">
        <v>44791.0</v>
      </c>
      <c r="B1901" s="90">
        <v>44791.0</v>
      </c>
      <c r="C1901" s="102">
        <v>2354.0</v>
      </c>
      <c r="D1901" s="103" t="s">
        <v>226</v>
      </c>
      <c r="E1901" s="102">
        <v>1.0</v>
      </c>
      <c r="F1901" s="103" t="s">
        <v>228</v>
      </c>
      <c r="G1901" s="102">
        <v>1.0</v>
      </c>
      <c r="H1901" s="103"/>
      <c r="I1901" s="103"/>
      <c r="J1901" s="103"/>
      <c r="K1901" s="104">
        <v>2.99</v>
      </c>
      <c r="L1901" s="89">
        <v>1.9454</v>
      </c>
      <c r="M1901" s="88"/>
      <c r="N1901" s="88"/>
    </row>
    <row r="1902">
      <c r="A1902" s="90">
        <v>44791.0</v>
      </c>
      <c r="B1902" s="90">
        <v>44791.0</v>
      </c>
      <c r="C1902" s="102">
        <v>2384.0</v>
      </c>
      <c r="D1902" s="103"/>
      <c r="E1902" s="102">
        <v>0.0</v>
      </c>
      <c r="F1902" s="103" t="s">
        <v>228</v>
      </c>
      <c r="G1902" s="102">
        <v>0.0</v>
      </c>
      <c r="H1902" s="103"/>
      <c r="I1902" s="103"/>
      <c r="J1902" s="103"/>
      <c r="K1902" s="104">
        <v>1.51</v>
      </c>
      <c r="L1902" s="89">
        <v>1.0018</v>
      </c>
      <c r="M1902" s="88"/>
      <c r="N1902" s="105" t="s">
        <v>267</v>
      </c>
    </row>
    <row r="1903">
      <c r="A1903" s="90">
        <v>44820.0</v>
      </c>
      <c r="B1903" s="90">
        <v>44820.0</v>
      </c>
      <c r="C1903" s="102">
        <v>2090.0</v>
      </c>
      <c r="D1903" s="103" t="s">
        <v>226</v>
      </c>
      <c r="E1903" s="102">
        <v>0.0</v>
      </c>
      <c r="F1903" s="103" t="s">
        <v>228</v>
      </c>
      <c r="G1903" s="102">
        <v>0.0</v>
      </c>
      <c r="H1903" s="103"/>
      <c r="I1903" s="103"/>
      <c r="J1903" s="103"/>
      <c r="K1903" s="104">
        <v>6.827</v>
      </c>
      <c r="L1903" s="89">
        <v>3.9951</v>
      </c>
      <c r="M1903" s="88"/>
      <c r="N1903" s="88"/>
    </row>
    <row r="1904">
      <c r="A1904" s="90">
        <v>44820.0</v>
      </c>
      <c r="B1904" s="90">
        <v>44820.0</v>
      </c>
      <c r="C1904" s="102">
        <v>2090.0</v>
      </c>
      <c r="D1904" s="103" t="s">
        <v>226</v>
      </c>
      <c r="E1904" s="102">
        <v>0.0</v>
      </c>
      <c r="F1904" s="103" t="s">
        <v>227</v>
      </c>
      <c r="G1904" s="102">
        <v>0.0</v>
      </c>
      <c r="H1904" s="103"/>
      <c r="I1904" s="103"/>
      <c r="J1904" s="103"/>
      <c r="K1904" s="104">
        <v>1.2591</v>
      </c>
      <c r="L1904" s="89">
        <v>0.8051</v>
      </c>
      <c r="M1904" s="88"/>
      <c r="N1904" s="88"/>
    </row>
    <row r="1905">
      <c r="A1905" s="90">
        <v>44820.0</v>
      </c>
      <c r="B1905" s="90">
        <v>44820.0</v>
      </c>
      <c r="C1905" s="102">
        <v>2090.0</v>
      </c>
      <c r="D1905" s="103" t="s">
        <v>226</v>
      </c>
      <c r="E1905" s="102">
        <v>1.0</v>
      </c>
      <c r="F1905" s="103" t="s">
        <v>227</v>
      </c>
      <c r="G1905" s="102">
        <v>1.0</v>
      </c>
      <c r="H1905" s="103"/>
      <c r="I1905" s="103"/>
      <c r="J1905" s="103"/>
      <c r="K1905" s="104">
        <v>0.8909</v>
      </c>
      <c r="L1905" s="89">
        <v>0.5273</v>
      </c>
      <c r="M1905" s="88"/>
      <c r="N1905" s="88"/>
    </row>
    <row r="1906">
      <c r="A1906" s="90">
        <v>44820.0</v>
      </c>
      <c r="B1906" s="90">
        <v>44820.0</v>
      </c>
      <c r="C1906" s="102">
        <v>2093.0</v>
      </c>
      <c r="D1906" s="103" t="s">
        <v>226</v>
      </c>
      <c r="E1906" s="102">
        <v>0.0</v>
      </c>
      <c r="F1906" s="103" t="s">
        <v>227</v>
      </c>
      <c r="G1906" s="102">
        <v>0.0</v>
      </c>
      <c r="H1906" s="103"/>
      <c r="I1906" s="103"/>
      <c r="J1906" s="103"/>
      <c r="K1906" s="104">
        <v>0.6357</v>
      </c>
      <c r="L1906" s="89">
        <v>0.3849</v>
      </c>
      <c r="M1906" s="88"/>
      <c r="N1906" s="88"/>
    </row>
    <row r="1907">
      <c r="A1907" s="90">
        <v>44820.0</v>
      </c>
      <c r="B1907" s="90">
        <v>44820.0</v>
      </c>
      <c r="C1907" s="102">
        <v>2013.0</v>
      </c>
      <c r="D1907" s="103" t="s">
        <v>226</v>
      </c>
      <c r="E1907" s="102">
        <v>1.0</v>
      </c>
      <c r="F1907" s="103" t="s">
        <v>227</v>
      </c>
      <c r="G1907" s="102">
        <v>1.0</v>
      </c>
      <c r="H1907" s="103"/>
      <c r="I1907" s="103"/>
      <c r="J1907" s="103"/>
      <c r="K1907" s="104">
        <v>0.9224</v>
      </c>
      <c r="L1907" s="89">
        <v>0.58</v>
      </c>
      <c r="M1907" s="88"/>
      <c r="N1907" s="88"/>
    </row>
    <row r="1908">
      <c r="A1908" s="90">
        <v>44820.0</v>
      </c>
      <c r="B1908" s="90">
        <v>44820.0</v>
      </c>
      <c r="C1908" s="102">
        <v>2088.0</v>
      </c>
      <c r="D1908" s="103" t="s">
        <v>226</v>
      </c>
      <c r="E1908" s="102">
        <v>0.0</v>
      </c>
      <c r="F1908" s="103" t="s">
        <v>228</v>
      </c>
      <c r="G1908" s="102">
        <v>0.0</v>
      </c>
      <c r="H1908" s="103"/>
      <c r="I1908" s="103"/>
      <c r="J1908" s="103"/>
      <c r="K1908" s="104">
        <v>2.8503</v>
      </c>
      <c r="L1908" s="89">
        <v>1.7436</v>
      </c>
      <c r="M1908" s="88"/>
      <c r="N1908" s="88"/>
    </row>
    <row r="1909">
      <c r="A1909" s="90">
        <v>44820.0</v>
      </c>
      <c r="B1909" s="90">
        <v>44820.0</v>
      </c>
      <c r="C1909" s="102">
        <v>2088.0</v>
      </c>
      <c r="D1909" s="103" t="s">
        <v>226</v>
      </c>
      <c r="E1909" s="102">
        <v>0.0</v>
      </c>
      <c r="F1909" s="103" t="s">
        <v>227</v>
      </c>
      <c r="G1909" s="102">
        <v>0.0</v>
      </c>
      <c r="H1909" s="103"/>
      <c r="I1909" s="103"/>
      <c r="J1909" s="103"/>
      <c r="K1909" s="104">
        <v>0.9554</v>
      </c>
      <c r="L1909" s="89">
        <v>0.6196</v>
      </c>
      <c r="M1909" s="88"/>
      <c r="N1909" s="88"/>
    </row>
    <row r="1910">
      <c r="A1910" s="90">
        <v>44820.0</v>
      </c>
      <c r="B1910" s="90">
        <v>44820.0</v>
      </c>
      <c r="C1910" s="102">
        <v>2088.0</v>
      </c>
      <c r="D1910" s="103" t="s">
        <v>226</v>
      </c>
      <c r="E1910" s="102">
        <v>1.0</v>
      </c>
      <c r="F1910" s="103" t="s">
        <v>227</v>
      </c>
      <c r="G1910" s="102">
        <v>1.0</v>
      </c>
      <c r="H1910" s="103"/>
      <c r="I1910" s="103"/>
      <c r="J1910" s="103"/>
      <c r="K1910" s="104">
        <v>0.7475</v>
      </c>
      <c r="L1910" s="89">
        <v>0.4699</v>
      </c>
      <c r="M1910" s="88"/>
      <c r="N1910" s="88"/>
    </row>
    <row r="1911">
      <c r="A1911" s="90">
        <v>44820.0</v>
      </c>
      <c r="B1911" s="90">
        <v>44820.0</v>
      </c>
      <c r="C1911" s="102">
        <v>2091.0</v>
      </c>
      <c r="D1911" s="103" t="s">
        <v>226</v>
      </c>
      <c r="E1911" s="102">
        <v>0.0</v>
      </c>
      <c r="F1911" s="103" t="s">
        <v>228</v>
      </c>
      <c r="G1911" s="102">
        <v>0.0</v>
      </c>
      <c r="H1911" s="103"/>
      <c r="I1911" s="103"/>
      <c r="J1911" s="103"/>
      <c r="K1911" s="104">
        <v>4.3151</v>
      </c>
      <c r="L1911" s="89">
        <v>2.5274</v>
      </c>
      <c r="M1911" s="88"/>
      <c r="N1911" s="88"/>
    </row>
    <row r="1912">
      <c r="A1912" s="90">
        <v>44820.0</v>
      </c>
      <c r="B1912" s="90">
        <v>44820.0</v>
      </c>
      <c r="C1912" s="102">
        <v>2091.0</v>
      </c>
      <c r="D1912" s="103" t="s">
        <v>226</v>
      </c>
      <c r="E1912" s="102">
        <v>0.0</v>
      </c>
      <c r="F1912" s="103" t="s">
        <v>227</v>
      </c>
      <c r="G1912" s="102">
        <v>0.0</v>
      </c>
      <c r="H1912" s="103"/>
      <c r="I1912" s="103"/>
      <c r="J1912" s="103"/>
      <c r="K1912" s="104">
        <v>0.7534</v>
      </c>
      <c r="L1912" s="89">
        <v>0.4296</v>
      </c>
      <c r="M1912" s="88"/>
      <c r="N1912" s="88"/>
    </row>
    <row r="1913">
      <c r="A1913" s="90">
        <v>44820.0</v>
      </c>
      <c r="B1913" s="90">
        <v>44820.0</v>
      </c>
      <c r="C1913" s="102">
        <v>2091.0</v>
      </c>
      <c r="D1913" s="103" t="s">
        <v>226</v>
      </c>
      <c r="E1913" s="102">
        <v>1.0</v>
      </c>
      <c r="F1913" s="103" t="s">
        <v>228</v>
      </c>
      <c r="G1913" s="102">
        <v>1.0</v>
      </c>
      <c r="H1913" s="103"/>
      <c r="I1913" s="103"/>
      <c r="J1913" s="103"/>
      <c r="K1913" s="104">
        <v>2.475</v>
      </c>
      <c r="L1913" s="89">
        <v>1.5148</v>
      </c>
      <c r="M1913" s="88"/>
      <c r="N1913" s="88"/>
    </row>
    <row r="1914">
      <c r="A1914" s="90">
        <v>44820.0</v>
      </c>
      <c r="B1914" s="90">
        <v>44820.0</v>
      </c>
      <c r="C1914" s="102">
        <v>2091.0</v>
      </c>
      <c r="D1914" s="103" t="s">
        <v>226</v>
      </c>
      <c r="E1914" s="102">
        <v>1.0</v>
      </c>
      <c r="F1914" s="103" t="s">
        <v>227</v>
      </c>
      <c r="G1914" s="102">
        <v>1.0</v>
      </c>
      <c r="H1914" s="103"/>
      <c r="I1914" s="103"/>
      <c r="J1914" s="103"/>
      <c r="K1914" s="104">
        <v>0.6216</v>
      </c>
      <c r="L1914" s="89">
        <v>0.3575</v>
      </c>
      <c r="M1914" s="88"/>
      <c r="N1914" s="88"/>
    </row>
    <row r="1915">
      <c r="A1915" s="90">
        <v>44819.0</v>
      </c>
      <c r="B1915" s="90">
        <v>44819.0</v>
      </c>
      <c r="C1915" s="102">
        <v>2087.0</v>
      </c>
      <c r="D1915" s="103" t="s">
        <v>226</v>
      </c>
      <c r="E1915" s="102">
        <v>0.0</v>
      </c>
      <c r="F1915" s="103" t="s">
        <v>228</v>
      </c>
      <c r="G1915" s="102">
        <v>0.0</v>
      </c>
      <c r="H1915" s="103"/>
      <c r="I1915" s="103"/>
      <c r="J1915" s="103"/>
      <c r="K1915" s="104">
        <v>4.4265</v>
      </c>
      <c r="L1915" s="89">
        <v>2.6673</v>
      </c>
      <c r="M1915" s="88"/>
      <c r="N1915" s="88"/>
    </row>
    <row r="1916">
      <c r="A1916" s="90">
        <v>44819.0</v>
      </c>
      <c r="B1916" s="90">
        <v>44819.0</v>
      </c>
      <c r="C1916" s="102">
        <v>2087.0</v>
      </c>
      <c r="D1916" s="103" t="s">
        <v>226</v>
      </c>
      <c r="E1916" s="102">
        <v>0.0</v>
      </c>
      <c r="F1916" s="103" t="s">
        <v>227</v>
      </c>
      <c r="G1916" s="102">
        <v>0.0</v>
      </c>
      <c r="H1916" s="103"/>
      <c r="I1916" s="103"/>
      <c r="J1916" s="103"/>
      <c r="K1916" s="104">
        <v>1.2459</v>
      </c>
      <c r="L1916" s="89">
        <v>0.7365</v>
      </c>
      <c r="M1916" s="88"/>
      <c r="N1916" s="88"/>
    </row>
    <row r="1917">
      <c r="A1917" s="90">
        <v>44819.0</v>
      </c>
      <c r="B1917" s="90">
        <v>44819.0</v>
      </c>
      <c r="C1917" s="102">
        <v>2087.0</v>
      </c>
      <c r="D1917" s="103" t="s">
        <v>226</v>
      </c>
      <c r="E1917" s="102">
        <v>1.0</v>
      </c>
      <c r="F1917" s="103" t="s">
        <v>227</v>
      </c>
      <c r="G1917" s="102">
        <v>1.0</v>
      </c>
      <c r="H1917" s="103"/>
      <c r="I1917" s="103"/>
      <c r="J1917" s="103"/>
      <c r="K1917" s="104">
        <v>1.441</v>
      </c>
      <c r="L1917" s="89">
        <v>0.8582</v>
      </c>
      <c r="M1917" s="88"/>
      <c r="N1917" s="88"/>
    </row>
    <row r="1918">
      <c r="A1918" s="90">
        <v>44820.0</v>
      </c>
      <c r="B1918" s="90">
        <v>44820.0</v>
      </c>
      <c r="C1918" s="102">
        <v>2007.0</v>
      </c>
      <c r="D1918" s="103" t="s">
        <v>226</v>
      </c>
      <c r="E1918" s="102">
        <v>1.0</v>
      </c>
      <c r="F1918" s="103" t="s">
        <v>227</v>
      </c>
      <c r="G1918" s="102">
        <v>1.0</v>
      </c>
      <c r="H1918" s="103"/>
      <c r="I1918" s="103"/>
      <c r="J1918" s="103"/>
      <c r="K1918" s="104">
        <v>0.8112</v>
      </c>
      <c r="L1918" s="89">
        <v>0.4518</v>
      </c>
      <c r="M1918" s="88"/>
      <c r="N1918" s="88"/>
    </row>
    <row r="1919">
      <c r="A1919" s="90">
        <v>44820.0</v>
      </c>
      <c r="B1919" s="90">
        <v>44820.0</v>
      </c>
      <c r="C1919" s="102">
        <v>2089.0</v>
      </c>
      <c r="D1919" s="103" t="s">
        <v>226</v>
      </c>
      <c r="E1919" s="102">
        <v>0.0</v>
      </c>
      <c r="F1919" s="103" t="s">
        <v>228</v>
      </c>
      <c r="G1919" s="102">
        <v>0.0</v>
      </c>
      <c r="H1919" s="103"/>
      <c r="I1919" s="103"/>
      <c r="J1919" s="103"/>
      <c r="K1919" s="104">
        <v>3.8279</v>
      </c>
      <c r="L1919" s="89">
        <v>2.4241</v>
      </c>
      <c r="M1919" s="88"/>
      <c r="N1919" s="88"/>
    </row>
    <row r="1920">
      <c r="A1920" s="90">
        <v>44820.0</v>
      </c>
      <c r="B1920" s="90">
        <v>44820.0</v>
      </c>
      <c r="C1920" s="102">
        <v>2089.0</v>
      </c>
      <c r="D1920" s="103" t="s">
        <v>226</v>
      </c>
      <c r="E1920" s="102">
        <v>1.0</v>
      </c>
      <c r="F1920" s="103" t="s">
        <v>227</v>
      </c>
      <c r="G1920" s="102">
        <v>1.0</v>
      </c>
      <c r="H1920" s="103"/>
      <c r="I1920" s="103"/>
      <c r="J1920" s="103"/>
      <c r="K1920" s="104">
        <v>0.9124</v>
      </c>
      <c r="L1920" s="89">
        <v>0.5756</v>
      </c>
      <c r="M1920" s="88"/>
      <c r="N1920" s="88"/>
    </row>
    <row r="1921">
      <c r="A1921" s="90">
        <v>44820.0</v>
      </c>
      <c r="B1921" s="90">
        <v>44820.0</v>
      </c>
      <c r="C1921" s="102">
        <v>2085.0</v>
      </c>
      <c r="D1921" s="103" t="s">
        <v>226</v>
      </c>
      <c r="E1921" s="102">
        <v>1.0</v>
      </c>
      <c r="F1921" s="103" t="s">
        <v>227</v>
      </c>
      <c r="G1921" s="102">
        <v>1.0</v>
      </c>
      <c r="H1921" s="103"/>
      <c r="I1921" s="103"/>
      <c r="J1921" s="103"/>
      <c r="K1921" s="104">
        <v>0.9761</v>
      </c>
      <c r="L1921" s="89">
        <v>0.6146</v>
      </c>
      <c r="M1921" s="88"/>
      <c r="N1921" s="88"/>
    </row>
    <row r="1922">
      <c r="A1922" s="90">
        <v>44820.0</v>
      </c>
      <c r="B1922" s="90">
        <v>44820.0</v>
      </c>
      <c r="C1922" s="102">
        <v>2085.0</v>
      </c>
      <c r="D1922" s="103" t="s">
        <v>226</v>
      </c>
      <c r="E1922" s="102">
        <v>0.0</v>
      </c>
      <c r="F1922" s="103" t="s">
        <v>227</v>
      </c>
      <c r="G1922" s="102">
        <v>0.0</v>
      </c>
      <c r="H1922" s="103"/>
      <c r="I1922" s="103"/>
      <c r="J1922" s="103"/>
      <c r="K1922" s="104">
        <v>1.1185</v>
      </c>
      <c r="L1922" s="89">
        <v>0.7568</v>
      </c>
      <c r="M1922" s="88"/>
      <c r="N1922" s="88"/>
    </row>
    <row r="1923">
      <c r="A1923" s="90">
        <v>44820.0</v>
      </c>
      <c r="B1923" s="90">
        <v>44820.0</v>
      </c>
      <c r="C1923" s="102">
        <v>2089.0</v>
      </c>
      <c r="D1923" s="103" t="s">
        <v>226</v>
      </c>
      <c r="E1923" s="102">
        <v>0.0</v>
      </c>
      <c r="F1923" s="103" t="s">
        <v>227</v>
      </c>
      <c r="G1923" s="102">
        <v>0.0</v>
      </c>
      <c r="H1923" s="103"/>
      <c r="I1923" s="103"/>
      <c r="J1923" s="103"/>
      <c r="K1923" s="104">
        <v>0.4642</v>
      </c>
      <c r="L1923" s="89">
        <v>0.2827</v>
      </c>
      <c r="M1923" s="88"/>
      <c r="N1923" s="88"/>
    </row>
    <row r="1924">
      <c r="A1924" s="90">
        <v>44820.0</v>
      </c>
      <c r="B1924" s="90">
        <v>44820.0</v>
      </c>
      <c r="C1924" s="102">
        <v>2089.0</v>
      </c>
      <c r="D1924" s="103" t="s">
        <v>226</v>
      </c>
      <c r="E1924" s="102">
        <v>1.0</v>
      </c>
      <c r="F1924" s="103" t="s">
        <v>228</v>
      </c>
      <c r="G1924" s="102">
        <v>1.0</v>
      </c>
      <c r="H1924" s="103"/>
      <c r="I1924" s="103"/>
      <c r="J1924" s="103"/>
      <c r="K1924" s="104">
        <v>3.1408</v>
      </c>
      <c r="L1924" s="89">
        <v>2.063</v>
      </c>
      <c r="M1924" s="88"/>
      <c r="N1924" s="88"/>
    </row>
    <row r="1925">
      <c r="A1925" s="90">
        <v>44820.0</v>
      </c>
      <c r="B1925" s="90">
        <v>44820.0</v>
      </c>
      <c r="C1925" s="102">
        <v>2093.0</v>
      </c>
      <c r="D1925" s="103" t="s">
        <v>226</v>
      </c>
      <c r="E1925" s="102">
        <v>1.0</v>
      </c>
      <c r="F1925" s="103" t="s">
        <v>228</v>
      </c>
      <c r="G1925" s="102">
        <v>1.0</v>
      </c>
      <c r="H1925" s="103"/>
      <c r="I1925" s="103"/>
      <c r="J1925" s="103"/>
      <c r="K1925" s="104">
        <v>1.9399</v>
      </c>
      <c r="L1925" s="89">
        <v>2.9324</v>
      </c>
      <c r="M1925" s="88"/>
      <c r="N1925" s="88"/>
    </row>
    <row r="1926">
      <c r="A1926" s="90">
        <v>44820.0</v>
      </c>
      <c r="B1926" s="90">
        <v>44820.0</v>
      </c>
      <c r="C1926" s="102">
        <v>2085.0</v>
      </c>
      <c r="D1926" s="103" t="s">
        <v>226</v>
      </c>
      <c r="E1926" s="102">
        <v>0.0</v>
      </c>
      <c r="F1926" s="103" t="s">
        <v>228</v>
      </c>
      <c r="G1926" s="102">
        <v>0.0</v>
      </c>
      <c r="H1926" s="103"/>
      <c r="I1926" s="103"/>
      <c r="J1926" s="103"/>
      <c r="K1926" s="104">
        <v>5.2139</v>
      </c>
      <c r="L1926" s="89">
        <v>3.1883</v>
      </c>
      <c r="M1926" s="88"/>
      <c r="N1926" s="88"/>
    </row>
    <row r="1927">
      <c r="A1927" s="90">
        <v>44820.0</v>
      </c>
      <c r="B1927" s="90">
        <v>44820.0</v>
      </c>
      <c r="C1927" s="102">
        <v>2013.0</v>
      </c>
      <c r="D1927" s="103" t="s">
        <v>226</v>
      </c>
      <c r="E1927" s="102">
        <v>0.0</v>
      </c>
      <c r="F1927" s="103" t="s">
        <v>228</v>
      </c>
      <c r="G1927" s="102">
        <v>0.0</v>
      </c>
      <c r="H1927" s="103"/>
      <c r="I1927" s="103"/>
      <c r="J1927" s="103"/>
      <c r="K1927" s="104">
        <v>4.637</v>
      </c>
      <c r="L1927" s="89">
        <v>2.7528</v>
      </c>
      <c r="M1927" s="88"/>
      <c r="N1927" s="88"/>
    </row>
    <row r="1928">
      <c r="A1928" s="90">
        <v>44820.0</v>
      </c>
      <c r="B1928" s="90">
        <v>44820.0</v>
      </c>
      <c r="C1928" s="102">
        <v>2013.0</v>
      </c>
      <c r="D1928" s="103" t="s">
        <v>226</v>
      </c>
      <c r="E1928" s="102">
        <v>0.0</v>
      </c>
      <c r="F1928" s="103" t="s">
        <v>227</v>
      </c>
      <c r="G1928" s="102">
        <v>0.0</v>
      </c>
      <c r="H1928" s="103"/>
      <c r="I1928" s="103"/>
      <c r="J1928" s="103"/>
      <c r="K1928" s="104">
        <v>1.3678</v>
      </c>
      <c r="L1928" s="89">
        <v>0.8792</v>
      </c>
      <c r="M1928" s="88"/>
      <c r="N1928" s="88"/>
    </row>
    <row r="1929">
      <c r="A1929" s="90">
        <v>44820.0</v>
      </c>
      <c r="B1929" s="90">
        <v>44820.0</v>
      </c>
      <c r="C1929" s="102">
        <v>2802.0</v>
      </c>
      <c r="D1929" s="103" t="s">
        <v>226</v>
      </c>
      <c r="E1929" s="102">
        <v>0.0</v>
      </c>
      <c r="F1929" s="103" t="s">
        <v>228</v>
      </c>
      <c r="G1929" s="102">
        <v>0.0</v>
      </c>
      <c r="H1929" s="103"/>
      <c r="I1929" s="103"/>
      <c r="J1929" s="103"/>
      <c r="K1929" s="104">
        <v>2.4421</v>
      </c>
      <c r="L1929" s="89">
        <v>1.4944</v>
      </c>
      <c r="M1929" s="88"/>
      <c r="N1929" s="88"/>
    </row>
    <row r="1930">
      <c r="A1930" s="90">
        <v>44820.0</v>
      </c>
      <c r="B1930" s="90">
        <v>44820.0</v>
      </c>
      <c r="C1930" s="102">
        <v>2093.0</v>
      </c>
      <c r="D1930" s="103" t="s">
        <v>226</v>
      </c>
      <c r="E1930" s="102">
        <v>0.0</v>
      </c>
      <c r="F1930" s="103" t="s">
        <v>228</v>
      </c>
      <c r="G1930" s="102">
        <v>0.0</v>
      </c>
      <c r="H1930" s="103"/>
      <c r="I1930" s="103"/>
      <c r="J1930" s="103"/>
      <c r="K1930" s="104">
        <v>4.894</v>
      </c>
      <c r="L1930" s="89">
        <v>3.1314</v>
      </c>
      <c r="M1930" s="88"/>
      <c r="N1930" s="88"/>
    </row>
    <row r="1931">
      <c r="A1931" s="90">
        <v>44820.0</v>
      </c>
      <c r="B1931" s="90">
        <v>44820.0</v>
      </c>
      <c r="C1931" s="102">
        <v>2093.0</v>
      </c>
      <c r="D1931" s="103" t="s">
        <v>226</v>
      </c>
      <c r="E1931" s="102">
        <v>1.0</v>
      </c>
      <c r="F1931" s="103" t="s">
        <v>227</v>
      </c>
      <c r="G1931" s="102">
        <v>1.0</v>
      </c>
      <c r="H1931" s="103"/>
      <c r="I1931" s="103"/>
      <c r="J1931" s="103"/>
      <c r="K1931" s="104">
        <v>0.9362</v>
      </c>
      <c r="L1931" s="89">
        <v>0.5645</v>
      </c>
      <c r="M1931" s="88"/>
      <c r="N1931" s="88"/>
    </row>
    <row r="1932">
      <c r="A1932" s="90">
        <v>44820.0</v>
      </c>
      <c r="B1932" s="90">
        <v>44820.0</v>
      </c>
      <c r="C1932" s="102">
        <v>2005.0</v>
      </c>
      <c r="D1932" s="103" t="s">
        <v>226</v>
      </c>
      <c r="E1932" s="102">
        <v>0.0</v>
      </c>
      <c r="F1932" s="103" t="s">
        <v>228</v>
      </c>
      <c r="G1932" s="102">
        <v>0.0</v>
      </c>
      <c r="H1932" s="103"/>
      <c r="I1932" s="103"/>
      <c r="J1932" s="103"/>
      <c r="K1932" s="104">
        <v>2.932</v>
      </c>
      <c r="L1932" s="89">
        <v>1.7101</v>
      </c>
      <c r="M1932" s="88"/>
      <c r="N1932" s="88"/>
    </row>
    <row r="1933">
      <c r="A1933" s="90">
        <v>44820.0</v>
      </c>
      <c r="B1933" s="90">
        <v>44820.0</v>
      </c>
      <c r="C1933" s="102">
        <v>2005.0</v>
      </c>
      <c r="D1933" s="103" t="s">
        <v>226</v>
      </c>
      <c r="E1933" s="102">
        <v>0.0</v>
      </c>
      <c r="F1933" s="103" t="s">
        <v>227</v>
      </c>
      <c r="G1933" s="102">
        <v>0.0</v>
      </c>
      <c r="H1933" s="103"/>
      <c r="I1933" s="103"/>
      <c r="J1933" s="103"/>
      <c r="K1933" s="104">
        <v>0.5434</v>
      </c>
      <c r="L1933" s="89">
        <v>0.3388</v>
      </c>
      <c r="M1933" s="88"/>
      <c r="N1933" s="88"/>
    </row>
    <row r="1934">
      <c r="A1934" s="90">
        <v>44820.0</v>
      </c>
      <c r="B1934" s="90">
        <v>44820.0</v>
      </c>
      <c r="C1934" s="102">
        <v>2005.0</v>
      </c>
      <c r="D1934" s="103" t="s">
        <v>226</v>
      </c>
      <c r="E1934" s="102">
        <v>1.0</v>
      </c>
      <c r="F1934" s="103" t="s">
        <v>227</v>
      </c>
      <c r="G1934" s="102">
        <v>1.0</v>
      </c>
      <c r="H1934" s="103"/>
      <c r="I1934" s="103"/>
      <c r="J1934" s="103"/>
      <c r="K1934" s="104">
        <v>0.4294</v>
      </c>
      <c r="L1934" s="89">
        <v>0.2512</v>
      </c>
      <c r="M1934" s="88"/>
      <c r="N1934" s="88"/>
    </row>
    <row r="1935">
      <c r="A1935" s="90">
        <v>44820.0</v>
      </c>
      <c r="B1935" s="90">
        <v>44820.0</v>
      </c>
      <c r="C1935" s="102">
        <v>2007.0</v>
      </c>
      <c r="D1935" s="103" t="s">
        <v>226</v>
      </c>
      <c r="E1935" s="102">
        <v>0.0</v>
      </c>
      <c r="F1935" s="103" t="s">
        <v>228</v>
      </c>
      <c r="G1935" s="102">
        <v>0.0</v>
      </c>
      <c r="H1935" s="103"/>
      <c r="I1935" s="103"/>
      <c r="J1935" s="103"/>
      <c r="K1935" s="104">
        <v>3.173</v>
      </c>
      <c r="L1935" s="89">
        <v>1.8628</v>
      </c>
      <c r="M1935" s="88"/>
      <c r="N1935" s="88"/>
    </row>
    <row r="1936">
      <c r="A1936" s="90">
        <v>44820.0</v>
      </c>
      <c r="B1936" s="90">
        <v>44820.0</v>
      </c>
      <c r="C1936" s="102">
        <v>2007.0</v>
      </c>
      <c r="D1936" s="103" t="s">
        <v>226</v>
      </c>
      <c r="E1936" s="102">
        <v>0.0</v>
      </c>
      <c r="F1936" s="103" t="s">
        <v>227</v>
      </c>
      <c r="G1936" s="102">
        <v>0.0</v>
      </c>
      <c r="H1936" s="103"/>
      <c r="I1936" s="103"/>
      <c r="J1936" s="103"/>
      <c r="K1936" s="104">
        <v>0.7923</v>
      </c>
      <c r="L1936" s="89">
        <v>0.4559</v>
      </c>
      <c r="M1936" s="88"/>
      <c r="N1936" s="88"/>
    </row>
    <row r="1937">
      <c r="A1937" s="90">
        <v>44820.0</v>
      </c>
      <c r="B1937" s="90">
        <v>44820.0</v>
      </c>
      <c r="C1937" s="102">
        <v>2009.0</v>
      </c>
      <c r="D1937" s="103" t="s">
        <v>226</v>
      </c>
      <c r="E1937" s="102">
        <v>1.0</v>
      </c>
      <c r="F1937" s="103" t="s">
        <v>227</v>
      </c>
      <c r="G1937" s="102">
        <v>1.0</v>
      </c>
      <c r="H1937" s="103"/>
      <c r="I1937" s="103"/>
      <c r="J1937" s="103"/>
      <c r="K1937" s="104">
        <v>0.2653</v>
      </c>
      <c r="L1937" s="89">
        <v>0.1641</v>
      </c>
      <c r="M1937" s="88"/>
      <c r="N1937" s="88"/>
    </row>
    <row r="1938">
      <c r="A1938" s="90">
        <v>44820.0</v>
      </c>
      <c r="B1938" s="90">
        <v>44820.0</v>
      </c>
      <c r="C1938" s="102">
        <v>2009.0</v>
      </c>
      <c r="D1938" s="103" t="s">
        <v>226</v>
      </c>
      <c r="E1938" s="102">
        <v>1.0</v>
      </c>
      <c r="F1938" s="103" t="s">
        <v>228</v>
      </c>
      <c r="G1938" s="102">
        <v>1.0</v>
      </c>
      <c r="H1938" s="103"/>
      <c r="I1938" s="103"/>
      <c r="J1938" s="103"/>
      <c r="K1938" s="104">
        <v>2.5779</v>
      </c>
      <c r="L1938" s="89">
        <v>1.6163</v>
      </c>
      <c r="M1938" s="88"/>
      <c r="N1938" s="88"/>
    </row>
    <row r="1939">
      <c r="A1939" s="90">
        <v>44820.0</v>
      </c>
      <c r="B1939" s="90">
        <v>44820.0</v>
      </c>
      <c r="C1939" s="102">
        <v>2009.0</v>
      </c>
      <c r="D1939" s="103" t="s">
        <v>226</v>
      </c>
      <c r="E1939" s="102">
        <v>0.0</v>
      </c>
      <c r="F1939" s="103" t="s">
        <v>227</v>
      </c>
      <c r="G1939" s="102">
        <v>0.0</v>
      </c>
      <c r="H1939" s="103"/>
      <c r="I1939" s="103"/>
      <c r="J1939" s="103"/>
      <c r="K1939" s="104">
        <v>0.2936</v>
      </c>
      <c r="L1939" s="89">
        <v>0.1758</v>
      </c>
      <c r="M1939" s="88"/>
      <c r="N1939" s="88"/>
    </row>
    <row r="1940">
      <c r="A1940" s="90">
        <v>44820.0</v>
      </c>
      <c r="B1940" s="90">
        <v>44820.0</v>
      </c>
      <c r="C1940" s="102">
        <v>2009.0</v>
      </c>
      <c r="D1940" s="103" t="s">
        <v>226</v>
      </c>
      <c r="E1940" s="102">
        <v>0.0</v>
      </c>
      <c r="F1940" s="103" t="s">
        <v>228</v>
      </c>
      <c r="G1940" s="102">
        <v>0.0</v>
      </c>
      <c r="H1940" s="103"/>
      <c r="I1940" s="103"/>
      <c r="J1940" s="103"/>
      <c r="K1940" s="104">
        <v>3.5748</v>
      </c>
      <c r="L1940" s="89">
        <v>2.2164</v>
      </c>
      <c r="M1940" s="88"/>
      <c r="N1940" s="88"/>
    </row>
    <row r="1941">
      <c r="A1941" s="90">
        <v>44819.0</v>
      </c>
      <c r="B1941" s="90">
        <v>44819.0</v>
      </c>
      <c r="C1941" s="102">
        <v>2023.0</v>
      </c>
      <c r="D1941" s="103" t="s">
        <v>221</v>
      </c>
      <c r="E1941" s="102">
        <v>0.0</v>
      </c>
      <c r="F1941" s="103" t="s">
        <v>228</v>
      </c>
      <c r="G1941" s="102">
        <v>0.0</v>
      </c>
      <c r="H1941" s="103"/>
      <c r="I1941" s="103"/>
      <c r="J1941" s="103"/>
      <c r="K1941" s="104">
        <v>4.943</v>
      </c>
      <c r="L1941" s="89">
        <v>3.1379</v>
      </c>
      <c r="M1941" s="88"/>
      <c r="N1941" s="88"/>
    </row>
    <row r="1942">
      <c r="A1942" s="90">
        <v>44819.0</v>
      </c>
      <c r="B1942" s="90">
        <v>44819.0</v>
      </c>
      <c r="C1942" s="102">
        <v>2092.0</v>
      </c>
      <c r="D1942" s="103" t="s">
        <v>221</v>
      </c>
      <c r="E1942" s="102">
        <v>0.0</v>
      </c>
      <c r="F1942" s="103" t="s">
        <v>228</v>
      </c>
      <c r="G1942" s="102">
        <v>0.0</v>
      </c>
      <c r="H1942" s="103"/>
      <c r="I1942" s="103"/>
      <c r="J1942" s="103"/>
      <c r="K1942" s="104">
        <f> 4.9868 - 0.1869</f>
        <v>4.7999</v>
      </c>
      <c r="L1942" s="89">
        <v>2.8164</v>
      </c>
      <c r="M1942" s="88"/>
      <c r="N1942" s="88"/>
    </row>
    <row r="1943">
      <c r="A1943" s="90">
        <v>44819.0</v>
      </c>
      <c r="B1943" s="90">
        <v>44819.0</v>
      </c>
      <c r="C1943" s="102">
        <v>2092.0</v>
      </c>
      <c r="D1943" s="103" t="s">
        <v>221</v>
      </c>
      <c r="E1943" s="102">
        <v>1.0</v>
      </c>
      <c r="F1943" s="103" t="s">
        <v>228</v>
      </c>
      <c r="G1943" s="102">
        <v>1.0</v>
      </c>
      <c r="H1943" s="103"/>
      <c r="I1943" s="103"/>
      <c r="J1943" s="103"/>
      <c r="K1943" s="104">
        <v>3.2062</v>
      </c>
      <c r="L1943" s="89">
        <v>1.998</v>
      </c>
      <c r="M1943" s="88"/>
      <c r="N1943" s="88"/>
    </row>
    <row r="1944">
      <c r="A1944" s="90">
        <v>44819.0</v>
      </c>
      <c r="B1944" s="90">
        <v>44819.0</v>
      </c>
      <c r="C1944" s="102">
        <v>2370.0</v>
      </c>
      <c r="D1944" s="103" t="s">
        <v>221</v>
      </c>
      <c r="E1944" s="102">
        <v>0.0</v>
      </c>
      <c r="F1944" s="103" t="s">
        <v>228</v>
      </c>
      <c r="G1944" s="102">
        <v>0.0</v>
      </c>
      <c r="H1944" s="103"/>
      <c r="I1944" s="103"/>
      <c r="J1944" s="103"/>
      <c r="K1944" s="104">
        <v>1.8691</v>
      </c>
      <c r="L1944" s="89">
        <v>1.1988</v>
      </c>
      <c r="M1944" s="88"/>
      <c r="N1944" s="88"/>
    </row>
    <row r="1945">
      <c r="A1945" s="90">
        <v>44819.0</v>
      </c>
      <c r="B1945" s="90">
        <v>44819.0</v>
      </c>
      <c r="C1945" s="102">
        <v>2012.0</v>
      </c>
      <c r="D1945" s="103" t="s">
        <v>221</v>
      </c>
      <c r="E1945" s="102">
        <v>1.0</v>
      </c>
      <c r="F1945" s="103" t="s">
        <v>227</v>
      </c>
      <c r="G1945" s="102">
        <v>1.0</v>
      </c>
      <c r="H1945" s="103"/>
      <c r="I1945" s="103"/>
      <c r="J1945" s="103"/>
      <c r="K1945" s="104">
        <v>0.5906</v>
      </c>
      <c r="L1945" s="89">
        <v>0.3757</v>
      </c>
      <c r="M1945" s="88"/>
      <c r="N1945" s="88"/>
    </row>
    <row r="1946">
      <c r="A1946" s="90">
        <v>44819.0</v>
      </c>
      <c r="B1946" s="90">
        <v>44819.0</v>
      </c>
      <c r="C1946" s="102">
        <v>2012.0</v>
      </c>
      <c r="D1946" s="103" t="s">
        <v>221</v>
      </c>
      <c r="E1946" s="102">
        <v>0.0</v>
      </c>
      <c r="F1946" s="103" t="s">
        <v>227</v>
      </c>
      <c r="G1946" s="102">
        <v>0.0</v>
      </c>
      <c r="H1946" s="103"/>
      <c r="I1946" s="103"/>
      <c r="J1946" s="103"/>
      <c r="K1946" s="104">
        <v>0.4148</v>
      </c>
      <c r="L1946" s="89">
        <v>0.2614</v>
      </c>
      <c r="M1946" s="88"/>
      <c r="N1946" s="88"/>
    </row>
    <row r="1947">
      <c r="A1947" s="90">
        <v>44819.0</v>
      </c>
      <c r="B1947" s="90">
        <v>44819.0</v>
      </c>
      <c r="C1947" s="102">
        <v>2012.0</v>
      </c>
      <c r="D1947" s="103" t="s">
        <v>221</v>
      </c>
      <c r="E1947" s="102">
        <v>0.0</v>
      </c>
      <c r="F1947" s="103" t="s">
        <v>228</v>
      </c>
      <c r="G1947" s="102">
        <v>0.0</v>
      </c>
      <c r="H1947" s="103"/>
      <c r="I1947" s="103"/>
      <c r="J1947" s="103"/>
      <c r="K1947" s="104">
        <v>2.1184</v>
      </c>
      <c r="L1947" s="89">
        <v>1.2986</v>
      </c>
      <c r="M1947" s="88"/>
      <c r="N1947" s="88"/>
    </row>
    <row r="1948">
      <c r="A1948" s="90">
        <v>44819.0</v>
      </c>
      <c r="B1948" s="90">
        <v>44819.0</v>
      </c>
      <c r="C1948" s="102">
        <v>2020.0</v>
      </c>
      <c r="D1948" s="103" t="s">
        <v>221</v>
      </c>
      <c r="E1948" s="102">
        <v>1.0</v>
      </c>
      <c r="F1948" s="103" t="s">
        <v>227</v>
      </c>
      <c r="G1948" s="102">
        <v>1.0</v>
      </c>
      <c r="H1948" s="103"/>
      <c r="I1948" s="103"/>
      <c r="J1948" s="103"/>
      <c r="K1948" s="104">
        <v>0.9141</v>
      </c>
      <c r="L1948" s="89">
        <v>0.5628</v>
      </c>
      <c r="M1948" s="88"/>
      <c r="N1948" s="88"/>
    </row>
    <row r="1949">
      <c r="A1949" s="90">
        <v>44820.0</v>
      </c>
      <c r="B1949" s="90">
        <v>44820.0</v>
      </c>
      <c r="C1949" s="102">
        <v>2020.0</v>
      </c>
      <c r="D1949" s="103" t="s">
        <v>221</v>
      </c>
      <c r="E1949" s="102">
        <v>0.0</v>
      </c>
      <c r="F1949" s="103" t="s">
        <v>227</v>
      </c>
      <c r="G1949" s="102">
        <v>0.0</v>
      </c>
      <c r="H1949" s="103"/>
      <c r="I1949" s="103"/>
      <c r="J1949" s="103"/>
      <c r="K1949" s="104">
        <v>0.6234</v>
      </c>
      <c r="L1949" s="89">
        <v>0.3852</v>
      </c>
      <c r="M1949" s="88"/>
      <c r="N1949" s="88"/>
    </row>
    <row r="1950">
      <c r="A1950" s="90">
        <v>44820.0</v>
      </c>
      <c r="B1950" s="90">
        <v>44820.0</v>
      </c>
      <c r="C1950" s="102">
        <v>2020.0</v>
      </c>
      <c r="D1950" s="103" t="s">
        <v>221</v>
      </c>
      <c r="E1950" s="102">
        <v>0.0</v>
      </c>
      <c r="F1950" s="103" t="s">
        <v>228</v>
      </c>
      <c r="G1950" s="102">
        <v>0.0</v>
      </c>
      <c r="H1950" s="103"/>
      <c r="I1950" s="103"/>
      <c r="J1950" s="103"/>
      <c r="K1950" s="104">
        <v>1.8085</v>
      </c>
      <c r="L1950" s="89">
        <v>1.0993</v>
      </c>
      <c r="M1950" s="88"/>
      <c r="N1950" s="88"/>
    </row>
    <row r="1951">
      <c r="A1951" s="90">
        <v>44820.0</v>
      </c>
      <c r="B1951" s="90">
        <v>44820.0</v>
      </c>
      <c r="C1951" s="102">
        <v>2007.0</v>
      </c>
      <c r="D1951" s="103" t="s">
        <v>221</v>
      </c>
      <c r="E1951" s="102">
        <v>1.0</v>
      </c>
      <c r="F1951" s="103" t="s">
        <v>227</v>
      </c>
      <c r="G1951" s="102">
        <v>1.0</v>
      </c>
      <c r="H1951" s="103"/>
      <c r="I1951" s="103"/>
      <c r="J1951" s="103"/>
      <c r="K1951" s="104">
        <v>0.6704</v>
      </c>
      <c r="L1951" s="89">
        <v>0.4327</v>
      </c>
      <c r="M1951" s="88"/>
      <c r="N1951" s="88"/>
    </row>
    <row r="1952">
      <c r="A1952" s="90">
        <v>44820.0</v>
      </c>
      <c r="B1952" s="90">
        <v>44820.0</v>
      </c>
      <c r="C1952" s="102">
        <v>2007.0</v>
      </c>
      <c r="D1952" s="103" t="s">
        <v>221</v>
      </c>
      <c r="E1952" s="102">
        <v>0.0</v>
      </c>
      <c r="F1952" s="103" t="s">
        <v>227</v>
      </c>
      <c r="G1952" s="102">
        <v>0.0</v>
      </c>
      <c r="H1952" s="103"/>
      <c r="I1952" s="103"/>
      <c r="J1952" s="103"/>
      <c r="K1952" s="104">
        <v>0.626</v>
      </c>
      <c r="L1952" s="89">
        <v>0.4193</v>
      </c>
      <c r="M1952" s="88"/>
      <c r="N1952" s="88"/>
    </row>
    <row r="1953">
      <c r="A1953" s="90">
        <v>44820.0</v>
      </c>
      <c r="B1953" s="90">
        <v>44820.0</v>
      </c>
      <c r="C1953" s="102">
        <v>2007.0</v>
      </c>
      <c r="D1953" s="103" t="s">
        <v>221</v>
      </c>
      <c r="E1953" s="102">
        <v>0.0</v>
      </c>
      <c r="F1953" s="103" t="s">
        <v>228</v>
      </c>
      <c r="G1953" s="102">
        <v>0.0</v>
      </c>
      <c r="H1953" s="103"/>
      <c r="I1953" s="103"/>
      <c r="J1953" s="103"/>
      <c r="K1953" s="104">
        <v>3.1685</v>
      </c>
      <c r="L1953" s="89">
        <v>2.0004</v>
      </c>
      <c r="M1953" s="88"/>
      <c r="N1953" s="88"/>
    </row>
    <row r="1954">
      <c r="A1954" s="90">
        <v>44820.0</v>
      </c>
      <c r="B1954" s="90">
        <v>44820.0</v>
      </c>
      <c r="C1954" s="102">
        <v>1478.0</v>
      </c>
      <c r="D1954" s="103" t="s">
        <v>221</v>
      </c>
      <c r="E1954" s="102">
        <v>0.0</v>
      </c>
      <c r="F1954" s="103" t="s">
        <v>227</v>
      </c>
      <c r="G1954" s="102">
        <v>0.0</v>
      </c>
      <c r="H1954" s="103"/>
      <c r="I1954" s="103"/>
      <c r="J1954" s="103"/>
      <c r="K1954" s="104">
        <v>1.0607</v>
      </c>
      <c r="L1954" s="89">
        <v>0.5868</v>
      </c>
      <c r="M1954" s="88"/>
      <c r="N1954" s="88"/>
    </row>
    <row r="1955">
      <c r="A1955" s="90">
        <v>44820.0</v>
      </c>
      <c r="B1955" s="90">
        <v>44820.0</v>
      </c>
      <c r="C1955" s="102">
        <v>1478.0</v>
      </c>
      <c r="D1955" s="103" t="s">
        <v>221</v>
      </c>
      <c r="E1955" s="102">
        <v>1.0</v>
      </c>
      <c r="F1955" s="103" t="s">
        <v>227</v>
      </c>
      <c r="G1955" s="102">
        <v>1.0</v>
      </c>
      <c r="H1955" s="103"/>
      <c r="I1955" s="103"/>
      <c r="J1955" s="103"/>
      <c r="K1955" s="104">
        <v>1.0573</v>
      </c>
      <c r="L1955" s="89">
        <v>0.5653</v>
      </c>
      <c r="M1955" s="88"/>
      <c r="N1955" s="88"/>
    </row>
    <row r="1956">
      <c r="A1956" s="90">
        <v>44820.0</v>
      </c>
      <c r="B1956" s="90">
        <v>44820.0</v>
      </c>
      <c r="C1956" s="102">
        <v>1478.0</v>
      </c>
      <c r="D1956" s="103" t="s">
        <v>221</v>
      </c>
      <c r="E1956" s="102">
        <v>0.0</v>
      </c>
      <c r="F1956" s="103" t="s">
        <v>228</v>
      </c>
      <c r="G1956" s="102">
        <v>0.0</v>
      </c>
      <c r="H1956" s="103"/>
      <c r="I1956" s="103"/>
      <c r="J1956" s="103"/>
      <c r="K1956" s="104">
        <v>3.486</v>
      </c>
      <c r="L1956" s="89">
        <v>2.0777</v>
      </c>
      <c r="M1956" s="88"/>
      <c r="N1956" s="88"/>
    </row>
    <row r="1957">
      <c r="A1957" s="90">
        <v>44819.0</v>
      </c>
      <c r="B1957" s="90">
        <v>44819.0</v>
      </c>
      <c r="C1957" s="102">
        <v>2345.0</v>
      </c>
      <c r="D1957" s="103" t="s">
        <v>221</v>
      </c>
      <c r="E1957" s="102">
        <v>0.0</v>
      </c>
      <c r="F1957" s="103" t="s">
        <v>228</v>
      </c>
      <c r="G1957" s="102">
        <v>0.0</v>
      </c>
      <c r="H1957" s="103"/>
      <c r="I1957" s="103"/>
      <c r="J1957" s="103"/>
      <c r="K1957" s="104">
        <v>0.5576</v>
      </c>
      <c r="L1957" s="89">
        <v>0.3645</v>
      </c>
      <c r="M1957" s="88"/>
      <c r="N1957" s="88"/>
    </row>
    <row r="1958">
      <c r="A1958" s="90">
        <v>44819.0</v>
      </c>
      <c r="B1958" s="90">
        <v>44819.0</v>
      </c>
      <c r="C1958" s="102">
        <v>2345.0</v>
      </c>
      <c r="D1958" s="103" t="s">
        <v>221</v>
      </c>
      <c r="E1958" s="102">
        <v>0.0</v>
      </c>
      <c r="F1958" s="103" t="s">
        <v>227</v>
      </c>
      <c r="G1958" s="102">
        <v>0.0</v>
      </c>
      <c r="H1958" s="103"/>
      <c r="I1958" s="103"/>
      <c r="J1958" s="103"/>
      <c r="K1958" s="104">
        <v>0.0256</v>
      </c>
      <c r="L1958" s="89">
        <v>0.0161</v>
      </c>
      <c r="M1958" s="88"/>
      <c r="N1958" s="88"/>
    </row>
    <row r="1959">
      <c r="A1959" s="90">
        <v>44819.0</v>
      </c>
      <c r="B1959" s="90">
        <v>44819.0</v>
      </c>
      <c r="C1959" s="102">
        <v>2345.0</v>
      </c>
      <c r="D1959" s="103" t="s">
        <v>221</v>
      </c>
      <c r="E1959" s="102">
        <v>1.0</v>
      </c>
      <c r="F1959" s="103" t="s">
        <v>227</v>
      </c>
      <c r="G1959" s="102">
        <v>1.0</v>
      </c>
      <c r="H1959" s="103"/>
      <c r="I1959" s="103"/>
      <c r="J1959" s="103"/>
      <c r="K1959" s="104">
        <v>0.09969</v>
      </c>
      <c r="L1959" s="88"/>
      <c r="M1959" s="88"/>
      <c r="N1959" s="88" t="s">
        <v>268</v>
      </c>
    </row>
    <row r="1960">
      <c r="A1960" s="90">
        <v>44819.0</v>
      </c>
      <c r="B1960" s="90">
        <v>44819.0</v>
      </c>
      <c r="C1960" s="102">
        <v>2345.0</v>
      </c>
      <c r="D1960" s="103" t="s">
        <v>221</v>
      </c>
      <c r="E1960" s="102">
        <v>1.0</v>
      </c>
      <c r="F1960" s="103" t="s">
        <v>228</v>
      </c>
      <c r="G1960" s="102">
        <v>1.0</v>
      </c>
      <c r="H1960" s="103"/>
      <c r="I1960" s="103"/>
      <c r="J1960" s="103"/>
      <c r="K1960" s="104">
        <v>4.2118</v>
      </c>
      <c r="L1960" s="89">
        <v>2.8011</v>
      </c>
      <c r="M1960" s="88"/>
      <c r="N1960" s="88"/>
    </row>
    <row r="1961">
      <c r="A1961" s="90">
        <v>44819.0</v>
      </c>
      <c r="B1961" s="90">
        <v>44819.0</v>
      </c>
      <c r="C1961" s="102">
        <v>2301.0</v>
      </c>
      <c r="D1961" s="103" t="s">
        <v>221</v>
      </c>
      <c r="E1961" s="102">
        <v>1.0</v>
      </c>
      <c r="F1961" s="103" t="s">
        <v>227</v>
      </c>
      <c r="G1961" s="102">
        <v>1.0</v>
      </c>
      <c r="H1961" s="103"/>
      <c r="I1961" s="103"/>
      <c r="J1961" s="103"/>
      <c r="K1961" s="104">
        <v>0.8362</v>
      </c>
      <c r="L1961" s="89">
        <v>0.5566</v>
      </c>
      <c r="M1961" s="88"/>
      <c r="N1961" s="88"/>
    </row>
    <row r="1962">
      <c r="A1962" s="90">
        <v>44819.0</v>
      </c>
      <c r="B1962" s="90">
        <v>44819.0</v>
      </c>
      <c r="C1962" s="102">
        <v>2301.0</v>
      </c>
      <c r="D1962" s="103" t="s">
        <v>221</v>
      </c>
      <c r="E1962" s="102">
        <v>1.0</v>
      </c>
      <c r="F1962" s="103" t="s">
        <v>228</v>
      </c>
      <c r="G1962" s="102">
        <v>1.0</v>
      </c>
      <c r="H1962" s="103"/>
      <c r="I1962" s="103"/>
      <c r="J1962" s="103"/>
      <c r="K1962" s="104">
        <v>4.4055</v>
      </c>
      <c r="L1962" s="89">
        <v>2.9703</v>
      </c>
      <c r="M1962" s="88"/>
      <c r="N1962" s="88"/>
    </row>
    <row r="1963">
      <c r="A1963" s="90">
        <v>44819.0</v>
      </c>
      <c r="B1963" s="90">
        <v>44819.0</v>
      </c>
      <c r="C1963" s="102">
        <v>2301.0</v>
      </c>
      <c r="D1963" s="103" t="s">
        <v>221</v>
      </c>
      <c r="E1963" s="102">
        <v>0.0</v>
      </c>
      <c r="F1963" s="103" t="s">
        <v>228</v>
      </c>
      <c r="G1963" s="102">
        <v>0.0</v>
      </c>
      <c r="H1963" s="103"/>
      <c r="I1963" s="103"/>
      <c r="J1963" s="103"/>
      <c r="K1963" s="104">
        <v>3.1875</v>
      </c>
      <c r="L1963" s="89">
        <v>2.0616</v>
      </c>
      <c r="M1963" s="88"/>
      <c r="N1963" s="88"/>
    </row>
    <row r="1964">
      <c r="A1964" s="90">
        <v>44819.0</v>
      </c>
      <c r="B1964" s="90">
        <v>44819.0</v>
      </c>
      <c r="C1964" s="102">
        <v>2014.0</v>
      </c>
      <c r="D1964" s="103" t="s">
        <v>221</v>
      </c>
      <c r="E1964" s="102">
        <v>1.0</v>
      </c>
      <c r="F1964" s="103" t="s">
        <v>227</v>
      </c>
      <c r="G1964" s="102">
        <v>1.0</v>
      </c>
      <c r="H1964" s="103"/>
      <c r="I1964" s="103"/>
      <c r="J1964" s="103"/>
      <c r="K1964" s="104">
        <v>0.8061</v>
      </c>
      <c r="L1964" s="89">
        <v>0.5426</v>
      </c>
      <c r="M1964" s="88"/>
      <c r="N1964" s="88"/>
    </row>
    <row r="1965">
      <c r="A1965" s="90">
        <v>44819.0</v>
      </c>
      <c r="B1965" s="90">
        <v>44819.0</v>
      </c>
      <c r="C1965" s="102">
        <v>2014.0</v>
      </c>
      <c r="D1965" s="103" t="s">
        <v>221</v>
      </c>
      <c r="E1965" s="102">
        <v>0.0</v>
      </c>
      <c r="F1965" s="103" t="s">
        <v>228</v>
      </c>
      <c r="G1965" s="102">
        <v>0.0</v>
      </c>
      <c r="H1965" s="103"/>
      <c r="I1965" s="103"/>
      <c r="J1965" s="103"/>
      <c r="K1965" s="104">
        <v>3.2613</v>
      </c>
      <c r="L1965" s="89">
        <v>2.0723</v>
      </c>
      <c r="M1965" s="88"/>
      <c r="N1965" s="88"/>
    </row>
    <row r="1966">
      <c r="A1966" s="90">
        <v>44819.0</v>
      </c>
      <c r="B1966" s="90">
        <v>44819.0</v>
      </c>
      <c r="C1966" s="102">
        <v>2015.0</v>
      </c>
      <c r="D1966" s="103" t="s">
        <v>221</v>
      </c>
      <c r="E1966" s="102">
        <v>1.0</v>
      </c>
      <c r="F1966" s="103" t="s">
        <v>227</v>
      </c>
      <c r="G1966" s="102">
        <v>1.0</v>
      </c>
      <c r="H1966" s="103"/>
      <c r="I1966" s="103"/>
      <c r="J1966" s="103"/>
      <c r="K1966" s="104">
        <v>1.176</v>
      </c>
      <c r="L1966" s="89">
        <v>0.7711</v>
      </c>
      <c r="M1966" s="88"/>
      <c r="N1966" s="88"/>
    </row>
    <row r="1967">
      <c r="A1967" s="90">
        <v>44819.0</v>
      </c>
      <c r="B1967" s="90">
        <v>44819.0</v>
      </c>
      <c r="C1967" s="102">
        <v>2015.0</v>
      </c>
      <c r="D1967" s="103" t="s">
        <v>221</v>
      </c>
      <c r="E1967" s="102">
        <v>0.0</v>
      </c>
      <c r="F1967" s="103" t="s">
        <v>227</v>
      </c>
      <c r="G1967" s="102">
        <v>0.0</v>
      </c>
      <c r="H1967" s="103"/>
      <c r="I1967" s="103"/>
      <c r="J1967" s="103"/>
      <c r="K1967" s="104">
        <v>0.7683</v>
      </c>
      <c r="L1967" s="89">
        <v>0.5277</v>
      </c>
      <c r="M1967" s="88"/>
      <c r="N1967" s="88"/>
    </row>
    <row r="1968">
      <c r="A1968" s="90">
        <v>44817.0</v>
      </c>
      <c r="B1968" s="90">
        <v>44817.0</v>
      </c>
      <c r="C1968" s="102">
        <v>2015.0</v>
      </c>
      <c r="D1968" s="103" t="s">
        <v>221</v>
      </c>
      <c r="E1968" s="102">
        <v>0.0</v>
      </c>
      <c r="F1968" s="103" t="s">
        <v>228</v>
      </c>
      <c r="G1968" s="102">
        <v>0.0</v>
      </c>
      <c r="H1968" s="103"/>
      <c r="I1968" s="103"/>
      <c r="J1968" s="103"/>
      <c r="K1968" s="104">
        <v>3.056</v>
      </c>
      <c r="L1968" s="89">
        <v>1.9184</v>
      </c>
      <c r="M1968" s="88"/>
      <c r="N1968" s="88"/>
    </row>
    <row r="1969">
      <c r="A1969" s="90">
        <v>44817.0</v>
      </c>
      <c r="B1969" s="90">
        <v>44817.0</v>
      </c>
      <c r="C1969" s="102">
        <v>2372.0</v>
      </c>
      <c r="D1969" s="103" t="s">
        <v>221</v>
      </c>
      <c r="E1969" s="102">
        <v>1.0</v>
      </c>
      <c r="F1969" s="103" t="s">
        <v>227</v>
      </c>
      <c r="G1969" s="102">
        <v>1.0</v>
      </c>
      <c r="H1969" s="103"/>
      <c r="I1969" s="103"/>
      <c r="J1969" s="103"/>
      <c r="K1969" s="104">
        <v>1.4712</v>
      </c>
      <c r="L1969" s="89">
        <v>1.0143</v>
      </c>
      <c r="M1969" s="88"/>
      <c r="N1969" s="88"/>
    </row>
    <row r="1970">
      <c r="A1970" s="90">
        <v>44819.0</v>
      </c>
      <c r="B1970" s="90">
        <v>44819.0</v>
      </c>
      <c r="C1970" s="102">
        <v>2372.0</v>
      </c>
      <c r="D1970" s="103" t="s">
        <v>221</v>
      </c>
      <c r="E1970" s="102">
        <v>0.0</v>
      </c>
      <c r="F1970" s="103" t="s">
        <v>227</v>
      </c>
      <c r="G1970" s="102">
        <v>0.0</v>
      </c>
      <c r="H1970" s="103"/>
      <c r="I1970" s="103"/>
      <c r="J1970" s="103"/>
      <c r="K1970" s="104">
        <v>0.5185</v>
      </c>
      <c r="L1970" s="89">
        <v>0.3472</v>
      </c>
      <c r="M1970" s="88"/>
      <c r="N1970" s="88"/>
    </row>
    <row r="1971">
      <c r="A1971" s="90">
        <v>44819.0</v>
      </c>
      <c r="B1971" s="90">
        <v>44819.0</v>
      </c>
      <c r="C1971" s="102">
        <v>2372.0</v>
      </c>
      <c r="D1971" s="103" t="s">
        <v>221</v>
      </c>
      <c r="E1971" s="102">
        <v>0.0</v>
      </c>
      <c r="F1971" s="103" t="s">
        <v>228</v>
      </c>
      <c r="G1971" s="102">
        <v>0.0</v>
      </c>
      <c r="H1971" s="103"/>
      <c r="I1971" s="103"/>
      <c r="J1971" s="103"/>
      <c r="K1971" s="104">
        <v>2.0382</v>
      </c>
      <c r="L1971" s="89">
        <v>1.3233</v>
      </c>
      <c r="M1971" s="88"/>
      <c r="N1971" s="88"/>
    </row>
    <row r="1972">
      <c r="A1972" s="90">
        <v>44819.0</v>
      </c>
      <c r="B1972" s="90">
        <v>44819.0</v>
      </c>
      <c r="C1972" s="102">
        <v>2081.0</v>
      </c>
      <c r="D1972" s="103" t="s">
        <v>221</v>
      </c>
      <c r="E1972" s="102">
        <v>1.0</v>
      </c>
      <c r="F1972" s="103" t="s">
        <v>227</v>
      </c>
      <c r="G1972" s="102">
        <v>1.0</v>
      </c>
      <c r="H1972" s="103"/>
      <c r="I1972" s="103"/>
      <c r="J1972" s="103"/>
      <c r="K1972" s="104">
        <v>0.4337</v>
      </c>
      <c r="L1972" s="89">
        <v>0.2943</v>
      </c>
      <c r="M1972" s="88"/>
      <c r="N1972" s="88"/>
    </row>
    <row r="1973">
      <c r="A1973" s="90">
        <v>44819.0</v>
      </c>
      <c r="B1973" s="90">
        <v>44819.0</v>
      </c>
      <c r="C1973" s="102">
        <v>2081.0</v>
      </c>
      <c r="D1973" s="103" t="s">
        <v>221</v>
      </c>
      <c r="E1973" s="102">
        <v>0.0</v>
      </c>
      <c r="F1973" s="103" t="s">
        <v>227</v>
      </c>
      <c r="G1973" s="102">
        <v>0.0</v>
      </c>
      <c r="H1973" s="103"/>
      <c r="I1973" s="103"/>
      <c r="J1973" s="103"/>
      <c r="K1973" s="104">
        <v>0.5706</v>
      </c>
      <c r="L1973" s="89">
        <v>0.393</v>
      </c>
      <c r="M1973" s="88"/>
      <c r="N1973" s="88"/>
    </row>
    <row r="1974">
      <c r="A1974" s="90">
        <v>44819.0</v>
      </c>
      <c r="B1974" s="90">
        <v>44819.0</v>
      </c>
      <c r="C1974" s="102">
        <v>2081.0</v>
      </c>
      <c r="D1974" s="103" t="s">
        <v>221</v>
      </c>
      <c r="E1974" s="102">
        <v>0.0</v>
      </c>
      <c r="F1974" s="103" t="s">
        <v>228</v>
      </c>
      <c r="G1974" s="102">
        <v>0.0</v>
      </c>
      <c r="H1974" s="103"/>
      <c r="I1974" s="103"/>
      <c r="J1974" s="103"/>
      <c r="K1974" s="104">
        <v>0.9909</v>
      </c>
      <c r="L1974" s="89">
        <v>0.6484</v>
      </c>
      <c r="M1974" s="88"/>
      <c r="N1974" s="88"/>
    </row>
    <row r="1975">
      <c r="A1975" s="90">
        <v>44819.0</v>
      </c>
      <c r="B1975" s="90">
        <v>44819.0</v>
      </c>
      <c r="C1975" s="102">
        <v>2024.0</v>
      </c>
      <c r="D1975" s="103" t="s">
        <v>221</v>
      </c>
      <c r="E1975" s="102">
        <v>1.0</v>
      </c>
      <c r="F1975" s="103" t="s">
        <v>227</v>
      </c>
      <c r="G1975" s="102">
        <v>1.0</v>
      </c>
      <c r="H1975" s="103"/>
      <c r="I1975" s="103"/>
      <c r="J1975" s="103"/>
      <c r="K1975" s="104">
        <v>0.7338</v>
      </c>
      <c r="L1975" s="89">
        <v>0.5243</v>
      </c>
      <c r="M1975" s="88"/>
      <c r="N1975" s="88"/>
    </row>
    <row r="1976">
      <c r="A1976" s="90">
        <v>44819.0</v>
      </c>
      <c r="B1976" s="90">
        <v>44819.0</v>
      </c>
      <c r="C1976" s="102">
        <v>2024.0</v>
      </c>
      <c r="D1976" s="103" t="s">
        <v>221</v>
      </c>
      <c r="E1976" s="102">
        <v>0.0</v>
      </c>
      <c r="F1976" s="103" t="s">
        <v>227</v>
      </c>
      <c r="G1976" s="102">
        <v>0.0</v>
      </c>
      <c r="H1976" s="103"/>
      <c r="I1976" s="103"/>
      <c r="J1976" s="103"/>
      <c r="K1976" s="104">
        <v>0.8009</v>
      </c>
      <c r="L1976" s="89">
        <v>0.5639</v>
      </c>
      <c r="M1976" s="88"/>
      <c r="N1976" s="88"/>
    </row>
    <row r="1977">
      <c r="A1977" s="90">
        <v>44819.0</v>
      </c>
      <c r="B1977" s="90">
        <v>44819.0</v>
      </c>
      <c r="C1977" s="102">
        <v>2024.0</v>
      </c>
      <c r="D1977" s="103" t="s">
        <v>221</v>
      </c>
      <c r="E1977" s="102">
        <v>0.0</v>
      </c>
      <c r="F1977" s="103" t="s">
        <v>228</v>
      </c>
      <c r="G1977" s="102">
        <v>0.0</v>
      </c>
      <c r="H1977" s="103"/>
      <c r="I1977" s="103"/>
      <c r="J1977" s="103"/>
      <c r="K1977" s="104">
        <v>4.0378</v>
      </c>
      <c r="L1977" s="89">
        <v>2.6679</v>
      </c>
      <c r="M1977" s="88"/>
      <c r="N1977" s="88"/>
    </row>
    <row r="1978">
      <c r="A1978" s="90">
        <v>44819.0</v>
      </c>
      <c r="B1978" s="90">
        <v>44819.0</v>
      </c>
      <c r="C1978" s="102">
        <v>2028.0</v>
      </c>
      <c r="D1978" s="103" t="s">
        <v>221</v>
      </c>
      <c r="E1978" s="102">
        <v>1.0</v>
      </c>
      <c r="F1978" s="103" t="s">
        <v>227</v>
      </c>
      <c r="G1978" s="102">
        <v>1.0</v>
      </c>
      <c r="H1978" s="103"/>
      <c r="I1978" s="103"/>
      <c r="J1978" s="103"/>
      <c r="K1978" s="104">
        <v>1.1147</v>
      </c>
      <c r="L1978" s="89">
        <v>0.7512</v>
      </c>
      <c r="M1978" s="88"/>
      <c r="N1978" s="88"/>
    </row>
    <row r="1979">
      <c r="A1979" s="90">
        <v>44819.0</v>
      </c>
      <c r="B1979" s="90">
        <v>44819.0</v>
      </c>
      <c r="C1979" s="102">
        <v>2028.0</v>
      </c>
      <c r="D1979" s="103" t="s">
        <v>221</v>
      </c>
      <c r="E1979" s="102">
        <v>0.0</v>
      </c>
      <c r="F1979" s="103" t="s">
        <v>227</v>
      </c>
      <c r="G1979" s="102">
        <v>0.0</v>
      </c>
      <c r="H1979" s="103"/>
      <c r="I1979" s="103"/>
      <c r="J1979" s="103"/>
      <c r="K1979" s="104">
        <v>0.8051</v>
      </c>
      <c r="L1979" s="89">
        <v>0.5491</v>
      </c>
      <c r="M1979" s="88"/>
      <c r="N1979" s="88"/>
    </row>
    <row r="1980">
      <c r="A1980" s="90">
        <v>44819.0</v>
      </c>
      <c r="B1980" s="90">
        <v>44819.0</v>
      </c>
      <c r="C1980" s="102">
        <v>2028.0</v>
      </c>
      <c r="D1980" s="103" t="s">
        <v>221</v>
      </c>
      <c r="E1980" s="102">
        <v>0.0</v>
      </c>
      <c r="F1980" s="103" t="s">
        <v>228</v>
      </c>
      <c r="G1980" s="102">
        <v>0.0</v>
      </c>
      <c r="H1980" s="103"/>
      <c r="I1980" s="103"/>
      <c r="J1980" s="103"/>
      <c r="K1980" s="104">
        <v>2.4118</v>
      </c>
      <c r="L1980" s="89">
        <v>1.5801</v>
      </c>
      <c r="M1980" s="88"/>
      <c r="N1980" s="88"/>
    </row>
    <row r="1981">
      <c r="A1981" s="90">
        <v>44819.0</v>
      </c>
      <c r="B1981" s="90">
        <v>44819.0</v>
      </c>
      <c r="C1981" s="102">
        <v>2301.0</v>
      </c>
      <c r="D1981" s="103" t="s">
        <v>221</v>
      </c>
      <c r="E1981" s="102">
        <v>0.0</v>
      </c>
      <c r="F1981" s="103" t="s">
        <v>227</v>
      </c>
      <c r="G1981" s="102">
        <v>0.0</v>
      </c>
      <c r="H1981" s="103"/>
      <c r="I1981" s="103"/>
      <c r="J1981" s="103"/>
      <c r="K1981" s="104">
        <v>0.2231</v>
      </c>
      <c r="L1981" s="89">
        <v>0.1451</v>
      </c>
      <c r="M1981" s="88"/>
      <c r="N1981" s="88"/>
    </row>
    <row r="1982">
      <c r="A1982" s="90">
        <v>44819.0</v>
      </c>
      <c r="B1982" s="90">
        <v>44819.0</v>
      </c>
      <c r="C1982" s="102">
        <v>2014.0</v>
      </c>
      <c r="D1982" s="103" t="s">
        <v>221</v>
      </c>
      <c r="E1982" s="102">
        <v>0.0</v>
      </c>
      <c r="F1982" s="103" t="s">
        <v>227</v>
      </c>
      <c r="G1982" s="102">
        <v>0.0</v>
      </c>
      <c r="H1982" s="103"/>
      <c r="I1982" s="103"/>
      <c r="J1982" s="103"/>
      <c r="K1982" s="106"/>
      <c r="L1982" s="89">
        <v>0.6911</v>
      </c>
      <c r="M1982" s="88"/>
      <c r="N1982" s="88" t="s">
        <v>269</v>
      </c>
    </row>
    <row r="1983">
      <c r="A1983" s="90">
        <v>44791.0</v>
      </c>
      <c r="B1983" s="90">
        <v>44791.0</v>
      </c>
      <c r="C1983" s="102">
        <v>2330.0</v>
      </c>
      <c r="D1983" s="103" t="s">
        <v>226</v>
      </c>
      <c r="E1983" s="102">
        <v>1.0</v>
      </c>
      <c r="F1983" s="103" t="s">
        <v>227</v>
      </c>
      <c r="G1983" s="102">
        <v>1.0</v>
      </c>
      <c r="H1983" s="103"/>
      <c r="I1983" s="103"/>
      <c r="J1983" s="103"/>
      <c r="K1983" s="104">
        <v>1.62</v>
      </c>
      <c r="L1983" s="89">
        <v>1.0873</v>
      </c>
      <c r="M1983" s="88"/>
      <c r="N1983" s="88"/>
    </row>
    <row r="1984">
      <c r="A1984" s="90">
        <v>44791.0</v>
      </c>
      <c r="B1984" s="90">
        <v>44791.0</v>
      </c>
      <c r="C1984" s="102">
        <v>2352.0</v>
      </c>
      <c r="D1984" s="103" t="s">
        <v>226</v>
      </c>
      <c r="E1984" s="102">
        <v>1.0</v>
      </c>
      <c r="F1984" s="103" t="s">
        <v>228</v>
      </c>
      <c r="G1984" s="102">
        <v>1.0</v>
      </c>
      <c r="H1984" s="103"/>
      <c r="I1984" s="103"/>
      <c r="J1984" s="103"/>
      <c r="K1984" s="104">
        <v>1.71</v>
      </c>
      <c r="L1984" s="89">
        <v>1.2176</v>
      </c>
      <c r="M1984" s="88"/>
      <c r="N1984" s="88"/>
    </row>
    <row r="1985">
      <c r="A1985" s="90">
        <v>44791.0</v>
      </c>
      <c r="B1985" s="90">
        <v>44791.0</v>
      </c>
      <c r="C1985" s="102">
        <v>2330.0</v>
      </c>
      <c r="D1985" s="103" t="s">
        <v>226</v>
      </c>
      <c r="E1985" s="102">
        <v>0.0</v>
      </c>
      <c r="F1985" s="103" t="s">
        <v>227</v>
      </c>
      <c r="G1985" s="102">
        <v>0.0</v>
      </c>
      <c r="H1985" s="103"/>
      <c r="I1985" s="103"/>
      <c r="J1985" s="103"/>
      <c r="K1985" s="104">
        <v>0.27</v>
      </c>
      <c r="L1985" s="89">
        <v>0.1857</v>
      </c>
      <c r="M1985" s="88"/>
      <c r="N1985" s="88"/>
    </row>
    <row r="1986">
      <c r="A1986" s="90">
        <v>44791.0</v>
      </c>
      <c r="B1986" s="90">
        <v>44791.0</v>
      </c>
      <c r="C1986" s="102">
        <v>2352.0</v>
      </c>
      <c r="D1986" s="103" t="s">
        <v>226</v>
      </c>
      <c r="E1986" s="102">
        <v>1.0</v>
      </c>
      <c r="F1986" s="103" t="s">
        <v>227</v>
      </c>
      <c r="G1986" s="102">
        <v>1.0</v>
      </c>
      <c r="H1986" s="103"/>
      <c r="I1986" s="103"/>
      <c r="J1986" s="103"/>
      <c r="K1986" s="104">
        <v>0.6</v>
      </c>
      <c r="L1986" s="89">
        <v>0.4115</v>
      </c>
      <c r="M1986" s="88"/>
      <c r="N1986" s="88"/>
    </row>
    <row r="1987">
      <c r="A1987" s="90">
        <v>44791.0</v>
      </c>
      <c r="B1987" s="90">
        <v>44791.0</v>
      </c>
      <c r="C1987" s="102">
        <v>2371.0</v>
      </c>
      <c r="D1987" s="103" t="s">
        <v>226</v>
      </c>
      <c r="E1987" s="102">
        <v>0.0</v>
      </c>
      <c r="F1987" s="103" t="s">
        <v>228</v>
      </c>
      <c r="G1987" s="102">
        <v>0.0</v>
      </c>
      <c r="H1987" s="103"/>
      <c r="I1987" s="103"/>
      <c r="J1987" s="103"/>
      <c r="K1987" s="104">
        <v>2.15</v>
      </c>
      <c r="L1987" s="89">
        <v>1.3027</v>
      </c>
      <c r="M1987" s="88"/>
      <c r="N1987" s="88"/>
    </row>
    <row r="1988">
      <c r="A1988" s="90">
        <v>44791.0</v>
      </c>
      <c r="B1988" s="90">
        <v>44791.0</v>
      </c>
      <c r="C1988" s="102">
        <v>2352.0</v>
      </c>
      <c r="D1988" s="103" t="s">
        <v>226</v>
      </c>
      <c r="E1988" s="102">
        <v>0.0</v>
      </c>
      <c r="F1988" s="103" t="s">
        <v>228</v>
      </c>
      <c r="G1988" s="102">
        <v>0.0</v>
      </c>
      <c r="H1988" s="103"/>
      <c r="I1988" s="103"/>
      <c r="J1988" s="103"/>
      <c r="K1988" s="104">
        <v>0.95</v>
      </c>
      <c r="L1988" s="89">
        <v>0.6102</v>
      </c>
      <c r="M1988" s="88"/>
      <c r="N1988" s="88"/>
    </row>
    <row r="1989">
      <c r="A1989" s="90">
        <v>44791.0</v>
      </c>
      <c r="B1989" s="90">
        <v>44791.0</v>
      </c>
      <c r="C1989" s="102">
        <v>2378.0</v>
      </c>
      <c r="D1989" s="103" t="s">
        <v>226</v>
      </c>
      <c r="E1989" s="102">
        <v>0.0</v>
      </c>
      <c r="F1989" s="103" t="s">
        <v>228</v>
      </c>
      <c r="G1989" s="102">
        <v>0.0</v>
      </c>
      <c r="H1989" s="103"/>
      <c r="I1989" s="103"/>
      <c r="J1989" s="103"/>
      <c r="K1989" s="104">
        <v>1.77</v>
      </c>
      <c r="L1989" s="89">
        <v>1.0953</v>
      </c>
      <c r="M1989" s="88"/>
      <c r="N1989" s="88"/>
    </row>
    <row r="1990">
      <c r="A1990" s="90">
        <v>44791.0</v>
      </c>
      <c r="B1990" s="90">
        <v>44791.0</v>
      </c>
      <c r="C1990" s="102">
        <v>2381.0</v>
      </c>
      <c r="D1990" s="103" t="s">
        <v>226</v>
      </c>
      <c r="E1990" s="102">
        <v>0.0</v>
      </c>
      <c r="F1990" s="103" t="s">
        <v>227</v>
      </c>
      <c r="G1990" s="102">
        <v>0.0</v>
      </c>
      <c r="H1990" s="103"/>
      <c r="I1990" s="103"/>
      <c r="J1990" s="103"/>
      <c r="K1990" s="104">
        <v>0.34</v>
      </c>
      <c r="L1990" s="89">
        <v>0.2278</v>
      </c>
      <c r="M1990" s="88"/>
      <c r="N1990" s="88"/>
    </row>
    <row r="1991">
      <c r="A1991" s="90">
        <v>44791.0</v>
      </c>
      <c r="B1991" s="90">
        <v>44791.0</v>
      </c>
      <c r="C1991" s="102">
        <v>2371.0</v>
      </c>
      <c r="D1991" s="103" t="s">
        <v>226</v>
      </c>
      <c r="E1991" s="102">
        <v>1.0</v>
      </c>
      <c r="F1991" s="103" t="s">
        <v>227</v>
      </c>
      <c r="G1991" s="102">
        <v>1.0</v>
      </c>
      <c r="H1991" s="103"/>
      <c r="I1991" s="103"/>
      <c r="J1991" s="103"/>
      <c r="K1991" s="104">
        <v>1.09</v>
      </c>
      <c r="L1991" s="89">
        <v>0.6855</v>
      </c>
      <c r="M1991" s="88"/>
      <c r="N1991" s="88"/>
    </row>
    <row r="1992">
      <c r="A1992" s="90">
        <v>44791.0</v>
      </c>
      <c r="B1992" s="90">
        <v>44791.0</v>
      </c>
      <c r="C1992" s="102">
        <v>2381.0</v>
      </c>
      <c r="D1992" s="103" t="s">
        <v>226</v>
      </c>
      <c r="E1992" s="102">
        <v>0.0</v>
      </c>
      <c r="F1992" s="103" t="s">
        <v>228</v>
      </c>
      <c r="G1992" s="102">
        <v>0.0</v>
      </c>
      <c r="H1992" s="103"/>
      <c r="I1992" s="103"/>
      <c r="J1992" s="103"/>
      <c r="K1992" s="104">
        <v>1.8</v>
      </c>
      <c r="L1992" s="89">
        <v>1.1135</v>
      </c>
      <c r="M1992" s="88"/>
      <c r="N1992" s="88"/>
    </row>
    <row r="1993">
      <c r="A1993" s="90">
        <v>44791.0</v>
      </c>
      <c r="B1993" s="90">
        <v>44791.0</v>
      </c>
      <c r="C1993" s="102">
        <v>2352.0</v>
      </c>
      <c r="D1993" s="103" t="s">
        <v>226</v>
      </c>
      <c r="E1993" s="102">
        <v>0.0</v>
      </c>
      <c r="F1993" s="103" t="s">
        <v>227</v>
      </c>
      <c r="G1993" s="102">
        <v>0.0</v>
      </c>
      <c r="H1993" s="103"/>
      <c r="I1993" s="103"/>
      <c r="J1993" s="103"/>
      <c r="K1993" s="104">
        <v>0.05</v>
      </c>
      <c r="L1993" s="89">
        <v>0.0352</v>
      </c>
      <c r="M1993" s="88"/>
      <c r="N1993" s="88"/>
    </row>
    <row r="1994">
      <c r="A1994" s="90">
        <v>44791.0</v>
      </c>
      <c r="B1994" s="90">
        <v>44791.0</v>
      </c>
      <c r="C1994" s="102">
        <v>2377.0</v>
      </c>
      <c r="D1994" s="103" t="s">
        <v>226</v>
      </c>
      <c r="E1994" s="102">
        <v>0.0</v>
      </c>
      <c r="F1994" s="103" t="s">
        <v>227</v>
      </c>
      <c r="G1994" s="102">
        <v>0.0</v>
      </c>
      <c r="H1994" s="103"/>
      <c r="I1994" s="103"/>
      <c r="J1994" s="103"/>
      <c r="K1994" s="104">
        <v>0.18</v>
      </c>
      <c r="L1994" s="89">
        <v>0.1026</v>
      </c>
      <c r="M1994" s="88"/>
      <c r="N1994" s="88"/>
    </row>
    <row r="1995">
      <c r="A1995" s="90">
        <v>44791.0</v>
      </c>
      <c r="B1995" s="90">
        <v>44791.0</v>
      </c>
      <c r="C1995" s="102">
        <v>2082.0</v>
      </c>
      <c r="D1995" s="103" t="s">
        <v>226</v>
      </c>
      <c r="E1995" s="102">
        <v>0.0</v>
      </c>
      <c r="F1995" s="103" t="s">
        <v>227</v>
      </c>
      <c r="G1995" s="102">
        <v>0.0</v>
      </c>
      <c r="H1995" s="103"/>
      <c r="I1995" s="103"/>
      <c r="J1995" s="103"/>
      <c r="K1995" s="104">
        <v>0.25</v>
      </c>
      <c r="L1995" s="89">
        <v>0.1674</v>
      </c>
      <c r="M1995" s="88"/>
      <c r="N1995" s="88"/>
    </row>
    <row r="1996">
      <c r="A1996" s="90">
        <v>44791.0</v>
      </c>
      <c r="B1996" s="90">
        <v>44791.0</v>
      </c>
      <c r="C1996" s="102">
        <v>2365.0</v>
      </c>
      <c r="D1996" s="103" t="s">
        <v>226</v>
      </c>
      <c r="E1996" s="102">
        <v>0.0</v>
      </c>
      <c r="F1996" s="103" t="s">
        <v>228</v>
      </c>
      <c r="G1996" s="102">
        <v>0.0</v>
      </c>
      <c r="H1996" s="103"/>
      <c r="I1996" s="103"/>
      <c r="J1996" s="103"/>
      <c r="K1996" s="104">
        <v>1.24</v>
      </c>
      <c r="L1996" s="89">
        <v>0.8008</v>
      </c>
      <c r="M1996" s="88"/>
      <c r="N1996" s="88"/>
    </row>
    <row r="1997">
      <c r="A1997" s="90">
        <v>44791.0</v>
      </c>
      <c r="B1997" s="90">
        <v>44791.0</v>
      </c>
      <c r="C1997" s="102">
        <v>2371.0</v>
      </c>
      <c r="D1997" s="103" t="s">
        <v>226</v>
      </c>
      <c r="E1997" s="102">
        <v>0.0</v>
      </c>
      <c r="F1997" s="103" t="s">
        <v>227</v>
      </c>
      <c r="G1997" s="102">
        <v>0.0</v>
      </c>
      <c r="H1997" s="103"/>
      <c r="I1997" s="103"/>
      <c r="J1997" s="103"/>
      <c r="K1997" s="104">
        <v>0.19</v>
      </c>
      <c r="L1997" s="89">
        <v>0.1125</v>
      </c>
      <c r="M1997" s="88"/>
      <c r="N1997" s="88"/>
    </row>
    <row r="1998">
      <c r="A1998" s="90">
        <v>44791.0</v>
      </c>
      <c r="B1998" s="90">
        <v>44791.0</v>
      </c>
      <c r="C1998" s="102">
        <v>2009.0</v>
      </c>
      <c r="D1998" s="103" t="s">
        <v>226</v>
      </c>
      <c r="E1998" s="102">
        <v>0.0</v>
      </c>
      <c r="F1998" s="103" t="s">
        <v>227</v>
      </c>
      <c r="G1998" s="102">
        <v>0.0</v>
      </c>
      <c r="H1998" s="103"/>
      <c r="I1998" s="103"/>
      <c r="J1998" s="103"/>
      <c r="K1998" s="104">
        <v>0.2</v>
      </c>
      <c r="L1998" s="89">
        <v>0.1447</v>
      </c>
      <c r="M1998" s="88"/>
      <c r="N1998" s="88"/>
    </row>
    <row r="1999">
      <c r="A1999" s="90">
        <v>44791.0</v>
      </c>
      <c r="B1999" s="90">
        <v>44791.0</v>
      </c>
      <c r="C1999" s="102">
        <v>2365.0</v>
      </c>
      <c r="D1999" s="103" t="s">
        <v>226</v>
      </c>
      <c r="E1999" s="102">
        <v>1.0</v>
      </c>
      <c r="F1999" s="103" t="s">
        <v>227</v>
      </c>
      <c r="G1999" s="102">
        <v>1.0</v>
      </c>
      <c r="H1999" s="103"/>
      <c r="I1999" s="103"/>
      <c r="J1999" s="103"/>
      <c r="K1999" s="104">
        <v>0.38</v>
      </c>
      <c r="L1999" s="89">
        <v>0.2702</v>
      </c>
      <c r="M1999" s="88"/>
      <c r="N1999" s="88"/>
    </row>
    <row r="2000">
      <c r="A2000" s="90">
        <v>44791.0</v>
      </c>
      <c r="B2000" s="90">
        <v>44791.0</v>
      </c>
      <c r="C2000" s="102">
        <v>2365.0</v>
      </c>
      <c r="D2000" s="103" t="s">
        <v>226</v>
      </c>
      <c r="E2000" s="102">
        <v>0.0</v>
      </c>
      <c r="F2000" s="103" t="s">
        <v>227</v>
      </c>
      <c r="G2000" s="102">
        <v>0.0</v>
      </c>
      <c r="H2000" s="103"/>
      <c r="I2000" s="103"/>
      <c r="J2000" s="103"/>
      <c r="K2000" s="104">
        <v>0.28</v>
      </c>
      <c r="L2000" s="89">
        <v>0.1841</v>
      </c>
      <c r="M2000" s="88"/>
      <c r="N2000" s="88"/>
    </row>
    <row r="2001">
      <c r="A2001" s="90">
        <v>44791.0</v>
      </c>
      <c r="B2001" s="90">
        <v>44791.0</v>
      </c>
      <c r="C2001" s="102">
        <v>2082.0</v>
      </c>
      <c r="D2001" s="103" t="s">
        <v>226</v>
      </c>
      <c r="E2001" s="102">
        <v>1.0</v>
      </c>
      <c r="F2001" s="103" t="s">
        <v>227</v>
      </c>
      <c r="G2001" s="102">
        <v>1.0</v>
      </c>
      <c r="H2001" s="103"/>
      <c r="I2001" s="103"/>
      <c r="J2001" s="103"/>
      <c r="K2001" s="104">
        <v>0.72</v>
      </c>
      <c r="L2001" s="89">
        <v>0.4748</v>
      </c>
      <c r="M2001" s="88"/>
      <c r="N2001" s="88"/>
    </row>
    <row r="2002">
      <c r="A2002" s="90">
        <v>44761.0</v>
      </c>
      <c r="B2002" s="90">
        <v>44761.0</v>
      </c>
      <c r="C2002" s="102">
        <v>2371.0</v>
      </c>
      <c r="D2002" s="103" t="s">
        <v>226</v>
      </c>
      <c r="E2002" s="102">
        <v>0.0</v>
      </c>
      <c r="F2002" s="103" t="s">
        <v>227</v>
      </c>
      <c r="G2002" s="102">
        <v>0.0</v>
      </c>
      <c r="H2002" s="103"/>
      <c r="I2002" s="103"/>
      <c r="J2002" s="103"/>
      <c r="K2002" s="104">
        <v>0.548</v>
      </c>
      <c r="L2002" s="89">
        <v>0.334</v>
      </c>
      <c r="M2002" s="88"/>
      <c r="N2002" s="88"/>
    </row>
    <row r="2003">
      <c r="A2003" s="90">
        <v>44761.0</v>
      </c>
      <c r="B2003" s="90">
        <v>44761.0</v>
      </c>
      <c r="C2003" s="102">
        <v>2371.0</v>
      </c>
      <c r="D2003" s="103" t="s">
        <v>226</v>
      </c>
      <c r="E2003" s="102">
        <v>0.0</v>
      </c>
      <c r="F2003" s="103" t="s">
        <v>227</v>
      </c>
      <c r="G2003" s="102">
        <v>0.0</v>
      </c>
      <c r="H2003" s="103"/>
      <c r="I2003" s="103"/>
      <c r="J2003" s="103"/>
      <c r="K2003" s="104">
        <v>0.548</v>
      </c>
      <c r="L2003" s="89">
        <v>0.334</v>
      </c>
      <c r="M2003" s="88"/>
      <c r="N2003" s="88"/>
    </row>
    <row r="2004">
      <c r="A2004" s="90">
        <v>44761.0</v>
      </c>
      <c r="B2004" s="90">
        <v>44761.0</v>
      </c>
      <c r="C2004" s="102">
        <v>2393.0</v>
      </c>
      <c r="D2004" s="103" t="s">
        <v>221</v>
      </c>
      <c r="E2004" s="102">
        <v>0.0</v>
      </c>
      <c r="F2004" s="103" t="s">
        <v>228</v>
      </c>
      <c r="G2004" s="102">
        <v>0.0</v>
      </c>
      <c r="H2004" s="103"/>
      <c r="I2004" s="103"/>
      <c r="J2004" s="103"/>
      <c r="K2004" s="104">
        <v>1.953</v>
      </c>
      <c r="L2004" s="89">
        <v>1.201</v>
      </c>
      <c r="M2004" s="88"/>
      <c r="N2004" s="88"/>
    </row>
    <row r="2005">
      <c r="A2005" s="90">
        <v>44761.0</v>
      </c>
      <c r="B2005" s="90">
        <v>44761.0</v>
      </c>
      <c r="C2005" s="102">
        <v>2365.0</v>
      </c>
      <c r="D2005" s="103" t="s">
        <v>221</v>
      </c>
      <c r="E2005" s="102">
        <v>0.0</v>
      </c>
      <c r="F2005" s="103" t="s">
        <v>228</v>
      </c>
      <c r="G2005" s="102">
        <v>0.0</v>
      </c>
      <c r="H2005" s="103"/>
      <c r="I2005" s="103"/>
      <c r="J2005" s="103"/>
      <c r="K2005" s="104">
        <v>1.771</v>
      </c>
      <c r="L2005" s="89">
        <v>1.088</v>
      </c>
      <c r="M2005" s="88"/>
      <c r="N2005" s="88"/>
    </row>
    <row r="2006">
      <c r="A2006" s="90">
        <v>44761.0</v>
      </c>
      <c r="B2006" s="90">
        <v>44761.0</v>
      </c>
      <c r="C2006" s="102">
        <v>2023.0</v>
      </c>
      <c r="D2006" s="103" t="s">
        <v>221</v>
      </c>
      <c r="E2006" s="102">
        <v>0.0</v>
      </c>
      <c r="F2006" s="103" t="s">
        <v>227</v>
      </c>
      <c r="G2006" s="102">
        <v>0.0</v>
      </c>
      <c r="H2006" s="103"/>
      <c r="I2006" s="103"/>
      <c r="J2006" s="103"/>
      <c r="K2006" s="104">
        <v>0.041</v>
      </c>
      <c r="L2006" s="89">
        <v>0.028</v>
      </c>
      <c r="M2006" s="88"/>
      <c r="N2006" s="88"/>
    </row>
    <row r="2007">
      <c r="A2007" s="90">
        <v>44761.0</v>
      </c>
      <c r="B2007" s="90">
        <v>44761.0</v>
      </c>
      <c r="C2007" s="102">
        <v>2089.0</v>
      </c>
      <c r="D2007" s="103" t="s">
        <v>221</v>
      </c>
      <c r="E2007" s="102">
        <v>1.0</v>
      </c>
      <c r="F2007" s="103" t="s">
        <v>228</v>
      </c>
      <c r="G2007" s="102">
        <v>1.0</v>
      </c>
      <c r="H2007" s="103"/>
      <c r="I2007" s="103"/>
      <c r="J2007" s="103"/>
      <c r="K2007" s="104">
        <v>1.056</v>
      </c>
      <c r="L2007" s="89">
        <v>0.683</v>
      </c>
      <c r="M2007" s="88"/>
      <c r="N2007" s="88"/>
    </row>
    <row r="2008">
      <c r="A2008" s="90">
        <v>44761.0</v>
      </c>
      <c r="B2008" s="90">
        <v>44761.0</v>
      </c>
      <c r="C2008" s="102">
        <v>2301.0</v>
      </c>
      <c r="D2008" s="103" t="s">
        <v>221</v>
      </c>
      <c r="E2008" s="102">
        <v>0.0</v>
      </c>
      <c r="F2008" s="103" t="s">
        <v>228</v>
      </c>
      <c r="G2008" s="102">
        <v>0.0</v>
      </c>
      <c r="H2008" s="103"/>
      <c r="I2008" s="103"/>
      <c r="J2008" s="103"/>
      <c r="K2008" s="104">
        <v>3.811</v>
      </c>
      <c r="L2008" s="89">
        <v>2.51</v>
      </c>
      <c r="M2008" s="88"/>
      <c r="N2008" s="88" t="s">
        <v>270</v>
      </c>
    </row>
    <row r="2009">
      <c r="A2009" s="90">
        <v>44761.0</v>
      </c>
      <c r="B2009" s="90">
        <v>44761.0</v>
      </c>
      <c r="C2009" s="102">
        <v>2090.0</v>
      </c>
      <c r="D2009" s="103" t="s">
        <v>221</v>
      </c>
      <c r="E2009" s="102">
        <v>0.0</v>
      </c>
      <c r="F2009" s="103" t="s">
        <v>228</v>
      </c>
      <c r="G2009" s="102">
        <v>0.0</v>
      </c>
      <c r="H2009" s="103"/>
      <c r="I2009" s="103"/>
      <c r="J2009" s="103"/>
      <c r="K2009" s="104">
        <v>3.503</v>
      </c>
      <c r="L2009" s="89">
        <v>2.12</v>
      </c>
      <c r="M2009" s="88"/>
      <c r="N2009" s="88"/>
    </row>
    <row r="2010">
      <c r="A2010" s="90">
        <v>44761.0</v>
      </c>
      <c r="B2010" s="90">
        <v>44761.0</v>
      </c>
      <c r="C2010" s="102">
        <v>2381.0</v>
      </c>
      <c r="D2010" s="103" t="s">
        <v>221</v>
      </c>
      <c r="E2010" s="102">
        <v>0.0</v>
      </c>
      <c r="F2010" s="103" t="s">
        <v>227</v>
      </c>
      <c r="G2010" s="102">
        <v>0.0</v>
      </c>
      <c r="H2010" s="103"/>
      <c r="I2010" s="103"/>
      <c r="J2010" s="103"/>
      <c r="K2010" s="104">
        <v>0.267</v>
      </c>
      <c r="L2010" s="92">
        <v>0.18</v>
      </c>
      <c r="M2010" s="88"/>
      <c r="N2010" s="88"/>
    </row>
    <row r="2011">
      <c r="A2011" s="90">
        <v>44761.0</v>
      </c>
      <c r="B2011" s="90">
        <v>44761.0</v>
      </c>
      <c r="C2011" s="102">
        <v>2029.0</v>
      </c>
      <c r="D2011" s="103" t="s">
        <v>221</v>
      </c>
      <c r="E2011" s="102">
        <v>1.0</v>
      </c>
      <c r="F2011" s="103" t="s">
        <v>228</v>
      </c>
      <c r="G2011" s="102">
        <v>1.0</v>
      </c>
      <c r="H2011" s="103"/>
      <c r="I2011" s="103"/>
      <c r="J2011" s="103"/>
      <c r="K2011" s="104">
        <v>0.964</v>
      </c>
      <c r="L2011" s="89">
        <v>0.653</v>
      </c>
      <c r="M2011" s="88"/>
      <c r="N2011" s="88"/>
    </row>
    <row r="2012">
      <c r="A2012" s="90">
        <v>44761.0</v>
      </c>
      <c r="B2012" s="90">
        <v>44761.0</v>
      </c>
      <c r="C2012" s="102">
        <v>2023.0</v>
      </c>
      <c r="D2012" s="103" t="s">
        <v>221</v>
      </c>
      <c r="E2012" s="102">
        <v>1.0</v>
      </c>
      <c r="F2012" s="103" t="s">
        <v>228</v>
      </c>
      <c r="G2012" s="102">
        <v>1.0</v>
      </c>
      <c r="H2012" s="103"/>
      <c r="I2012" s="103"/>
      <c r="J2012" s="103"/>
      <c r="K2012" s="104">
        <v>5.7</v>
      </c>
      <c r="L2012" s="89">
        <v>3.721</v>
      </c>
      <c r="M2012" s="88"/>
      <c r="N2012" s="88"/>
    </row>
    <row r="2013">
      <c r="A2013" s="90">
        <v>44761.0</v>
      </c>
      <c r="B2013" s="90">
        <v>44761.0</v>
      </c>
      <c r="C2013" s="102">
        <v>2005.0</v>
      </c>
      <c r="D2013" s="103" t="s">
        <v>221</v>
      </c>
      <c r="E2013" s="102">
        <v>0.0</v>
      </c>
      <c r="F2013" s="103" t="s">
        <v>228</v>
      </c>
      <c r="G2013" s="102">
        <v>0.0</v>
      </c>
      <c r="H2013" s="103"/>
      <c r="I2013" s="103"/>
      <c r="J2013" s="103"/>
      <c r="K2013" s="104">
        <v>4.62</v>
      </c>
      <c r="L2013" s="89">
        <v>2.816</v>
      </c>
      <c r="M2013" s="88"/>
      <c r="N2013" s="88"/>
    </row>
    <row r="2014">
      <c r="A2014" s="90">
        <v>44761.0</v>
      </c>
      <c r="B2014" s="90">
        <v>44761.0</v>
      </c>
      <c r="C2014" s="102">
        <v>2009.0</v>
      </c>
      <c r="D2014" s="103" t="s">
        <v>221</v>
      </c>
      <c r="E2014" s="102">
        <v>0.0</v>
      </c>
      <c r="F2014" s="103" t="s">
        <v>227</v>
      </c>
      <c r="G2014" s="102">
        <v>0.0</v>
      </c>
      <c r="H2014" s="103"/>
      <c r="I2014" s="103"/>
      <c r="J2014" s="103"/>
      <c r="K2014" s="104">
        <v>0.608</v>
      </c>
      <c r="L2014" s="89">
        <v>0.403</v>
      </c>
      <c r="M2014" s="88"/>
      <c r="N2014" s="88"/>
    </row>
    <row r="2015">
      <c r="A2015" s="90">
        <v>44761.0</v>
      </c>
      <c r="B2015" s="90">
        <v>44761.0</v>
      </c>
      <c r="C2015" s="102">
        <v>2011.0</v>
      </c>
      <c r="D2015" s="103" t="s">
        <v>221</v>
      </c>
      <c r="E2015" s="102">
        <v>0.0</v>
      </c>
      <c r="F2015" s="103" t="s">
        <v>228</v>
      </c>
      <c r="G2015" s="102">
        <v>0.0</v>
      </c>
      <c r="H2015" s="103"/>
      <c r="I2015" s="103"/>
      <c r="J2015" s="103"/>
      <c r="K2015" s="104">
        <v>3.226</v>
      </c>
      <c r="L2015" s="89">
        <v>2.06</v>
      </c>
      <c r="M2015" s="88"/>
      <c r="N2015" s="88"/>
    </row>
    <row r="2016">
      <c r="A2016" s="90">
        <v>44761.0</v>
      </c>
      <c r="B2016" s="90">
        <v>44761.0</v>
      </c>
      <c r="C2016" s="102">
        <v>2376.0</v>
      </c>
      <c r="D2016" s="103" t="s">
        <v>226</v>
      </c>
      <c r="E2016" s="102">
        <v>1.0</v>
      </c>
      <c r="F2016" s="103" t="s">
        <v>228</v>
      </c>
      <c r="G2016" s="102">
        <v>1.0</v>
      </c>
      <c r="H2016" s="103"/>
      <c r="I2016" s="103"/>
      <c r="J2016" s="103"/>
      <c r="K2016" s="104">
        <v>6.795</v>
      </c>
      <c r="L2016" s="89">
        <v>4.447</v>
      </c>
      <c r="M2016" s="88"/>
      <c r="N2016" s="88"/>
    </row>
    <row r="2017">
      <c r="A2017" s="90">
        <v>44761.0</v>
      </c>
      <c r="B2017" s="90">
        <v>44761.0</v>
      </c>
      <c r="C2017" s="102">
        <v>2030.0</v>
      </c>
      <c r="D2017" s="103" t="s">
        <v>221</v>
      </c>
      <c r="E2017" s="102">
        <v>1.0</v>
      </c>
      <c r="F2017" s="103" t="s">
        <v>227</v>
      </c>
      <c r="G2017" s="102">
        <v>1.0</v>
      </c>
      <c r="H2017" s="103"/>
      <c r="I2017" s="103"/>
      <c r="J2017" s="103"/>
      <c r="K2017" s="104">
        <v>0.704</v>
      </c>
      <c r="L2017" s="89">
        <v>0.462</v>
      </c>
      <c r="M2017" s="88"/>
      <c r="N2017" s="88"/>
    </row>
    <row r="2018">
      <c r="A2018" s="90">
        <v>44761.0</v>
      </c>
      <c r="B2018" s="90">
        <v>44761.0</v>
      </c>
      <c r="C2018" s="102">
        <v>2023.0</v>
      </c>
      <c r="D2018" s="103" t="s">
        <v>221</v>
      </c>
      <c r="E2018" s="102">
        <v>0.0</v>
      </c>
      <c r="F2018" s="103" t="s">
        <v>228</v>
      </c>
      <c r="G2018" s="102">
        <v>0.0</v>
      </c>
      <c r="H2018" s="103"/>
      <c r="I2018" s="103"/>
      <c r="J2018" s="103"/>
      <c r="K2018" s="104">
        <v>0.783</v>
      </c>
      <c r="L2018" s="89">
        <v>0.486</v>
      </c>
      <c r="M2018" s="88"/>
      <c r="N2018" s="88"/>
    </row>
    <row r="2019">
      <c r="A2019" s="90">
        <v>44761.0</v>
      </c>
      <c r="B2019" s="90">
        <v>44761.0</v>
      </c>
      <c r="C2019" s="102">
        <v>2354.0</v>
      </c>
      <c r="D2019" s="103" t="s">
        <v>221</v>
      </c>
      <c r="E2019" s="102">
        <v>1.0</v>
      </c>
      <c r="F2019" s="103" t="s">
        <v>228</v>
      </c>
      <c r="G2019" s="102">
        <v>1.0</v>
      </c>
      <c r="H2019" s="103"/>
      <c r="I2019" s="103"/>
      <c r="J2019" s="103"/>
      <c r="K2019" s="104">
        <v>0.847</v>
      </c>
      <c r="L2019" s="89">
        <v>0.577</v>
      </c>
      <c r="M2019" s="88"/>
      <c r="N2019" s="88"/>
    </row>
    <row r="2020">
      <c r="A2020" s="90">
        <v>44761.0</v>
      </c>
      <c r="B2020" s="90">
        <v>44761.0</v>
      </c>
      <c r="C2020" s="102">
        <v>2029.0</v>
      </c>
      <c r="D2020" s="103" t="s">
        <v>221</v>
      </c>
      <c r="E2020" s="102">
        <v>0.0</v>
      </c>
      <c r="F2020" s="103" t="s">
        <v>227</v>
      </c>
      <c r="G2020" s="102">
        <v>0.0</v>
      </c>
      <c r="H2020" s="103"/>
      <c r="I2020" s="103"/>
      <c r="J2020" s="103"/>
      <c r="K2020" s="104">
        <v>0.185</v>
      </c>
      <c r="L2020" s="89">
        <v>0.115</v>
      </c>
      <c r="M2020" s="88"/>
      <c r="N2020" s="88"/>
    </row>
    <row r="2021">
      <c r="A2021" s="90">
        <v>44761.0</v>
      </c>
      <c r="B2021" s="90">
        <v>44761.0</v>
      </c>
      <c r="C2021" s="102">
        <v>2383.0</v>
      </c>
      <c r="D2021" s="103" t="s">
        <v>226</v>
      </c>
      <c r="E2021" s="102">
        <v>0.0</v>
      </c>
      <c r="F2021" s="103" t="s">
        <v>227</v>
      </c>
      <c r="G2021" s="102">
        <v>0.0</v>
      </c>
      <c r="H2021" s="103"/>
      <c r="I2021" s="103"/>
      <c r="J2021" s="103"/>
      <c r="K2021" s="104">
        <v>0.459</v>
      </c>
      <c r="L2021" s="89">
        <v>0.304</v>
      </c>
      <c r="M2021" s="88"/>
      <c r="N2021" s="88"/>
    </row>
    <row r="2022">
      <c r="A2022" s="90">
        <v>44761.0</v>
      </c>
      <c r="B2022" s="90">
        <v>44761.0</v>
      </c>
      <c r="C2022" s="102">
        <v>2005.0</v>
      </c>
      <c r="D2022" s="103" t="s">
        <v>226</v>
      </c>
      <c r="E2022" s="102">
        <v>0.0</v>
      </c>
      <c r="F2022" s="103" t="s">
        <v>228</v>
      </c>
      <c r="G2022" s="102">
        <v>0.0</v>
      </c>
      <c r="H2022" s="103"/>
      <c r="I2022" s="103"/>
      <c r="J2022" s="103"/>
      <c r="K2022" s="104">
        <v>4.933</v>
      </c>
      <c r="L2022" s="89">
        <v>2.944</v>
      </c>
      <c r="M2022" s="88"/>
      <c r="N2022" s="88"/>
    </row>
    <row r="2023">
      <c r="A2023" s="90">
        <v>44761.0</v>
      </c>
      <c r="B2023" s="90">
        <v>44761.0</v>
      </c>
      <c r="C2023" s="102">
        <v>2011.0</v>
      </c>
      <c r="D2023" s="103" t="s">
        <v>226</v>
      </c>
      <c r="E2023" s="102">
        <v>0.0</v>
      </c>
      <c r="F2023" s="103" t="s">
        <v>228</v>
      </c>
      <c r="G2023" s="102">
        <v>0.0</v>
      </c>
      <c r="H2023" s="103"/>
      <c r="I2023" s="103"/>
      <c r="J2023" s="103"/>
      <c r="K2023" s="104">
        <v>4.031</v>
      </c>
      <c r="L2023" s="89">
        <v>2.45</v>
      </c>
      <c r="M2023" s="88"/>
      <c r="N2023" s="88"/>
    </row>
    <row r="2024">
      <c r="A2024" s="90">
        <v>44761.0</v>
      </c>
      <c r="B2024" s="90">
        <v>44761.0</v>
      </c>
      <c r="C2024" s="102">
        <v>2377.0</v>
      </c>
      <c r="D2024" s="103" t="s">
        <v>226</v>
      </c>
      <c r="E2024" s="102">
        <v>1.0</v>
      </c>
      <c r="F2024" s="103" t="s">
        <v>227</v>
      </c>
      <c r="G2024" s="102">
        <v>1.0</v>
      </c>
      <c r="H2024" s="103"/>
      <c r="I2024" s="103"/>
      <c r="J2024" s="103"/>
      <c r="K2024" s="104">
        <v>0.917</v>
      </c>
      <c r="L2024" s="89">
        <v>0.565</v>
      </c>
      <c r="M2024" s="88"/>
      <c r="N2024" s="88"/>
    </row>
    <row r="2025">
      <c r="A2025" s="90">
        <v>44761.0</v>
      </c>
      <c r="B2025" s="90">
        <v>44761.0</v>
      </c>
      <c r="C2025" s="102">
        <v>2377.0</v>
      </c>
      <c r="D2025" s="103" t="s">
        <v>226</v>
      </c>
      <c r="E2025" s="102">
        <v>0.0</v>
      </c>
      <c r="F2025" s="103" t="s">
        <v>228</v>
      </c>
      <c r="G2025" s="102">
        <v>0.0</v>
      </c>
      <c r="H2025" s="103"/>
      <c r="I2025" s="103"/>
      <c r="J2025" s="103"/>
      <c r="K2025" s="104">
        <v>1.724</v>
      </c>
      <c r="L2025" s="89">
        <v>1.099</v>
      </c>
      <c r="M2025" s="88"/>
      <c r="N2025" s="88"/>
    </row>
    <row r="2026">
      <c r="A2026" s="90">
        <v>44761.0</v>
      </c>
      <c r="B2026" s="90">
        <v>44761.0</v>
      </c>
      <c r="C2026" s="102">
        <v>2380.0</v>
      </c>
      <c r="D2026" s="103" t="s">
        <v>221</v>
      </c>
      <c r="E2026" s="102">
        <v>1.0</v>
      </c>
      <c r="F2026" s="103" t="s">
        <v>228</v>
      </c>
      <c r="G2026" s="102">
        <v>1.0</v>
      </c>
      <c r="H2026" s="103"/>
      <c r="I2026" s="103"/>
      <c r="J2026" s="103"/>
      <c r="K2026" s="104">
        <v>0.995</v>
      </c>
      <c r="L2026" s="89">
        <v>0.667</v>
      </c>
      <c r="M2026" s="88"/>
      <c r="N2026" s="88"/>
    </row>
    <row r="2027">
      <c r="A2027" s="90">
        <v>44761.0</v>
      </c>
      <c r="B2027" s="90">
        <v>44761.0</v>
      </c>
      <c r="C2027" s="102">
        <v>2379.0</v>
      </c>
      <c r="D2027" s="103" t="s">
        <v>221</v>
      </c>
      <c r="E2027" s="102">
        <v>0.0</v>
      </c>
      <c r="F2027" s="103" t="s">
        <v>227</v>
      </c>
      <c r="G2027" s="102">
        <v>0.0</v>
      </c>
      <c r="H2027" s="103"/>
      <c r="I2027" s="103"/>
      <c r="J2027" s="103"/>
      <c r="K2027" s="104">
        <v>0.127</v>
      </c>
      <c r="L2027" s="89">
        <v>0.084</v>
      </c>
      <c r="M2027" s="88"/>
      <c r="N2027" s="88"/>
    </row>
    <row r="2028">
      <c r="A2028" s="90">
        <v>44761.0</v>
      </c>
      <c r="B2028" s="90">
        <v>44761.0</v>
      </c>
      <c r="C2028" s="102">
        <v>2087.0</v>
      </c>
      <c r="D2028" s="103" t="s">
        <v>221</v>
      </c>
      <c r="E2028" s="102">
        <v>0.0</v>
      </c>
      <c r="F2028" s="103" t="s">
        <v>227</v>
      </c>
      <c r="G2028" s="102">
        <v>0.0</v>
      </c>
      <c r="H2028" s="103"/>
      <c r="I2028" s="103"/>
      <c r="J2028" s="103"/>
      <c r="K2028" s="104">
        <v>0.791</v>
      </c>
      <c r="L2028" s="89">
        <v>0.479</v>
      </c>
      <c r="M2028" s="88"/>
      <c r="N2028" s="88"/>
    </row>
    <row r="2029">
      <c r="A2029" s="90">
        <v>44761.0</v>
      </c>
      <c r="B2029" s="90">
        <v>44761.0</v>
      </c>
      <c r="C2029" s="102">
        <v>2352.0</v>
      </c>
      <c r="D2029" s="103" t="s">
        <v>221</v>
      </c>
      <c r="E2029" s="102">
        <v>1.0</v>
      </c>
      <c r="F2029" s="103" t="s">
        <v>228</v>
      </c>
      <c r="G2029" s="102">
        <v>1.0</v>
      </c>
      <c r="H2029" s="103"/>
      <c r="I2029" s="103"/>
      <c r="J2029" s="103"/>
      <c r="K2029" s="104">
        <v>1.852</v>
      </c>
      <c r="L2029" s="89">
        <v>1.33</v>
      </c>
      <c r="M2029" s="88"/>
      <c r="N2029" s="88"/>
    </row>
    <row r="2030">
      <c r="A2030" s="90">
        <v>44761.0</v>
      </c>
      <c r="B2030" s="90">
        <v>44761.0</v>
      </c>
      <c r="C2030" s="102">
        <v>2090.0</v>
      </c>
      <c r="D2030" s="103" t="s">
        <v>221</v>
      </c>
      <c r="E2030" s="102">
        <v>0.0</v>
      </c>
      <c r="F2030" s="103" t="s">
        <v>227</v>
      </c>
      <c r="G2030" s="102">
        <v>0.0</v>
      </c>
      <c r="H2030" s="103"/>
      <c r="I2030" s="103"/>
      <c r="J2030" s="103"/>
      <c r="K2030" s="104">
        <v>0.671</v>
      </c>
      <c r="L2030" s="89">
        <v>0.423</v>
      </c>
      <c r="M2030" s="88"/>
      <c r="N2030" s="88"/>
    </row>
    <row r="2031">
      <c r="A2031" s="90">
        <v>44761.0</v>
      </c>
      <c r="B2031" s="90">
        <v>44761.0</v>
      </c>
      <c r="C2031" s="102">
        <v>2010.0</v>
      </c>
      <c r="D2031" s="103" t="s">
        <v>226</v>
      </c>
      <c r="E2031" s="102">
        <v>0.0</v>
      </c>
      <c r="F2031" s="103" t="s">
        <v>228</v>
      </c>
      <c r="G2031" s="102">
        <v>0.0</v>
      </c>
      <c r="H2031" s="103"/>
      <c r="I2031" s="103"/>
      <c r="J2031" s="103"/>
      <c r="K2031" s="104">
        <v>4.828</v>
      </c>
      <c r="L2031" s="89">
        <v>2.895</v>
      </c>
      <c r="M2031" s="88"/>
      <c r="N2031" s="88"/>
    </row>
    <row r="2032">
      <c r="A2032" s="90">
        <v>44761.0</v>
      </c>
      <c r="B2032" s="90">
        <v>44761.0</v>
      </c>
      <c r="C2032" s="102">
        <v>2347.0</v>
      </c>
      <c r="D2032" s="103" t="s">
        <v>221</v>
      </c>
      <c r="E2032" s="102">
        <v>0.0</v>
      </c>
      <c r="F2032" s="103" t="s">
        <v>228</v>
      </c>
      <c r="G2032" s="102">
        <v>0.0</v>
      </c>
      <c r="H2032" s="103"/>
      <c r="I2032" s="103"/>
      <c r="J2032" s="103"/>
      <c r="K2032" s="104">
        <v>2.652</v>
      </c>
      <c r="L2032" s="89">
        <v>1.626</v>
      </c>
      <c r="M2032" s="88"/>
      <c r="N2032" s="88"/>
    </row>
    <row r="2033">
      <c r="A2033" s="90">
        <v>44761.0</v>
      </c>
      <c r="B2033" s="90">
        <v>44761.0</v>
      </c>
      <c r="C2033" s="102">
        <v>2370.0</v>
      </c>
      <c r="D2033" s="103" t="s">
        <v>226</v>
      </c>
      <c r="E2033" s="102">
        <v>0.0</v>
      </c>
      <c r="F2033" s="103" t="s">
        <v>228</v>
      </c>
      <c r="G2033" s="102">
        <v>0.0</v>
      </c>
      <c r="H2033" s="103"/>
      <c r="I2033" s="103"/>
      <c r="J2033" s="103"/>
      <c r="K2033" s="104">
        <v>1.375</v>
      </c>
      <c r="L2033" s="89">
        <v>0.856</v>
      </c>
      <c r="M2033" s="88"/>
      <c r="N2033" s="88"/>
    </row>
    <row r="2034">
      <c r="A2034" s="90">
        <v>44761.0</v>
      </c>
      <c r="B2034" s="90">
        <v>44761.0</v>
      </c>
      <c r="C2034" s="102">
        <v>2381.0</v>
      </c>
      <c r="D2034" s="103" t="s">
        <v>226</v>
      </c>
      <c r="E2034" s="102">
        <v>0.0</v>
      </c>
      <c r="F2034" s="103" t="s">
        <v>228</v>
      </c>
      <c r="G2034" s="102">
        <v>0.0</v>
      </c>
      <c r="H2034" s="103"/>
      <c r="I2034" s="103"/>
      <c r="J2034" s="103"/>
      <c r="K2034" s="104">
        <v>5.105</v>
      </c>
      <c r="L2034" s="89">
        <v>3.032</v>
      </c>
      <c r="M2034" s="88"/>
      <c r="N2034" s="88"/>
    </row>
    <row r="2035">
      <c r="A2035" s="90">
        <v>44761.0</v>
      </c>
      <c r="B2035" s="90">
        <v>44761.0</v>
      </c>
      <c r="C2035" s="102">
        <v>2382.0</v>
      </c>
      <c r="D2035" s="103" t="s">
        <v>226</v>
      </c>
      <c r="E2035" s="102">
        <v>0.0</v>
      </c>
      <c r="F2035" s="103" t="s">
        <v>228</v>
      </c>
      <c r="G2035" s="102">
        <v>0.0</v>
      </c>
      <c r="H2035" s="103"/>
      <c r="I2035" s="103"/>
      <c r="J2035" s="103"/>
      <c r="K2035" s="104">
        <v>3.986</v>
      </c>
      <c r="L2035" s="89">
        <v>2.512</v>
      </c>
      <c r="M2035" s="88"/>
      <c r="N2035" s="88"/>
    </row>
    <row r="2036">
      <c r="A2036" s="90">
        <v>44761.0</v>
      </c>
      <c r="B2036" s="90">
        <v>44761.0</v>
      </c>
      <c r="C2036" s="102">
        <v>2030.0</v>
      </c>
      <c r="D2036" s="103" t="s">
        <v>221</v>
      </c>
      <c r="E2036" s="102">
        <v>1.0</v>
      </c>
      <c r="F2036" s="103" t="s">
        <v>228</v>
      </c>
      <c r="G2036" s="102">
        <v>1.0</v>
      </c>
      <c r="H2036" s="103"/>
      <c r="I2036" s="103"/>
      <c r="J2036" s="103"/>
      <c r="K2036" s="104">
        <v>2.598</v>
      </c>
      <c r="L2036" s="89">
        <v>1.691</v>
      </c>
      <c r="M2036" s="88"/>
      <c r="N2036" s="88"/>
    </row>
    <row r="2037">
      <c r="A2037" s="90">
        <v>44761.0</v>
      </c>
      <c r="B2037" s="90">
        <v>44761.0</v>
      </c>
      <c r="C2037" s="102">
        <v>2024.0</v>
      </c>
      <c r="D2037" s="103" t="s">
        <v>221</v>
      </c>
      <c r="E2037" s="102">
        <v>0.0</v>
      </c>
      <c r="F2037" s="103" t="s">
        <v>227</v>
      </c>
      <c r="G2037" s="102">
        <v>0.0</v>
      </c>
      <c r="H2037" s="103"/>
      <c r="I2037" s="103"/>
      <c r="J2037" s="103"/>
      <c r="K2037" s="104">
        <v>0.577</v>
      </c>
      <c r="L2037" s="89">
        <v>0.398</v>
      </c>
      <c r="M2037" s="88"/>
      <c r="N2037" s="88"/>
    </row>
    <row r="2038">
      <c r="A2038" s="90">
        <v>44761.0</v>
      </c>
      <c r="B2038" s="90">
        <v>44761.0</v>
      </c>
      <c r="C2038" s="102">
        <v>2345.0</v>
      </c>
      <c r="D2038" s="103" t="s">
        <v>221</v>
      </c>
      <c r="E2038" s="102">
        <v>1.0</v>
      </c>
      <c r="F2038" s="103" t="s">
        <v>227</v>
      </c>
      <c r="G2038" s="102">
        <v>1.0</v>
      </c>
      <c r="H2038" s="103"/>
      <c r="I2038" s="103"/>
      <c r="J2038" s="103"/>
      <c r="K2038" s="104">
        <v>0.729</v>
      </c>
      <c r="L2038" s="89">
        <v>0.475</v>
      </c>
      <c r="M2038" s="88"/>
      <c r="N2038" s="88"/>
    </row>
    <row r="2039">
      <c r="A2039" s="90">
        <v>44761.0</v>
      </c>
      <c r="B2039" s="90">
        <v>44761.0</v>
      </c>
      <c r="C2039" s="102">
        <v>2376.0</v>
      </c>
      <c r="D2039" s="103" t="s">
        <v>221</v>
      </c>
      <c r="E2039" s="102">
        <v>1.0</v>
      </c>
      <c r="F2039" s="103" t="s">
        <v>228</v>
      </c>
      <c r="G2039" s="102">
        <v>1.0</v>
      </c>
      <c r="H2039" s="103"/>
      <c r="I2039" s="103"/>
      <c r="J2039" s="103"/>
      <c r="K2039" s="104">
        <v>7.287</v>
      </c>
      <c r="L2039" s="89">
        <v>4.644</v>
      </c>
      <c r="M2039" s="88"/>
      <c r="N2039" s="88"/>
    </row>
    <row r="2040">
      <c r="A2040" s="90">
        <v>44761.0</v>
      </c>
      <c r="B2040" s="90">
        <v>44761.0</v>
      </c>
      <c r="C2040" s="102">
        <v>2365.0</v>
      </c>
      <c r="D2040" s="103" t="s">
        <v>221</v>
      </c>
      <c r="E2040" s="102">
        <v>0.0</v>
      </c>
      <c r="F2040" s="103" t="s">
        <v>227</v>
      </c>
      <c r="G2040" s="102">
        <v>0.0</v>
      </c>
      <c r="H2040" s="103"/>
      <c r="I2040" s="103"/>
      <c r="J2040" s="103"/>
      <c r="K2040" s="104">
        <v>0.162</v>
      </c>
      <c r="L2040" s="89">
        <v>0.111</v>
      </c>
      <c r="M2040" s="88"/>
      <c r="N2040" s="88"/>
    </row>
    <row r="2041">
      <c r="A2041" s="90">
        <v>44761.0</v>
      </c>
      <c r="B2041" s="90">
        <v>44761.0</v>
      </c>
      <c r="C2041" s="102">
        <v>2089.0</v>
      </c>
      <c r="D2041" s="103" t="s">
        <v>221</v>
      </c>
      <c r="E2041" s="102">
        <v>0.0</v>
      </c>
      <c r="F2041" s="103" t="s">
        <v>228</v>
      </c>
      <c r="G2041" s="102">
        <v>0.0</v>
      </c>
      <c r="H2041" s="103"/>
      <c r="I2041" s="103"/>
      <c r="J2041" s="103"/>
      <c r="K2041" s="104">
        <v>2.736</v>
      </c>
      <c r="L2041" s="89">
        <v>1.69</v>
      </c>
      <c r="M2041" s="88"/>
      <c r="N2041" s="88"/>
    </row>
    <row r="2042">
      <c r="A2042" s="90">
        <v>44761.0</v>
      </c>
      <c r="B2042" s="90">
        <v>44761.0</v>
      </c>
      <c r="C2042" s="102">
        <v>2380.0</v>
      </c>
      <c r="D2042" s="103" t="s">
        <v>221</v>
      </c>
      <c r="E2042" s="102">
        <v>1.0</v>
      </c>
      <c r="F2042" s="103" t="s">
        <v>227</v>
      </c>
      <c r="G2042" s="102">
        <v>1.0</v>
      </c>
      <c r="H2042" s="103"/>
      <c r="I2042" s="103"/>
      <c r="J2042" s="103"/>
      <c r="K2042" s="104">
        <v>0.764</v>
      </c>
      <c r="L2042" s="89">
        <v>0.51</v>
      </c>
      <c r="M2042" s="88"/>
      <c r="N2042" s="88"/>
    </row>
    <row r="2043">
      <c r="A2043" s="90">
        <v>44761.0</v>
      </c>
      <c r="B2043" s="90">
        <v>44761.0</v>
      </c>
      <c r="C2043" s="102">
        <v>2377.0</v>
      </c>
      <c r="D2043" s="103" t="s">
        <v>226</v>
      </c>
      <c r="E2043" s="102">
        <v>0.0</v>
      </c>
      <c r="F2043" s="103" t="s">
        <v>227</v>
      </c>
      <c r="G2043" s="102">
        <v>0.0</v>
      </c>
      <c r="H2043" s="103"/>
      <c r="I2043" s="103"/>
      <c r="J2043" s="103"/>
      <c r="K2043" s="104">
        <v>0.382</v>
      </c>
      <c r="L2043" s="89">
        <v>0.239</v>
      </c>
      <c r="M2043" s="88"/>
      <c r="N2043" s="88"/>
    </row>
    <row r="2044">
      <c r="A2044" s="90">
        <v>44761.0</v>
      </c>
      <c r="B2044" s="90">
        <v>44761.0</v>
      </c>
      <c r="C2044" s="102">
        <v>2021.0</v>
      </c>
      <c r="D2044" s="103" t="s">
        <v>221</v>
      </c>
      <c r="E2044" s="102">
        <v>0.0</v>
      </c>
      <c r="F2044" s="103" t="s">
        <v>228</v>
      </c>
      <c r="G2044" s="102">
        <v>0.0</v>
      </c>
      <c r="H2044" s="103"/>
      <c r="I2044" s="103"/>
      <c r="J2044" s="103"/>
      <c r="K2044" s="104">
        <v>2.863</v>
      </c>
      <c r="L2044" s="89">
        <v>1.75</v>
      </c>
      <c r="M2044" s="88"/>
      <c r="N2044" s="88"/>
    </row>
    <row r="2045">
      <c r="A2045" s="90">
        <v>44761.0</v>
      </c>
      <c r="B2045" s="90">
        <v>44761.0</v>
      </c>
      <c r="C2045" s="102">
        <v>2086.0</v>
      </c>
      <c r="D2045" s="103" t="s">
        <v>221</v>
      </c>
      <c r="E2045" s="102">
        <v>0.0</v>
      </c>
      <c r="F2045" s="103" t="s">
        <v>227</v>
      </c>
      <c r="G2045" s="102">
        <v>0.0</v>
      </c>
      <c r="H2045" s="103"/>
      <c r="I2045" s="103"/>
      <c r="J2045" s="103"/>
      <c r="K2045" s="104">
        <v>1.102</v>
      </c>
      <c r="L2045" s="89">
        <v>0.709</v>
      </c>
      <c r="M2045" s="88"/>
      <c r="N2045" s="88"/>
    </row>
    <row r="2046">
      <c r="A2046" s="90">
        <v>44761.0</v>
      </c>
      <c r="B2046" s="90">
        <v>44761.0</v>
      </c>
      <c r="C2046" s="102">
        <v>2360.0</v>
      </c>
      <c r="D2046" s="103" t="s">
        <v>221</v>
      </c>
      <c r="E2046" s="102">
        <v>0.0</v>
      </c>
      <c r="F2046" s="103" t="s">
        <v>228</v>
      </c>
      <c r="G2046" s="102">
        <v>0.0</v>
      </c>
      <c r="H2046" s="103"/>
      <c r="I2046" s="103"/>
      <c r="J2046" s="103"/>
      <c r="K2046" s="104">
        <v>2.776</v>
      </c>
      <c r="L2046" s="89">
        <v>1.748</v>
      </c>
      <c r="M2046" s="88"/>
      <c r="N2046" s="88"/>
    </row>
    <row r="2047">
      <c r="A2047" s="90">
        <v>44761.0</v>
      </c>
      <c r="B2047" s="90">
        <v>44761.0</v>
      </c>
      <c r="C2047" s="102">
        <v>2028.0</v>
      </c>
      <c r="D2047" s="103" t="s">
        <v>221</v>
      </c>
      <c r="E2047" s="102">
        <v>0.0</v>
      </c>
      <c r="F2047" s="103" t="s">
        <v>227</v>
      </c>
      <c r="G2047" s="102">
        <v>0.0</v>
      </c>
      <c r="H2047" s="103"/>
      <c r="I2047" s="103"/>
      <c r="J2047" s="103"/>
      <c r="K2047" s="104">
        <v>0.374</v>
      </c>
      <c r="L2047" s="89">
        <v>0.254</v>
      </c>
      <c r="M2047" s="88"/>
      <c r="N2047" s="88"/>
    </row>
    <row r="2048">
      <c r="A2048" s="90">
        <v>44761.0</v>
      </c>
      <c r="B2048" s="90">
        <v>44761.0</v>
      </c>
      <c r="C2048" s="102">
        <v>2343.0</v>
      </c>
      <c r="D2048" s="103" t="s">
        <v>221</v>
      </c>
      <c r="E2048" s="102">
        <v>0.0</v>
      </c>
      <c r="F2048" s="103" t="s">
        <v>228</v>
      </c>
      <c r="G2048" s="102">
        <v>0.0</v>
      </c>
      <c r="H2048" s="103"/>
      <c r="I2048" s="103"/>
      <c r="J2048" s="103"/>
      <c r="K2048" s="104">
        <v>6.192</v>
      </c>
      <c r="L2048" s="89">
        <v>3.755</v>
      </c>
      <c r="M2048" s="88"/>
      <c r="N2048" s="88"/>
    </row>
    <row r="2049">
      <c r="A2049" s="90">
        <v>44761.0</v>
      </c>
      <c r="B2049" s="90">
        <v>44761.0</v>
      </c>
      <c r="C2049" s="102">
        <v>2375.0</v>
      </c>
      <c r="D2049" s="103" t="s">
        <v>221</v>
      </c>
      <c r="E2049" s="102">
        <v>0.0</v>
      </c>
      <c r="F2049" s="103" t="s">
        <v>228</v>
      </c>
      <c r="G2049" s="102">
        <v>0.0</v>
      </c>
      <c r="H2049" s="103"/>
      <c r="I2049" s="103"/>
      <c r="J2049" s="103"/>
      <c r="K2049" s="104">
        <v>2.252</v>
      </c>
      <c r="L2049" s="89">
        <v>1.389</v>
      </c>
      <c r="M2049" s="88"/>
      <c r="N2049" s="88"/>
    </row>
    <row r="2050">
      <c r="A2050" s="90">
        <v>44761.0</v>
      </c>
      <c r="B2050" s="90">
        <v>44761.0</v>
      </c>
      <c r="C2050" s="102">
        <v>2393.0</v>
      </c>
      <c r="D2050" s="103" t="s">
        <v>221</v>
      </c>
      <c r="E2050" s="102">
        <v>1.0</v>
      </c>
      <c r="F2050" s="103" t="s">
        <v>228</v>
      </c>
      <c r="G2050" s="102">
        <v>1.0</v>
      </c>
      <c r="H2050" s="103"/>
      <c r="I2050" s="103"/>
      <c r="J2050" s="103"/>
      <c r="K2050" s="104">
        <v>5.321</v>
      </c>
      <c r="L2050" s="89">
        <v>3.44</v>
      </c>
      <c r="M2050" s="88"/>
      <c r="N2050" s="88"/>
    </row>
    <row r="2051">
      <c r="A2051" s="90">
        <v>44761.0</v>
      </c>
      <c r="B2051" s="90">
        <v>44761.0</v>
      </c>
      <c r="C2051" s="102">
        <v>2301.0</v>
      </c>
      <c r="D2051" s="103" t="s">
        <v>221</v>
      </c>
      <c r="E2051" s="102">
        <v>0.0</v>
      </c>
      <c r="F2051" s="103" t="s">
        <v>227</v>
      </c>
      <c r="G2051" s="102">
        <v>0.0</v>
      </c>
      <c r="H2051" s="103"/>
      <c r="I2051" s="103"/>
      <c r="J2051" s="103"/>
      <c r="K2051" s="104">
        <v>0.475</v>
      </c>
      <c r="L2051" s="89">
        <v>0.315</v>
      </c>
      <c r="M2051" s="88"/>
      <c r="N2051" s="88" t="s">
        <v>270</v>
      </c>
    </row>
    <row r="2052">
      <c r="A2052" s="90">
        <v>44761.0</v>
      </c>
      <c r="B2052" s="90">
        <v>44761.0</v>
      </c>
      <c r="C2052" s="102">
        <v>2383.0</v>
      </c>
      <c r="D2052" s="103" t="s">
        <v>226</v>
      </c>
      <c r="E2052" s="102">
        <v>0.0</v>
      </c>
      <c r="F2052" s="103" t="s">
        <v>228</v>
      </c>
      <c r="G2052" s="102">
        <v>0.0</v>
      </c>
      <c r="H2052" s="103"/>
      <c r="I2052" s="103"/>
      <c r="J2052" s="103"/>
      <c r="K2052" s="104">
        <v>4.612</v>
      </c>
      <c r="L2052" s="89">
        <v>2.858</v>
      </c>
      <c r="M2052" s="88"/>
      <c r="N2052" s="88"/>
    </row>
    <row r="2053">
      <c r="A2053" s="90">
        <v>44761.0</v>
      </c>
      <c r="B2053" s="90">
        <v>44761.0</v>
      </c>
      <c r="C2053" s="102">
        <v>2370.0</v>
      </c>
      <c r="D2053" s="103" t="s">
        <v>226</v>
      </c>
      <c r="E2053" s="102">
        <v>0.0</v>
      </c>
      <c r="F2053" s="103" t="s">
        <v>227</v>
      </c>
      <c r="G2053" s="102">
        <v>0.0</v>
      </c>
      <c r="H2053" s="103"/>
      <c r="I2053" s="103"/>
      <c r="J2053" s="103"/>
      <c r="K2053" s="92">
        <v>0.09</v>
      </c>
      <c r="L2053" s="89">
        <v>0.059</v>
      </c>
      <c r="M2053" s="88"/>
      <c r="N2053" s="88"/>
    </row>
    <row r="2054">
      <c r="A2054" s="90">
        <v>44761.0</v>
      </c>
      <c r="B2054" s="90">
        <v>44761.0</v>
      </c>
      <c r="C2054" s="102">
        <v>2011.0</v>
      </c>
      <c r="D2054" s="103" t="s">
        <v>226</v>
      </c>
      <c r="E2054" s="102">
        <v>0.0</v>
      </c>
      <c r="F2054" s="103" t="s">
        <v>227</v>
      </c>
      <c r="G2054" s="102">
        <v>0.0</v>
      </c>
      <c r="H2054" s="103"/>
      <c r="I2054" s="103"/>
      <c r="J2054" s="103"/>
      <c r="K2054" s="92">
        <v>0.58</v>
      </c>
      <c r="L2054" s="89">
        <v>0.372</v>
      </c>
      <c r="M2054" s="88"/>
      <c r="N2054" s="88"/>
    </row>
    <row r="2055">
      <c r="A2055" s="90">
        <v>44761.0</v>
      </c>
      <c r="B2055" s="90">
        <v>44761.0</v>
      </c>
      <c r="C2055" s="102">
        <v>2375.0</v>
      </c>
      <c r="D2055" s="103" t="s">
        <v>226</v>
      </c>
      <c r="E2055" s="102">
        <v>0.0</v>
      </c>
      <c r="F2055" s="103" t="s">
        <v>228</v>
      </c>
      <c r="G2055" s="102">
        <v>0.0</v>
      </c>
      <c r="H2055" s="103"/>
      <c r="I2055" s="103"/>
      <c r="J2055" s="103"/>
      <c r="K2055" s="104">
        <v>5.353</v>
      </c>
      <c r="L2055" s="89">
        <v>3.19</v>
      </c>
      <c r="M2055" s="88"/>
      <c r="N2055" s="88"/>
    </row>
    <row r="2056">
      <c r="A2056" s="90">
        <v>44761.0</v>
      </c>
      <c r="B2056" s="90">
        <v>44761.0</v>
      </c>
      <c r="C2056" s="102">
        <v>2377.0</v>
      </c>
      <c r="D2056" s="103" t="s">
        <v>226</v>
      </c>
      <c r="E2056" s="102">
        <v>1.0</v>
      </c>
      <c r="F2056" s="103" t="s">
        <v>228</v>
      </c>
      <c r="G2056" s="102">
        <v>1.0</v>
      </c>
      <c r="H2056" s="103"/>
      <c r="I2056" s="103"/>
      <c r="J2056" s="103"/>
      <c r="K2056" s="104">
        <v>2.858</v>
      </c>
      <c r="L2056" s="89">
        <v>1.889</v>
      </c>
      <c r="M2056" s="88"/>
      <c r="N2056" s="88"/>
    </row>
    <row r="2057">
      <c r="A2057" s="90">
        <v>44761.0</v>
      </c>
      <c r="B2057" s="90">
        <v>44761.0</v>
      </c>
      <c r="C2057" s="102">
        <v>2367.0</v>
      </c>
      <c r="D2057" s="103" t="s">
        <v>221</v>
      </c>
      <c r="E2057" s="102">
        <v>0.0</v>
      </c>
      <c r="F2057" s="103" t="s">
        <v>228</v>
      </c>
      <c r="G2057" s="102">
        <v>0.0</v>
      </c>
      <c r="H2057" s="103"/>
      <c r="I2057" s="103"/>
      <c r="J2057" s="103"/>
      <c r="K2057" s="104">
        <v>3.097</v>
      </c>
      <c r="L2057" s="89">
        <v>1.957</v>
      </c>
      <c r="M2057" s="88"/>
      <c r="N2057" s="88"/>
    </row>
    <row r="2058">
      <c r="A2058" s="90">
        <v>44761.0</v>
      </c>
      <c r="B2058" s="90">
        <v>44761.0</v>
      </c>
      <c r="C2058" s="102">
        <v>2025.0</v>
      </c>
      <c r="D2058" s="103" t="s">
        <v>221</v>
      </c>
      <c r="E2058" s="102">
        <v>0.0</v>
      </c>
      <c r="F2058" s="103" t="s">
        <v>227</v>
      </c>
      <c r="G2058" s="102">
        <v>0.0</v>
      </c>
      <c r="H2058" s="103" t="s">
        <v>271</v>
      </c>
      <c r="I2058" s="103"/>
      <c r="J2058" s="103"/>
      <c r="K2058" s="104">
        <v>0.456</v>
      </c>
      <c r="L2058" s="89">
        <v>0.302</v>
      </c>
      <c r="M2058" s="88"/>
      <c r="N2058" s="88"/>
    </row>
    <row r="2059">
      <c r="A2059" s="90">
        <v>44761.0</v>
      </c>
      <c r="B2059" s="90">
        <v>44761.0</v>
      </c>
      <c r="C2059" s="102">
        <v>2380.0</v>
      </c>
      <c r="D2059" s="103" t="s">
        <v>221</v>
      </c>
      <c r="E2059" s="102">
        <v>0.0</v>
      </c>
      <c r="F2059" s="103" t="s">
        <v>227</v>
      </c>
      <c r="G2059" s="102">
        <v>0.0</v>
      </c>
      <c r="H2059" s="103"/>
      <c r="I2059" s="103"/>
      <c r="J2059" s="103"/>
      <c r="K2059" s="104">
        <v>0.562</v>
      </c>
      <c r="L2059" s="89">
        <v>0.381</v>
      </c>
      <c r="M2059" s="88"/>
      <c r="N2059" s="88"/>
    </row>
    <row r="2060">
      <c r="A2060" s="90">
        <v>44761.0</v>
      </c>
      <c r="B2060" s="90">
        <v>44761.0</v>
      </c>
      <c r="C2060" s="102">
        <v>2379.0</v>
      </c>
      <c r="D2060" s="103" t="s">
        <v>226</v>
      </c>
      <c r="E2060" s="102">
        <v>0.0</v>
      </c>
      <c r="F2060" s="103" t="s">
        <v>227</v>
      </c>
      <c r="G2060" s="102">
        <v>0.0</v>
      </c>
      <c r="H2060" s="103"/>
      <c r="I2060" s="103"/>
      <c r="J2060" s="103"/>
      <c r="K2060" s="104">
        <v>0.189</v>
      </c>
      <c r="L2060" s="89">
        <v>0.123</v>
      </c>
      <c r="M2060" s="88"/>
      <c r="N2060" s="88"/>
    </row>
    <row r="2061">
      <c r="A2061" s="90">
        <v>44761.0</v>
      </c>
      <c r="B2061" s="90">
        <v>44761.0</v>
      </c>
      <c r="C2061" s="102">
        <v>2378.0</v>
      </c>
      <c r="D2061" s="103" t="s">
        <v>226</v>
      </c>
      <c r="E2061" s="102">
        <v>0.0</v>
      </c>
      <c r="F2061" s="103" t="s">
        <v>227</v>
      </c>
      <c r="G2061" s="102">
        <v>0.0</v>
      </c>
      <c r="H2061" s="103"/>
      <c r="I2061" s="103"/>
      <c r="J2061" s="103"/>
      <c r="K2061" s="104">
        <v>0.533</v>
      </c>
      <c r="L2061" s="89">
        <v>0.344</v>
      </c>
      <c r="M2061" s="88"/>
      <c r="N2061" s="88"/>
    </row>
    <row r="2062">
      <c r="A2062" s="90">
        <v>44761.0</v>
      </c>
      <c r="B2062" s="90">
        <v>44761.0</v>
      </c>
      <c r="C2062" s="102">
        <v>2013.0</v>
      </c>
      <c r="D2062" s="103" t="s">
        <v>221</v>
      </c>
      <c r="E2062" s="102">
        <v>0.0</v>
      </c>
      <c r="F2062" s="103" t="s">
        <v>227</v>
      </c>
      <c r="G2062" s="102">
        <v>0.0</v>
      </c>
      <c r="H2062" s="103"/>
      <c r="I2062" s="103"/>
      <c r="J2062" s="103"/>
      <c r="K2062" s="104">
        <v>0.74</v>
      </c>
      <c r="L2062" s="89">
        <v>0.487</v>
      </c>
      <c r="M2062" s="88"/>
      <c r="N2062" s="88"/>
    </row>
    <row r="2063">
      <c r="A2063" s="90">
        <v>44761.0</v>
      </c>
      <c r="B2063" s="90">
        <v>44761.0</v>
      </c>
      <c r="C2063" s="102">
        <v>2006.0</v>
      </c>
      <c r="D2063" s="103" t="s">
        <v>221</v>
      </c>
      <c r="E2063" s="102">
        <v>0.0</v>
      </c>
      <c r="F2063" s="103" t="s">
        <v>227</v>
      </c>
      <c r="G2063" s="102">
        <v>0.0</v>
      </c>
      <c r="H2063" s="103"/>
      <c r="I2063" s="103"/>
      <c r="J2063" s="103"/>
      <c r="K2063" s="104">
        <v>0.606</v>
      </c>
      <c r="L2063" s="89">
        <v>0.402</v>
      </c>
      <c r="M2063" s="88"/>
      <c r="N2063" s="88"/>
    </row>
    <row r="2064">
      <c r="A2064" s="90">
        <v>44761.0</v>
      </c>
      <c r="B2064" s="90">
        <v>44761.0</v>
      </c>
      <c r="C2064" s="102">
        <v>2354.0</v>
      </c>
      <c r="D2064" s="103" t="s">
        <v>226</v>
      </c>
      <c r="E2064" s="102">
        <v>0.0</v>
      </c>
      <c r="F2064" s="103" t="s">
        <v>228</v>
      </c>
      <c r="G2064" s="102">
        <v>0.0</v>
      </c>
      <c r="H2064" s="103"/>
      <c r="I2064" s="103"/>
      <c r="J2064" s="103"/>
      <c r="K2064" s="104">
        <v>4.609</v>
      </c>
      <c r="L2064" s="89">
        <v>2.781</v>
      </c>
      <c r="M2064" s="88"/>
      <c r="N2064" s="88"/>
    </row>
    <row r="2065">
      <c r="A2065" s="90">
        <v>44761.0</v>
      </c>
      <c r="B2065" s="90">
        <v>44761.0</v>
      </c>
      <c r="C2065" s="102">
        <v>2375.0</v>
      </c>
      <c r="D2065" s="103" t="s">
        <v>221</v>
      </c>
      <c r="E2065" s="102">
        <v>0.0</v>
      </c>
      <c r="F2065" s="103" t="s">
        <v>227</v>
      </c>
      <c r="G2065" s="102">
        <v>0.0</v>
      </c>
      <c r="H2065" s="103"/>
      <c r="I2065" s="103"/>
      <c r="J2065" s="103"/>
      <c r="K2065" s="104">
        <v>0.26</v>
      </c>
      <c r="L2065" s="89">
        <v>0.172</v>
      </c>
      <c r="M2065" s="88"/>
      <c r="N2065" s="88"/>
    </row>
    <row r="2066">
      <c r="A2066" s="90">
        <v>44761.0</v>
      </c>
      <c r="B2066" s="90">
        <v>44761.0</v>
      </c>
      <c r="C2066" s="102">
        <v>2371.0</v>
      </c>
      <c r="D2066" s="103" t="s">
        <v>226</v>
      </c>
      <c r="E2066" s="102">
        <v>0.0</v>
      </c>
      <c r="F2066" s="103" t="s">
        <v>228</v>
      </c>
      <c r="G2066" s="102">
        <v>0.0</v>
      </c>
      <c r="H2066" s="103"/>
      <c r="I2066" s="103"/>
      <c r="J2066" s="103"/>
      <c r="K2066" s="104">
        <v>4.201</v>
      </c>
      <c r="L2066" s="89">
        <v>2.508</v>
      </c>
      <c r="M2066" s="88"/>
      <c r="N2066" s="88"/>
    </row>
    <row r="2067">
      <c r="A2067" s="90">
        <v>44761.0</v>
      </c>
      <c r="B2067" s="90">
        <v>44761.0</v>
      </c>
      <c r="C2067" s="102">
        <v>2370.0</v>
      </c>
      <c r="D2067" s="103" t="s">
        <v>221</v>
      </c>
      <c r="E2067" s="102">
        <v>0.0</v>
      </c>
      <c r="F2067" s="103" t="s">
        <v>227</v>
      </c>
      <c r="G2067" s="102">
        <v>0.0</v>
      </c>
      <c r="H2067" s="103"/>
      <c r="I2067" s="103"/>
      <c r="J2067" s="103"/>
      <c r="K2067" s="104">
        <v>0.205</v>
      </c>
      <c r="L2067" s="89">
        <v>0.136</v>
      </c>
      <c r="M2067" s="88"/>
      <c r="N2067" s="88"/>
    </row>
    <row r="2068">
      <c r="A2068" s="90">
        <v>44761.0</v>
      </c>
      <c r="B2068" s="90">
        <v>44761.0</v>
      </c>
      <c r="C2068" s="102">
        <v>2087.0</v>
      </c>
      <c r="D2068" s="103" t="s">
        <v>221</v>
      </c>
      <c r="E2068" s="102">
        <v>0.0</v>
      </c>
      <c r="F2068" s="103" t="s">
        <v>228</v>
      </c>
      <c r="G2068" s="102">
        <v>0.0</v>
      </c>
      <c r="H2068" s="103"/>
      <c r="I2068" s="103"/>
      <c r="J2068" s="103"/>
      <c r="K2068" s="104">
        <v>3.945</v>
      </c>
      <c r="L2068" s="89">
        <v>2.397</v>
      </c>
      <c r="M2068" s="88"/>
      <c r="N2068" s="88"/>
    </row>
    <row r="2069">
      <c r="A2069" s="90">
        <v>44761.0</v>
      </c>
      <c r="B2069" s="90">
        <v>44761.0</v>
      </c>
      <c r="C2069" s="102">
        <v>2375.0</v>
      </c>
      <c r="D2069" s="103" t="s">
        <v>226</v>
      </c>
      <c r="E2069" s="102">
        <v>0.0</v>
      </c>
      <c r="F2069" s="103" t="s">
        <v>227</v>
      </c>
      <c r="G2069" s="102">
        <v>0.0</v>
      </c>
      <c r="H2069" s="103"/>
      <c r="I2069" s="103"/>
      <c r="J2069" s="103"/>
      <c r="K2069" s="104">
        <v>1.197</v>
      </c>
      <c r="L2069" s="89">
        <v>0.752</v>
      </c>
      <c r="M2069" s="88"/>
      <c r="N2069" s="88"/>
    </row>
    <row r="2070">
      <c r="A2070" s="90">
        <v>44761.0</v>
      </c>
      <c r="B2070" s="90">
        <v>44761.0</v>
      </c>
      <c r="C2070" s="102">
        <v>2384.0</v>
      </c>
      <c r="D2070" s="103" t="s">
        <v>226</v>
      </c>
      <c r="E2070" s="102">
        <v>0.0</v>
      </c>
      <c r="F2070" s="103" t="s">
        <v>228</v>
      </c>
      <c r="G2070" s="102">
        <v>0.0</v>
      </c>
      <c r="H2070" s="103"/>
      <c r="I2070" s="103"/>
      <c r="J2070" s="103"/>
      <c r="K2070" s="104">
        <v>2.634</v>
      </c>
      <c r="L2070" s="89">
        <v>1.629</v>
      </c>
      <c r="M2070" s="88"/>
      <c r="N2070" s="88"/>
    </row>
    <row r="2071">
      <c r="A2071" s="90">
        <v>44761.0</v>
      </c>
      <c r="B2071" s="90">
        <v>44761.0</v>
      </c>
      <c r="C2071" s="102">
        <v>2354.0</v>
      </c>
      <c r="D2071" s="103" t="s">
        <v>221</v>
      </c>
      <c r="E2071" s="102">
        <v>0.0</v>
      </c>
      <c r="F2071" s="103" t="s">
        <v>227</v>
      </c>
      <c r="G2071" s="102">
        <v>0.0</v>
      </c>
      <c r="H2071" s="103"/>
      <c r="I2071" s="103"/>
      <c r="J2071" s="103"/>
      <c r="K2071" s="104">
        <v>0.192</v>
      </c>
      <c r="L2071" s="89">
        <v>0.119</v>
      </c>
      <c r="M2071" s="88"/>
      <c r="N2071" s="88"/>
    </row>
    <row r="2072">
      <c r="A2072" s="90">
        <v>44761.0</v>
      </c>
      <c r="B2072" s="90">
        <v>44761.0</v>
      </c>
      <c r="C2072" s="102">
        <v>2354.0</v>
      </c>
      <c r="D2072" s="103" t="s">
        <v>221</v>
      </c>
      <c r="E2072" s="102">
        <v>0.0</v>
      </c>
      <c r="F2072" s="103" t="s">
        <v>228</v>
      </c>
      <c r="G2072" s="102">
        <v>0.0</v>
      </c>
      <c r="H2072" s="103"/>
      <c r="I2072" s="103"/>
      <c r="J2072" s="103"/>
      <c r="K2072" s="104">
        <v>3.049</v>
      </c>
      <c r="L2072" s="89">
        <v>1.858</v>
      </c>
      <c r="M2072" s="88"/>
      <c r="N2072" s="88"/>
    </row>
    <row r="2073">
      <c r="A2073" s="90">
        <v>44761.0</v>
      </c>
      <c r="B2073" s="90">
        <v>44761.0</v>
      </c>
      <c r="C2073" s="102">
        <v>2360.0</v>
      </c>
      <c r="D2073" s="103" t="s">
        <v>226</v>
      </c>
      <c r="E2073" s="102">
        <v>0.0</v>
      </c>
      <c r="F2073" s="103" t="s">
        <v>227</v>
      </c>
      <c r="G2073" s="102">
        <v>0.0</v>
      </c>
      <c r="H2073" s="103"/>
      <c r="I2073" s="103"/>
      <c r="J2073" s="103"/>
      <c r="K2073" s="104">
        <v>0.502</v>
      </c>
      <c r="L2073" s="89">
        <v>0.341</v>
      </c>
      <c r="M2073" s="88"/>
      <c r="N2073" s="88"/>
    </row>
    <row r="2074">
      <c r="A2074" s="90">
        <v>44761.0</v>
      </c>
      <c r="B2074" s="90">
        <v>44761.0</v>
      </c>
      <c r="C2074" s="102">
        <v>2354.0</v>
      </c>
      <c r="D2074" s="103" t="s">
        <v>226</v>
      </c>
      <c r="E2074" s="102">
        <v>0.0</v>
      </c>
      <c r="F2074" s="103" t="s">
        <v>227</v>
      </c>
      <c r="G2074" s="102">
        <v>0.0</v>
      </c>
      <c r="H2074" s="103"/>
      <c r="I2074" s="103"/>
      <c r="J2074" s="103"/>
      <c r="K2074" s="104">
        <v>0.377</v>
      </c>
      <c r="L2074" s="89">
        <v>0.22</v>
      </c>
      <c r="M2074" s="88"/>
      <c r="N2074" s="88"/>
    </row>
    <row r="2075">
      <c r="A2075" s="90">
        <v>44761.0</v>
      </c>
      <c r="B2075" s="90">
        <v>44761.0</v>
      </c>
      <c r="C2075" s="102">
        <v>2369.0</v>
      </c>
      <c r="D2075" s="103" t="s">
        <v>226</v>
      </c>
      <c r="E2075" s="102">
        <v>0.0</v>
      </c>
      <c r="F2075" s="103" t="s">
        <v>228</v>
      </c>
      <c r="G2075" s="102">
        <v>0.0</v>
      </c>
      <c r="H2075" s="103"/>
      <c r="I2075" s="103"/>
      <c r="J2075" s="103"/>
      <c r="K2075" s="104">
        <v>1.645</v>
      </c>
      <c r="L2075" s="89">
        <v>1.067</v>
      </c>
      <c r="M2075" s="88"/>
      <c r="N2075" s="88"/>
    </row>
    <row r="2076">
      <c r="A2076" s="90">
        <v>44761.0</v>
      </c>
      <c r="B2076" s="90">
        <v>44761.0</v>
      </c>
      <c r="C2076" s="102">
        <v>2360.0</v>
      </c>
      <c r="D2076" s="103" t="s">
        <v>221</v>
      </c>
      <c r="E2076" s="102">
        <v>0.0</v>
      </c>
      <c r="F2076" s="103" t="s">
        <v>227</v>
      </c>
      <c r="G2076" s="102">
        <v>0.0</v>
      </c>
      <c r="H2076" s="103"/>
      <c r="I2076" s="103"/>
      <c r="J2076" s="103"/>
      <c r="K2076" s="104">
        <v>0.255</v>
      </c>
      <c r="L2076" s="89">
        <v>0.177</v>
      </c>
      <c r="M2076" s="88"/>
      <c r="N2076" s="88"/>
    </row>
    <row r="2077">
      <c r="A2077" s="90">
        <v>44761.0</v>
      </c>
      <c r="B2077" s="90">
        <v>44761.0</v>
      </c>
      <c r="C2077" s="102">
        <v>2006.0</v>
      </c>
      <c r="D2077" s="103" t="s">
        <v>221</v>
      </c>
      <c r="E2077" s="102">
        <v>0.0</v>
      </c>
      <c r="F2077" s="103" t="s">
        <v>228</v>
      </c>
      <c r="G2077" s="102">
        <v>0.0</v>
      </c>
      <c r="H2077" s="103"/>
      <c r="I2077" s="103"/>
      <c r="J2077" s="103"/>
      <c r="K2077" s="104">
        <v>4.061</v>
      </c>
      <c r="L2077" s="89">
        <v>2.479</v>
      </c>
      <c r="M2077" s="88"/>
      <c r="N2077" s="88"/>
    </row>
    <row r="2078">
      <c r="A2078" s="90">
        <v>44761.0</v>
      </c>
      <c r="B2078" s="90">
        <v>44761.0</v>
      </c>
      <c r="C2078" s="102">
        <v>2030.0</v>
      </c>
      <c r="D2078" s="103" t="s">
        <v>221</v>
      </c>
      <c r="E2078" s="102">
        <v>0.0</v>
      </c>
      <c r="F2078" s="103" t="s">
        <v>228</v>
      </c>
      <c r="G2078" s="102">
        <v>0.0</v>
      </c>
      <c r="H2078" s="103"/>
      <c r="I2078" s="103"/>
      <c r="J2078" s="103"/>
      <c r="K2078" s="104">
        <v>4.677</v>
      </c>
      <c r="L2078" s="89">
        <v>2.913</v>
      </c>
      <c r="M2078" s="88"/>
      <c r="N2078" s="88"/>
    </row>
    <row r="2079">
      <c r="A2079" s="90">
        <v>44761.0</v>
      </c>
      <c r="B2079" s="90">
        <v>44761.0</v>
      </c>
      <c r="C2079" s="102">
        <v>2393.0</v>
      </c>
      <c r="D2079" s="103" t="s">
        <v>221</v>
      </c>
      <c r="E2079" s="102">
        <v>0.0</v>
      </c>
      <c r="F2079" s="103" t="s">
        <v>227</v>
      </c>
      <c r="G2079" s="102">
        <v>0.0</v>
      </c>
      <c r="H2079" s="103"/>
      <c r="I2079" s="103"/>
      <c r="J2079" s="103"/>
      <c r="K2079" s="104">
        <v>0.183</v>
      </c>
      <c r="L2079" s="89">
        <v>0.111</v>
      </c>
      <c r="M2079" s="88"/>
      <c r="N2079" s="88"/>
    </row>
    <row r="2080">
      <c r="A2080" s="90">
        <v>44761.0</v>
      </c>
      <c r="B2080" s="90">
        <v>44761.0</v>
      </c>
      <c r="C2080" s="102">
        <v>2015.0</v>
      </c>
      <c r="D2080" s="103" t="s">
        <v>221</v>
      </c>
      <c r="E2080" s="102">
        <v>0.0</v>
      </c>
      <c r="F2080" s="103" t="s">
        <v>228</v>
      </c>
      <c r="G2080" s="102">
        <v>0.0</v>
      </c>
      <c r="H2080" s="103"/>
      <c r="I2080" s="103"/>
      <c r="J2080" s="103"/>
      <c r="K2080" s="104">
        <v>4.812</v>
      </c>
      <c r="L2080" s="89">
        <v>2.913</v>
      </c>
      <c r="M2080" s="88"/>
      <c r="N2080" s="88"/>
    </row>
    <row r="2081">
      <c r="A2081" s="90">
        <v>44761.0</v>
      </c>
      <c r="B2081" s="90">
        <v>44761.0</v>
      </c>
      <c r="C2081" s="102">
        <v>2380.0</v>
      </c>
      <c r="D2081" s="103" t="s">
        <v>221</v>
      </c>
      <c r="E2081" s="102">
        <v>0.0</v>
      </c>
      <c r="F2081" s="103" t="s">
        <v>228</v>
      </c>
      <c r="G2081" s="102">
        <v>0.0</v>
      </c>
      <c r="H2081" s="103"/>
      <c r="I2081" s="103"/>
      <c r="J2081" s="103"/>
      <c r="K2081" s="104">
        <v>4.543</v>
      </c>
      <c r="L2081" s="89">
        <v>3.009</v>
      </c>
      <c r="M2081" s="88"/>
      <c r="N2081" s="88"/>
    </row>
    <row r="2082">
      <c r="A2082" s="90">
        <v>44761.0</v>
      </c>
      <c r="B2082" s="90">
        <v>44761.0</v>
      </c>
      <c r="C2082" s="102">
        <v>2080.0</v>
      </c>
      <c r="D2082" s="103" t="s">
        <v>226</v>
      </c>
      <c r="E2082" s="102">
        <v>0.0</v>
      </c>
      <c r="F2082" s="103" t="s">
        <v>228</v>
      </c>
      <c r="G2082" s="102">
        <v>0.0</v>
      </c>
      <c r="H2082" s="103"/>
      <c r="I2082" s="103"/>
      <c r="J2082" s="103"/>
      <c r="K2082" s="104">
        <v>4.129</v>
      </c>
      <c r="L2082" s="89">
        <v>2.427</v>
      </c>
      <c r="M2082" s="88"/>
      <c r="N2082" s="88"/>
    </row>
    <row r="2083">
      <c r="A2083" s="90">
        <v>44761.0</v>
      </c>
      <c r="B2083" s="90">
        <v>44761.0</v>
      </c>
      <c r="C2083" s="102">
        <v>2360.0</v>
      </c>
      <c r="D2083" s="103" t="s">
        <v>226</v>
      </c>
      <c r="E2083" s="102">
        <v>0.0</v>
      </c>
      <c r="F2083" s="103" t="s">
        <v>228</v>
      </c>
      <c r="G2083" s="102">
        <v>0.0</v>
      </c>
      <c r="H2083" s="103"/>
      <c r="I2083" s="103"/>
      <c r="J2083" s="103"/>
      <c r="K2083" s="104">
        <v>3.516</v>
      </c>
      <c r="L2083" s="89">
        <v>2.136</v>
      </c>
      <c r="M2083" s="88"/>
      <c r="N2083" s="88"/>
    </row>
    <row r="2084">
      <c r="A2084" s="90">
        <v>44761.0</v>
      </c>
      <c r="B2084" s="90">
        <v>44761.0</v>
      </c>
      <c r="C2084" s="102">
        <v>2009.0</v>
      </c>
      <c r="D2084" s="103" t="s">
        <v>221</v>
      </c>
      <c r="E2084" s="102">
        <v>0.0</v>
      </c>
      <c r="F2084" s="103" t="s">
        <v>228</v>
      </c>
      <c r="G2084" s="102">
        <v>0.0</v>
      </c>
      <c r="H2084" s="103"/>
      <c r="I2084" s="103"/>
      <c r="J2084" s="103"/>
      <c r="K2084" s="104">
        <v>2.795</v>
      </c>
      <c r="L2084" s="89">
        <v>1.744</v>
      </c>
      <c r="M2084" s="88"/>
      <c r="N2084" s="88"/>
    </row>
    <row r="2085">
      <c r="A2085" s="90">
        <v>44761.0</v>
      </c>
      <c r="B2085" s="90">
        <v>44761.0</v>
      </c>
      <c r="C2085" s="102">
        <v>2028.0</v>
      </c>
      <c r="D2085" s="103" t="s">
        <v>221</v>
      </c>
      <c r="E2085" s="102">
        <v>0.0</v>
      </c>
      <c r="F2085" s="103" t="s">
        <v>228</v>
      </c>
      <c r="G2085" s="102">
        <v>0.0</v>
      </c>
      <c r="H2085" s="103"/>
      <c r="I2085" s="103"/>
      <c r="J2085" s="103"/>
      <c r="K2085" s="104">
        <v>3.566</v>
      </c>
      <c r="L2085" s="89">
        <v>2.26</v>
      </c>
      <c r="M2085" s="88"/>
      <c r="N2085" s="88"/>
    </row>
    <row r="2086">
      <c r="A2086" s="90">
        <v>44761.0</v>
      </c>
      <c r="B2086" s="90">
        <v>44761.0</v>
      </c>
      <c r="C2086" s="102">
        <v>2354.0</v>
      </c>
      <c r="D2086" s="103" t="s">
        <v>221</v>
      </c>
      <c r="E2086" s="102">
        <v>1.0</v>
      </c>
      <c r="F2086" s="103" t="s">
        <v>227</v>
      </c>
      <c r="G2086" s="102">
        <v>1.0</v>
      </c>
      <c r="H2086" s="103"/>
      <c r="I2086" s="103"/>
      <c r="J2086" s="103"/>
      <c r="K2086" s="104">
        <v>0.655</v>
      </c>
      <c r="L2086" s="89">
        <v>0.438</v>
      </c>
      <c r="M2086" s="88"/>
      <c r="N2086" s="88"/>
    </row>
    <row r="2087">
      <c r="A2087" s="90">
        <v>44761.0</v>
      </c>
      <c r="B2087" s="90">
        <v>44761.0</v>
      </c>
      <c r="C2087" s="102">
        <v>2010.0</v>
      </c>
      <c r="D2087" s="103" t="s">
        <v>226</v>
      </c>
      <c r="E2087" s="102">
        <v>0.0</v>
      </c>
      <c r="F2087" s="103" t="s">
        <v>227</v>
      </c>
      <c r="G2087" s="102">
        <v>0.0</v>
      </c>
      <c r="H2087" s="103"/>
      <c r="I2087" s="103"/>
      <c r="J2087" s="103"/>
      <c r="K2087" s="104">
        <v>0.585</v>
      </c>
      <c r="L2087" s="89">
        <v>0.372</v>
      </c>
      <c r="M2087" s="88"/>
      <c r="N2087" s="88"/>
    </row>
    <row r="2088">
      <c r="A2088" s="90">
        <v>44761.0</v>
      </c>
      <c r="B2088" s="90">
        <v>44761.0</v>
      </c>
      <c r="C2088" s="102">
        <v>2026.0</v>
      </c>
      <c r="D2088" s="103" t="s">
        <v>221</v>
      </c>
      <c r="E2088" s="102">
        <v>0.0</v>
      </c>
      <c r="F2088" s="103" t="s">
        <v>228</v>
      </c>
      <c r="G2088" s="102">
        <v>0.0</v>
      </c>
      <c r="H2088" s="103"/>
      <c r="I2088" s="103"/>
      <c r="J2088" s="103"/>
      <c r="K2088" s="104">
        <v>2.269</v>
      </c>
      <c r="L2088" s="89">
        <v>1.418</v>
      </c>
      <c r="M2088" s="88"/>
      <c r="N2088" s="88"/>
    </row>
    <row r="2089">
      <c r="A2089" s="90">
        <v>44761.0</v>
      </c>
      <c r="B2089" s="90">
        <v>44761.0</v>
      </c>
      <c r="C2089" s="102">
        <v>2379.0</v>
      </c>
      <c r="D2089" s="103" t="s">
        <v>226</v>
      </c>
      <c r="E2089" s="102">
        <v>0.0</v>
      </c>
      <c r="F2089" s="103" t="s">
        <v>228</v>
      </c>
      <c r="G2089" s="102">
        <v>0.0</v>
      </c>
      <c r="H2089" s="103"/>
      <c r="I2089" s="103"/>
      <c r="J2089" s="103"/>
      <c r="K2089" s="104">
        <v>2.958</v>
      </c>
      <c r="L2089" s="89">
        <v>1.829</v>
      </c>
      <c r="M2089" s="88"/>
      <c r="N2089" s="88"/>
    </row>
    <row r="2090">
      <c r="A2090" s="90">
        <v>44761.0</v>
      </c>
      <c r="B2090" s="90">
        <v>44761.0</v>
      </c>
      <c r="C2090" s="102">
        <v>2080.0</v>
      </c>
      <c r="D2090" s="103" t="s">
        <v>226</v>
      </c>
      <c r="E2090" s="102">
        <v>0.0</v>
      </c>
      <c r="F2090" s="103" t="s">
        <v>227</v>
      </c>
      <c r="G2090" s="102">
        <v>0.0</v>
      </c>
      <c r="H2090" s="103"/>
      <c r="I2090" s="103"/>
      <c r="J2090" s="103"/>
      <c r="K2090" s="104">
        <v>0.405</v>
      </c>
      <c r="L2090" s="89">
        <v>0.256</v>
      </c>
      <c r="M2090" s="88"/>
      <c r="N2090" s="88"/>
    </row>
    <row r="2091">
      <c r="A2091" s="90">
        <v>44761.0</v>
      </c>
      <c r="B2091" s="90">
        <v>44761.0</v>
      </c>
      <c r="C2091" s="102">
        <v>2381.0</v>
      </c>
      <c r="D2091" s="103" t="s">
        <v>221</v>
      </c>
      <c r="E2091" s="102">
        <v>0.0</v>
      </c>
      <c r="F2091" s="103" t="s">
        <v>228</v>
      </c>
      <c r="G2091" s="102">
        <v>0.0</v>
      </c>
      <c r="H2091" s="103"/>
      <c r="I2091" s="103"/>
      <c r="J2091" s="103"/>
      <c r="K2091" s="104">
        <v>2.617</v>
      </c>
      <c r="L2091" s="89">
        <v>1.595</v>
      </c>
      <c r="M2091" s="88"/>
      <c r="N2091" s="88"/>
    </row>
    <row r="2092">
      <c r="A2092" s="90">
        <v>44761.0</v>
      </c>
      <c r="B2092" s="90">
        <v>44761.0</v>
      </c>
      <c r="C2092" s="102">
        <v>2011.0</v>
      </c>
      <c r="D2092" s="103" t="s">
        <v>221</v>
      </c>
      <c r="E2092" s="102">
        <v>0.0</v>
      </c>
      <c r="F2092" s="103" t="s">
        <v>227</v>
      </c>
      <c r="G2092" s="102">
        <v>0.0</v>
      </c>
      <c r="H2092" s="103"/>
      <c r="I2092" s="103"/>
      <c r="J2092" s="103"/>
      <c r="K2092" s="104">
        <v>0.533</v>
      </c>
      <c r="L2092" s="89">
        <v>0.346</v>
      </c>
      <c r="M2092" s="88"/>
      <c r="N2092" s="88"/>
    </row>
    <row r="2093">
      <c r="A2093" s="90">
        <v>44761.0</v>
      </c>
      <c r="B2093" s="90">
        <v>44761.0</v>
      </c>
      <c r="C2093" s="102">
        <v>2085.0</v>
      </c>
      <c r="D2093" s="103" t="s">
        <v>221</v>
      </c>
      <c r="E2093" s="102">
        <v>0.0</v>
      </c>
      <c r="F2093" s="103" t="s">
        <v>227</v>
      </c>
      <c r="G2093" s="102">
        <v>0.0</v>
      </c>
      <c r="H2093" s="103"/>
      <c r="I2093" s="103"/>
      <c r="J2093" s="103"/>
      <c r="K2093" s="104">
        <v>1.405</v>
      </c>
      <c r="L2093" s="92">
        <v>0.89</v>
      </c>
      <c r="M2093" s="88"/>
      <c r="N2093" s="88"/>
    </row>
    <row r="2094">
      <c r="A2094" s="90">
        <v>44761.0</v>
      </c>
      <c r="B2094" s="90">
        <v>44761.0</v>
      </c>
      <c r="C2094" s="102">
        <v>2393.0</v>
      </c>
      <c r="D2094" s="103" t="s">
        <v>221</v>
      </c>
      <c r="E2094" s="102">
        <v>1.0</v>
      </c>
      <c r="F2094" s="103" t="s">
        <v>227</v>
      </c>
      <c r="G2094" s="102">
        <v>1.0</v>
      </c>
      <c r="H2094" s="103"/>
      <c r="I2094" s="103"/>
      <c r="J2094" s="103"/>
      <c r="K2094" s="104">
        <v>1.13</v>
      </c>
      <c r="L2094" s="89">
        <v>0.713</v>
      </c>
      <c r="M2094" s="88"/>
      <c r="N2094" s="88"/>
    </row>
    <row r="2095">
      <c r="A2095" s="90">
        <v>44761.0</v>
      </c>
      <c r="B2095" s="90">
        <v>44761.0</v>
      </c>
      <c r="C2095" s="102">
        <v>2089.0</v>
      </c>
      <c r="D2095" s="103" t="s">
        <v>221</v>
      </c>
      <c r="E2095" s="102">
        <v>1.0</v>
      </c>
      <c r="F2095" s="103" t="s">
        <v>227</v>
      </c>
      <c r="G2095" s="102">
        <v>1.0</v>
      </c>
      <c r="H2095" s="103"/>
      <c r="I2095" s="103"/>
      <c r="J2095" s="103"/>
      <c r="K2095" s="104">
        <v>0.378</v>
      </c>
      <c r="L2095" s="89">
        <v>0.249</v>
      </c>
      <c r="M2095" s="88"/>
      <c r="N2095" s="88"/>
    </row>
    <row r="2096">
      <c r="A2096" s="90">
        <v>44761.0</v>
      </c>
      <c r="B2096" s="90">
        <v>44761.0</v>
      </c>
      <c r="C2096" s="102">
        <v>2013.0</v>
      </c>
      <c r="D2096" s="103" t="s">
        <v>221</v>
      </c>
      <c r="E2096" s="102">
        <v>0.0</v>
      </c>
      <c r="F2096" s="103" t="s">
        <v>228</v>
      </c>
      <c r="G2096" s="102">
        <v>0.0</v>
      </c>
      <c r="H2096" s="103"/>
      <c r="I2096" s="103"/>
      <c r="J2096" s="103"/>
      <c r="K2096" s="104">
        <v>3.546</v>
      </c>
      <c r="L2096" s="89">
        <v>2.171</v>
      </c>
      <c r="M2096" s="88"/>
      <c r="N2096" s="88"/>
    </row>
    <row r="2097">
      <c r="A2097" s="90">
        <v>44761.0</v>
      </c>
      <c r="B2097" s="90">
        <v>44761.0</v>
      </c>
      <c r="C2097" s="102">
        <v>2092.0</v>
      </c>
      <c r="D2097" s="103" t="s">
        <v>221</v>
      </c>
      <c r="E2097" s="102">
        <v>1.0</v>
      </c>
      <c r="F2097" s="103" t="s">
        <v>227</v>
      </c>
      <c r="G2097" s="102">
        <v>1.0</v>
      </c>
      <c r="H2097" s="103"/>
      <c r="I2097" s="103"/>
      <c r="J2097" s="103"/>
      <c r="K2097" s="104">
        <v>0.424</v>
      </c>
      <c r="L2097" s="89">
        <v>0.268</v>
      </c>
      <c r="M2097" s="88"/>
      <c r="N2097" s="88"/>
    </row>
    <row r="2098">
      <c r="A2098" s="90">
        <v>44761.0</v>
      </c>
      <c r="B2098" s="90">
        <v>44761.0</v>
      </c>
      <c r="C2098" s="102">
        <v>2026.0</v>
      </c>
      <c r="D2098" s="103" t="s">
        <v>221</v>
      </c>
      <c r="E2098" s="102">
        <v>0.0</v>
      </c>
      <c r="F2098" s="103" t="s">
        <v>227</v>
      </c>
      <c r="G2098" s="102">
        <v>0.0</v>
      </c>
      <c r="H2098" s="103"/>
      <c r="I2098" s="103"/>
      <c r="J2098" s="103"/>
      <c r="K2098" s="104">
        <v>0.531</v>
      </c>
      <c r="L2098" s="89">
        <v>0.363</v>
      </c>
      <c r="M2098" s="88"/>
      <c r="N2098" s="88"/>
    </row>
    <row r="2099">
      <c r="A2099" s="90">
        <v>44761.0</v>
      </c>
      <c r="B2099" s="90">
        <v>44761.0</v>
      </c>
      <c r="C2099" s="102">
        <v>2372.0</v>
      </c>
      <c r="D2099" s="103" t="s">
        <v>226</v>
      </c>
      <c r="E2099" s="102">
        <v>0.0</v>
      </c>
      <c r="F2099" s="103" t="s">
        <v>228</v>
      </c>
      <c r="G2099" s="102">
        <v>0.0</v>
      </c>
      <c r="H2099" s="103"/>
      <c r="I2099" s="103"/>
      <c r="J2099" s="103"/>
      <c r="K2099" s="104">
        <v>4.801</v>
      </c>
      <c r="L2099" s="89">
        <v>3.006</v>
      </c>
      <c r="M2099" s="88"/>
      <c r="N2099" s="88"/>
    </row>
    <row r="2100">
      <c r="A2100" s="90">
        <v>44761.0</v>
      </c>
      <c r="B2100" s="90">
        <v>44761.0</v>
      </c>
      <c r="C2100" s="102">
        <v>2384.0</v>
      </c>
      <c r="D2100" s="103" t="s">
        <v>226</v>
      </c>
      <c r="E2100" s="102">
        <v>0.0</v>
      </c>
      <c r="F2100" s="103" t="s">
        <v>227</v>
      </c>
      <c r="G2100" s="102">
        <v>0.0</v>
      </c>
      <c r="H2100" s="103"/>
      <c r="I2100" s="103"/>
      <c r="J2100" s="103"/>
      <c r="K2100" s="104">
        <v>0.188</v>
      </c>
      <c r="L2100" s="89">
        <v>0.128</v>
      </c>
      <c r="M2100" s="88"/>
      <c r="N2100" s="88"/>
    </row>
    <row r="2101">
      <c r="A2101" s="90">
        <v>44761.0</v>
      </c>
      <c r="B2101" s="90">
        <v>44761.0</v>
      </c>
      <c r="C2101" s="102">
        <v>2372.0</v>
      </c>
      <c r="D2101" s="103" t="s">
        <v>226</v>
      </c>
      <c r="E2101" s="102">
        <v>0.0</v>
      </c>
      <c r="F2101" s="103" t="s">
        <v>227</v>
      </c>
      <c r="G2101" s="102">
        <v>0.0</v>
      </c>
      <c r="H2101" s="103"/>
      <c r="I2101" s="103"/>
      <c r="J2101" s="103"/>
      <c r="K2101" s="104">
        <v>0.637</v>
      </c>
      <c r="L2101" s="89">
        <v>0.412</v>
      </c>
      <c r="M2101" s="88"/>
      <c r="N2101" s="88"/>
    </row>
    <row r="2102">
      <c r="A2102" s="90">
        <v>44761.0</v>
      </c>
      <c r="B2102" s="90">
        <v>44761.0</v>
      </c>
      <c r="C2102" s="102">
        <v>2029.0</v>
      </c>
      <c r="D2102" s="103" t="s">
        <v>221</v>
      </c>
      <c r="E2102" s="102">
        <v>1.0</v>
      </c>
      <c r="F2102" s="103" t="s">
        <v>227</v>
      </c>
      <c r="G2102" s="102">
        <v>1.0</v>
      </c>
      <c r="H2102" s="103"/>
      <c r="I2102" s="103"/>
      <c r="J2102" s="103"/>
      <c r="K2102" s="104">
        <v>0.405</v>
      </c>
      <c r="L2102" s="89">
        <v>0.262</v>
      </c>
      <c r="M2102" s="88"/>
      <c r="N2102" s="88"/>
    </row>
    <row r="2103">
      <c r="A2103" s="90">
        <v>44761.0</v>
      </c>
      <c r="B2103" s="90">
        <v>44761.0</v>
      </c>
      <c r="C2103" s="102">
        <v>2089.0</v>
      </c>
      <c r="D2103" s="103" t="s">
        <v>221</v>
      </c>
      <c r="E2103" s="102">
        <v>0.0</v>
      </c>
      <c r="F2103" s="103" t="s">
        <v>227</v>
      </c>
      <c r="G2103" s="102">
        <v>0.0</v>
      </c>
      <c r="H2103" s="103"/>
      <c r="I2103" s="103"/>
      <c r="J2103" s="103"/>
      <c r="K2103" s="104">
        <v>0.34</v>
      </c>
      <c r="L2103" s="89">
        <v>0.216</v>
      </c>
      <c r="M2103" s="88"/>
      <c r="N2103" s="88"/>
    </row>
    <row r="2104">
      <c r="A2104" s="90">
        <v>44761.0</v>
      </c>
      <c r="B2104" s="90">
        <v>44761.0</v>
      </c>
      <c r="C2104" s="102">
        <v>2023.0</v>
      </c>
      <c r="D2104" s="103" t="s">
        <v>221</v>
      </c>
      <c r="E2104" s="102">
        <v>1.0</v>
      </c>
      <c r="F2104" s="103" t="s">
        <v>227</v>
      </c>
      <c r="G2104" s="102">
        <v>1.0</v>
      </c>
      <c r="H2104" s="103"/>
      <c r="I2104" s="103"/>
      <c r="J2104" s="103"/>
      <c r="K2104" s="104">
        <v>0.819</v>
      </c>
      <c r="L2104" s="89">
        <v>0.541</v>
      </c>
      <c r="M2104" s="88"/>
      <c r="N2104" s="88"/>
    </row>
    <row r="2105">
      <c r="A2105" s="90">
        <v>44761.0</v>
      </c>
      <c r="B2105" s="90">
        <v>44761.0</v>
      </c>
      <c r="C2105" s="102">
        <v>2092.0</v>
      </c>
      <c r="D2105" s="103" t="s">
        <v>221</v>
      </c>
      <c r="E2105" s="102">
        <v>1.0</v>
      </c>
      <c r="F2105" s="103" t="s">
        <v>228</v>
      </c>
      <c r="G2105" s="102">
        <v>1.0</v>
      </c>
      <c r="H2105" s="103"/>
      <c r="I2105" s="103"/>
      <c r="J2105" s="103"/>
      <c r="K2105" s="104">
        <v>1.659</v>
      </c>
      <c r="L2105" s="89">
        <v>1.09</v>
      </c>
      <c r="M2105" s="88"/>
      <c r="N2105" s="88"/>
    </row>
    <row r="2106">
      <c r="A2106" s="90">
        <v>44761.0</v>
      </c>
      <c r="B2106" s="90">
        <v>44761.0</v>
      </c>
      <c r="C2106" s="102">
        <v>2092.0</v>
      </c>
      <c r="D2106" s="103" t="s">
        <v>221</v>
      </c>
      <c r="E2106" s="102">
        <v>0.0</v>
      </c>
      <c r="F2106" s="103" t="s">
        <v>228</v>
      </c>
      <c r="G2106" s="102">
        <v>0.0</v>
      </c>
      <c r="H2106" s="103"/>
      <c r="I2106" s="103"/>
      <c r="J2106" s="103"/>
      <c r="K2106" s="104">
        <v>1.505</v>
      </c>
      <c r="L2106" s="89">
        <v>0.949</v>
      </c>
      <c r="M2106" s="88"/>
      <c r="N2106" s="88"/>
    </row>
    <row r="2107">
      <c r="A2107" s="90">
        <v>44761.0</v>
      </c>
      <c r="B2107" s="90">
        <v>44761.0</v>
      </c>
      <c r="C2107" s="102">
        <v>2379.0</v>
      </c>
      <c r="D2107" s="103" t="s">
        <v>221</v>
      </c>
      <c r="E2107" s="102">
        <v>0.0</v>
      </c>
      <c r="F2107" s="103" t="s">
        <v>228</v>
      </c>
      <c r="G2107" s="102">
        <v>0.0</v>
      </c>
      <c r="H2107" s="103"/>
      <c r="I2107" s="103"/>
      <c r="J2107" s="103"/>
      <c r="K2107" s="104">
        <v>1.703</v>
      </c>
      <c r="L2107" s="89">
        <v>1.054</v>
      </c>
      <c r="M2107" s="88"/>
      <c r="N2107" s="88"/>
    </row>
    <row r="2108">
      <c r="A2108" s="90">
        <v>44761.0</v>
      </c>
      <c r="B2108" s="90">
        <v>44761.0</v>
      </c>
      <c r="C2108" s="102">
        <v>2354.0</v>
      </c>
      <c r="D2108" s="103" t="s">
        <v>226</v>
      </c>
      <c r="E2108" s="102">
        <v>1.0</v>
      </c>
      <c r="F2108" s="103" t="s">
        <v>228</v>
      </c>
      <c r="G2108" s="102">
        <v>1.0</v>
      </c>
      <c r="H2108" s="103"/>
      <c r="I2108" s="103"/>
      <c r="J2108" s="103"/>
      <c r="K2108" s="104">
        <v>0.878</v>
      </c>
      <c r="L2108" s="89">
        <v>0.567</v>
      </c>
      <c r="M2108" s="88"/>
      <c r="N2108" s="88"/>
    </row>
    <row r="2109">
      <c r="A2109" s="90">
        <v>44761.0</v>
      </c>
      <c r="B2109" s="90">
        <v>44761.0</v>
      </c>
      <c r="C2109" s="102">
        <v>2370.0</v>
      </c>
      <c r="D2109" s="103" t="s">
        <v>221</v>
      </c>
      <c r="E2109" s="102">
        <v>0.0</v>
      </c>
      <c r="F2109" s="103" t="s">
        <v>228</v>
      </c>
      <c r="G2109" s="102">
        <v>0.0</v>
      </c>
      <c r="H2109" s="103"/>
      <c r="I2109" s="103"/>
      <c r="J2109" s="103"/>
      <c r="K2109" s="104">
        <v>1.506</v>
      </c>
      <c r="L2109" s="89">
        <v>0.963</v>
      </c>
      <c r="M2109" s="88"/>
      <c r="N2109" s="88"/>
    </row>
    <row r="2110">
      <c r="A2110" s="90">
        <v>44761.0</v>
      </c>
      <c r="B2110" s="90">
        <v>44761.0</v>
      </c>
      <c r="C2110" s="102">
        <v>2005.0</v>
      </c>
      <c r="D2110" s="103" t="s">
        <v>221</v>
      </c>
      <c r="E2110" s="102">
        <v>0.0</v>
      </c>
      <c r="F2110" s="103" t="s">
        <v>227</v>
      </c>
      <c r="G2110" s="102">
        <v>0.0</v>
      </c>
      <c r="H2110" s="103"/>
      <c r="I2110" s="103"/>
      <c r="J2110" s="103"/>
      <c r="K2110" s="104">
        <v>0.72</v>
      </c>
      <c r="L2110" s="89">
        <v>0.465</v>
      </c>
      <c r="M2110" s="88"/>
      <c r="N2110" s="88"/>
    </row>
    <row r="2111">
      <c r="A2111" s="90">
        <v>44761.0</v>
      </c>
      <c r="B2111" s="90">
        <v>44761.0</v>
      </c>
      <c r="C2111" s="102">
        <v>2370.0</v>
      </c>
      <c r="D2111" s="103" t="s">
        <v>221</v>
      </c>
      <c r="E2111" s="102">
        <v>0.0</v>
      </c>
      <c r="F2111" s="103" t="s">
        <v>228</v>
      </c>
      <c r="G2111" s="102">
        <v>0.0</v>
      </c>
      <c r="H2111" s="103"/>
      <c r="I2111" s="103"/>
      <c r="J2111" s="103"/>
      <c r="K2111" s="104">
        <v>2.312</v>
      </c>
      <c r="L2111" s="89">
        <v>1.474</v>
      </c>
      <c r="M2111" s="88"/>
      <c r="N2111" s="88"/>
    </row>
    <row r="2112">
      <c r="A2112" s="90">
        <v>44761.0</v>
      </c>
      <c r="B2112" s="90">
        <v>44761.0</v>
      </c>
      <c r="C2112" s="102">
        <v>2005.0</v>
      </c>
      <c r="D2112" s="103" t="s">
        <v>226</v>
      </c>
      <c r="E2112" s="102">
        <v>0.0</v>
      </c>
      <c r="F2112" s="103" t="s">
        <v>227</v>
      </c>
      <c r="G2112" s="102">
        <v>0.0</v>
      </c>
      <c r="H2112" s="103"/>
      <c r="I2112" s="103"/>
      <c r="J2112" s="103"/>
      <c r="K2112" s="104">
        <v>0.627</v>
      </c>
      <c r="L2112" s="92">
        <v>0.4</v>
      </c>
      <c r="M2112" s="88"/>
      <c r="N2112" s="88"/>
    </row>
    <row r="2113">
      <c r="A2113" s="90">
        <v>44761.0</v>
      </c>
      <c r="B2113" s="90">
        <v>44761.0</v>
      </c>
      <c r="C2113" s="102">
        <v>2024.0</v>
      </c>
      <c r="D2113" s="103" t="s">
        <v>221</v>
      </c>
      <c r="E2113" s="102">
        <v>0.0</v>
      </c>
      <c r="F2113" s="103" t="s">
        <v>228</v>
      </c>
      <c r="G2113" s="102">
        <v>0.0</v>
      </c>
      <c r="H2113" s="103"/>
      <c r="I2113" s="103"/>
      <c r="J2113" s="103"/>
      <c r="K2113" s="104">
        <v>3.588</v>
      </c>
      <c r="L2113" s="89">
        <v>2.203</v>
      </c>
      <c r="M2113" s="88"/>
      <c r="N2113" s="88"/>
    </row>
    <row r="2114">
      <c r="A2114" s="90">
        <v>44761.0</v>
      </c>
      <c r="B2114" s="90">
        <v>44761.0</v>
      </c>
      <c r="C2114" s="102">
        <v>2345.0</v>
      </c>
      <c r="D2114" s="103" t="s">
        <v>221</v>
      </c>
      <c r="E2114" s="102">
        <v>1.0</v>
      </c>
      <c r="F2114" s="103" t="s">
        <v>228</v>
      </c>
      <c r="G2114" s="102">
        <v>1.0</v>
      </c>
      <c r="H2114" s="103"/>
      <c r="I2114" s="103"/>
      <c r="J2114" s="103"/>
      <c r="K2114" s="104">
        <v>3.803</v>
      </c>
      <c r="L2114" s="89">
        <v>2.518</v>
      </c>
      <c r="M2114" s="88"/>
      <c r="N2114" s="88"/>
    </row>
    <row r="2115">
      <c r="A2115" s="90">
        <v>44761.0</v>
      </c>
      <c r="B2115" s="90">
        <v>44761.0</v>
      </c>
      <c r="C2115" s="102">
        <v>2367.0</v>
      </c>
      <c r="D2115" s="103" t="s">
        <v>226</v>
      </c>
      <c r="E2115" s="102">
        <v>0.0</v>
      </c>
      <c r="F2115" s="103" t="s">
        <v>227</v>
      </c>
      <c r="G2115" s="102">
        <v>0.0</v>
      </c>
      <c r="H2115" s="103"/>
      <c r="I2115" s="103"/>
      <c r="J2115" s="103"/>
      <c r="K2115" s="104">
        <v>0.21</v>
      </c>
      <c r="L2115" s="89">
        <v>0.146</v>
      </c>
      <c r="M2115" s="88"/>
      <c r="N2115" s="88"/>
    </row>
    <row r="2116">
      <c r="A2116" s="90">
        <v>44761.0</v>
      </c>
      <c r="B2116" s="90">
        <v>44761.0</v>
      </c>
      <c r="C2116" s="102">
        <v>2367.0</v>
      </c>
      <c r="D2116" s="103" t="s">
        <v>226</v>
      </c>
      <c r="E2116" s="102">
        <v>0.0</v>
      </c>
      <c r="F2116" s="103" t="s">
        <v>228</v>
      </c>
      <c r="G2116" s="102">
        <v>0.0</v>
      </c>
      <c r="H2116" s="103"/>
      <c r="I2116" s="103"/>
      <c r="J2116" s="103"/>
      <c r="K2116" s="104">
        <v>2.307</v>
      </c>
      <c r="L2116" s="89">
        <v>1.435</v>
      </c>
      <c r="M2116" s="88"/>
      <c r="N2116" s="88"/>
    </row>
    <row r="2117">
      <c r="A2117" s="90">
        <v>44761.0</v>
      </c>
      <c r="B2117" s="90">
        <v>44761.0</v>
      </c>
      <c r="C2117" s="102">
        <v>2015.0</v>
      </c>
      <c r="D2117" s="103" t="s">
        <v>221</v>
      </c>
      <c r="E2117" s="102">
        <v>0.0</v>
      </c>
      <c r="F2117" s="103" t="s">
        <v>227</v>
      </c>
      <c r="G2117" s="102">
        <v>0.0</v>
      </c>
      <c r="H2117" s="103"/>
      <c r="I2117" s="103"/>
      <c r="J2117" s="103"/>
      <c r="K2117" s="104">
        <v>0.826</v>
      </c>
      <c r="L2117" s="89">
        <v>0.541</v>
      </c>
      <c r="M2117" s="88"/>
      <c r="N2117" s="88"/>
    </row>
    <row r="2118">
      <c r="A2118" s="90">
        <v>44761.0</v>
      </c>
      <c r="B2118" s="90">
        <v>44761.0</v>
      </c>
      <c r="C2118" s="102">
        <v>2025.0</v>
      </c>
      <c r="D2118" s="103" t="s">
        <v>221</v>
      </c>
      <c r="E2118" s="102">
        <v>0.0</v>
      </c>
      <c r="F2118" s="103" t="s">
        <v>228</v>
      </c>
      <c r="G2118" s="102">
        <v>0.0</v>
      </c>
      <c r="H2118" s="103"/>
      <c r="I2118" s="103"/>
      <c r="J2118" s="103"/>
      <c r="K2118" s="104">
        <v>2.459</v>
      </c>
      <c r="L2118" s="89">
        <v>1.541</v>
      </c>
      <c r="M2118" s="88"/>
      <c r="N2118" s="88"/>
    </row>
    <row r="2119">
      <c r="A2119" s="90">
        <v>44761.0</v>
      </c>
      <c r="B2119" s="90">
        <v>44761.0</v>
      </c>
      <c r="C2119" s="102">
        <v>2376.0</v>
      </c>
      <c r="D2119" s="103" t="s">
        <v>226</v>
      </c>
      <c r="E2119" s="102">
        <v>1.0</v>
      </c>
      <c r="F2119" s="103" t="s">
        <v>227</v>
      </c>
      <c r="G2119" s="102">
        <v>1.0</v>
      </c>
      <c r="H2119" s="103"/>
      <c r="I2119" s="103"/>
      <c r="J2119" s="103"/>
      <c r="K2119" s="104">
        <v>1.569</v>
      </c>
      <c r="L2119" s="89">
        <v>1.05</v>
      </c>
      <c r="M2119" s="88"/>
      <c r="N2119" s="88"/>
    </row>
    <row r="2120">
      <c r="A2120" s="90">
        <v>44761.0</v>
      </c>
      <c r="B2120" s="90">
        <v>44761.0</v>
      </c>
      <c r="C2120" s="102">
        <v>2009.0</v>
      </c>
      <c r="D2120" s="103" t="s">
        <v>226</v>
      </c>
      <c r="E2120" s="102">
        <v>0.0</v>
      </c>
      <c r="F2120" s="103" t="s">
        <v>228</v>
      </c>
      <c r="G2120" s="102">
        <v>0.0</v>
      </c>
      <c r="H2120" s="103"/>
      <c r="I2120" s="103"/>
      <c r="J2120" s="103"/>
      <c r="K2120" s="104">
        <v>5.289</v>
      </c>
      <c r="L2120" s="89">
        <v>3.306</v>
      </c>
      <c r="M2120" s="88"/>
      <c r="N2120" s="88"/>
    </row>
    <row r="2121">
      <c r="A2121" s="90">
        <v>44761.0</v>
      </c>
      <c r="B2121" s="90">
        <v>44761.0</v>
      </c>
      <c r="C2121" s="102">
        <v>2370.0</v>
      </c>
      <c r="D2121" s="103" t="s">
        <v>221</v>
      </c>
      <c r="E2121" s="102">
        <v>0.0</v>
      </c>
      <c r="F2121" s="103" t="s">
        <v>227</v>
      </c>
      <c r="G2121" s="102">
        <v>0.0</v>
      </c>
      <c r="H2121" s="103"/>
      <c r="I2121" s="103"/>
      <c r="J2121" s="103"/>
      <c r="K2121" s="104">
        <v>0.148</v>
      </c>
      <c r="L2121" s="89">
        <v>0.096</v>
      </c>
      <c r="M2121" s="88"/>
      <c r="N2121" s="88"/>
    </row>
    <row r="2122">
      <c r="A2122" s="90">
        <v>44761.0</v>
      </c>
      <c r="B2122" s="90">
        <v>44761.0</v>
      </c>
      <c r="C2122" s="102">
        <v>2352.0</v>
      </c>
      <c r="D2122" s="103" t="s">
        <v>221</v>
      </c>
      <c r="E2122" s="102">
        <v>1.0</v>
      </c>
      <c r="F2122" s="103" t="s">
        <v>227</v>
      </c>
      <c r="G2122" s="102">
        <v>1.0</v>
      </c>
      <c r="H2122" s="103"/>
      <c r="I2122" s="103"/>
      <c r="J2122" s="103"/>
      <c r="K2122" s="104">
        <v>0.902</v>
      </c>
      <c r="L2122" s="89">
        <v>0.622</v>
      </c>
      <c r="M2122" s="88"/>
      <c r="N2122" s="88"/>
    </row>
    <row r="2123">
      <c r="A2123" s="90">
        <v>44761.0</v>
      </c>
      <c r="B2123" s="90">
        <v>44761.0</v>
      </c>
      <c r="C2123" s="102">
        <v>2347.0</v>
      </c>
      <c r="D2123" s="103" t="s">
        <v>221</v>
      </c>
      <c r="E2123" s="102">
        <v>0.0</v>
      </c>
      <c r="F2123" s="103" t="s">
        <v>227</v>
      </c>
      <c r="G2123" s="102">
        <v>0.0</v>
      </c>
      <c r="H2123" s="103"/>
      <c r="I2123" s="103"/>
      <c r="J2123" s="103"/>
      <c r="K2123" s="104">
        <v>0.291</v>
      </c>
      <c r="L2123" s="92">
        <v>0.19</v>
      </c>
      <c r="M2123" s="88"/>
      <c r="N2123" s="88"/>
    </row>
    <row r="2124">
      <c r="A2124" s="90">
        <v>44761.0</v>
      </c>
      <c r="B2124" s="90">
        <v>44761.0</v>
      </c>
      <c r="C2124" s="102">
        <v>2369.0</v>
      </c>
      <c r="D2124" s="103" t="s">
        <v>226</v>
      </c>
      <c r="E2124" s="102">
        <v>0.0</v>
      </c>
      <c r="F2124" s="103" t="s">
        <v>227</v>
      </c>
      <c r="G2124" s="102">
        <v>0.0</v>
      </c>
      <c r="H2124" s="103"/>
      <c r="I2124" s="103"/>
      <c r="J2124" s="103"/>
      <c r="K2124" s="104">
        <v>0.198</v>
      </c>
      <c r="L2124" s="89">
        <v>0.135</v>
      </c>
      <c r="M2124" s="88"/>
      <c r="N2124" s="88"/>
    </row>
    <row r="2125">
      <c r="A2125" s="90">
        <v>44761.0</v>
      </c>
      <c r="B2125" s="90">
        <v>44761.0</v>
      </c>
      <c r="C2125" s="102">
        <v>2372.0</v>
      </c>
      <c r="D2125" s="103" t="s">
        <v>221</v>
      </c>
      <c r="E2125" s="102">
        <v>0.0</v>
      </c>
      <c r="F2125" s="103" t="s">
        <v>228</v>
      </c>
      <c r="G2125" s="102">
        <v>0.0</v>
      </c>
      <c r="H2125" s="103"/>
      <c r="I2125" s="103"/>
      <c r="J2125" s="103"/>
      <c r="K2125" s="104">
        <v>2.441</v>
      </c>
      <c r="L2125" s="89">
        <v>1.53</v>
      </c>
      <c r="M2125" s="88"/>
      <c r="N2125" s="88"/>
    </row>
    <row r="2126">
      <c r="A2126" s="90">
        <v>44761.0</v>
      </c>
      <c r="B2126" s="90">
        <v>44761.0</v>
      </c>
      <c r="C2126" s="102">
        <v>2372.0</v>
      </c>
      <c r="D2126" s="103" t="s">
        <v>221</v>
      </c>
      <c r="E2126" s="102">
        <v>0.0</v>
      </c>
      <c r="F2126" s="103" t="s">
        <v>227</v>
      </c>
      <c r="G2126" s="102">
        <v>0.0</v>
      </c>
      <c r="H2126" s="103"/>
      <c r="I2126" s="103"/>
      <c r="J2126" s="103"/>
      <c r="K2126" s="104">
        <v>0.384</v>
      </c>
      <c r="L2126" s="89">
        <v>0.25</v>
      </c>
      <c r="M2126" s="88"/>
      <c r="N2126" s="88"/>
    </row>
    <row r="2127">
      <c r="A2127" s="90">
        <v>44761.0</v>
      </c>
      <c r="B2127" s="90">
        <v>44761.0</v>
      </c>
      <c r="C2127" s="102">
        <v>2343.0</v>
      </c>
      <c r="D2127" s="103" t="s">
        <v>221</v>
      </c>
      <c r="E2127" s="102">
        <v>0.0</v>
      </c>
      <c r="F2127" s="103" t="s">
        <v>227</v>
      </c>
      <c r="G2127" s="102">
        <v>0.0</v>
      </c>
      <c r="H2127" s="103"/>
      <c r="I2127" s="103"/>
      <c r="J2127" s="103"/>
      <c r="K2127" s="104">
        <v>0.861</v>
      </c>
      <c r="L2127" s="89">
        <v>0.544</v>
      </c>
      <c r="M2127" s="88"/>
      <c r="N2127" s="88"/>
    </row>
    <row r="2128">
      <c r="A2128" s="90">
        <v>44761.0</v>
      </c>
      <c r="B2128" s="90">
        <v>44761.0</v>
      </c>
      <c r="C2128" s="102">
        <v>2354.0</v>
      </c>
      <c r="D2128" s="103" t="s">
        <v>226</v>
      </c>
      <c r="E2128" s="102">
        <v>1.0</v>
      </c>
      <c r="F2128" s="103" t="s">
        <v>227</v>
      </c>
      <c r="G2128" s="102">
        <v>1.0</v>
      </c>
      <c r="H2128" s="103"/>
      <c r="I2128" s="103"/>
      <c r="J2128" s="103"/>
      <c r="K2128" s="104">
        <v>0.416</v>
      </c>
      <c r="L2128" s="89">
        <v>0.254</v>
      </c>
      <c r="M2128" s="88"/>
      <c r="N2128" s="88"/>
    </row>
    <row r="2129">
      <c r="A2129" s="90">
        <v>44761.0</v>
      </c>
      <c r="B2129" s="90">
        <v>44761.0</v>
      </c>
      <c r="C2129" s="102">
        <v>2009.0</v>
      </c>
      <c r="D2129" s="103" t="s">
        <v>226</v>
      </c>
      <c r="E2129" s="102">
        <v>0.0</v>
      </c>
      <c r="F2129" s="103" t="s">
        <v>227</v>
      </c>
      <c r="G2129" s="102">
        <v>0.0</v>
      </c>
      <c r="H2129" s="103"/>
      <c r="I2129" s="103"/>
      <c r="J2129" s="103"/>
      <c r="K2129" s="104">
        <v>0.843</v>
      </c>
      <c r="L2129" s="89">
        <v>0.547</v>
      </c>
      <c r="M2129" s="88"/>
      <c r="N2129" s="88"/>
    </row>
    <row r="2130">
      <c r="A2130" s="90">
        <v>44761.0</v>
      </c>
      <c r="B2130" s="90">
        <v>44761.0</v>
      </c>
      <c r="C2130" s="102">
        <v>2383.0</v>
      </c>
      <c r="D2130" s="103" t="s">
        <v>221</v>
      </c>
      <c r="E2130" s="102">
        <v>0.0</v>
      </c>
      <c r="F2130" s="103" t="s">
        <v>228</v>
      </c>
      <c r="G2130" s="102">
        <v>0.0</v>
      </c>
      <c r="H2130" s="103"/>
      <c r="I2130" s="103"/>
      <c r="J2130" s="103"/>
      <c r="K2130" s="104">
        <v>1.663</v>
      </c>
      <c r="L2130" s="89">
        <v>1.03</v>
      </c>
      <c r="M2130" s="88"/>
      <c r="N2130" s="88"/>
    </row>
    <row r="2131">
      <c r="A2131" s="90">
        <v>44761.0</v>
      </c>
      <c r="B2131" s="90">
        <v>44761.0</v>
      </c>
      <c r="C2131" s="102">
        <v>2020.0</v>
      </c>
      <c r="D2131" s="103" t="s">
        <v>221</v>
      </c>
      <c r="E2131" s="102">
        <v>0.0</v>
      </c>
      <c r="F2131" s="103" t="s">
        <v>228</v>
      </c>
      <c r="G2131" s="102">
        <v>0.0</v>
      </c>
      <c r="H2131" s="103"/>
      <c r="I2131" s="103"/>
      <c r="J2131" s="103"/>
      <c r="K2131" s="104">
        <v>2.445</v>
      </c>
      <c r="L2131" s="89">
        <v>1.496</v>
      </c>
      <c r="M2131" s="88"/>
      <c r="N2131" s="88"/>
    </row>
    <row r="2132">
      <c r="A2132" s="90">
        <v>44761.0</v>
      </c>
      <c r="B2132" s="90">
        <v>44761.0</v>
      </c>
      <c r="C2132" s="102">
        <v>2021.0</v>
      </c>
      <c r="D2132" s="103" t="s">
        <v>221</v>
      </c>
      <c r="E2132" s="102">
        <v>0.0</v>
      </c>
      <c r="F2132" s="103" t="s">
        <v>227</v>
      </c>
      <c r="G2132" s="102">
        <v>0.0</v>
      </c>
      <c r="H2132" s="103"/>
      <c r="I2132" s="103"/>
      <c r="J2132" s="103"/>
      <c r="K2132" s="104">
        <v>0.432</v>
      </c>
      <c r="L2132" s="89">
        <v>0.286</v>
      </c>
      <c r="M2132" s="88"/>
      <c r="N2132" s="88"/>
    </row>
    <row r="2133">
      <c r="A2133" s="90">
        <v>44761.0</v>
      </c>
      <c r="B2133" s="90">
        <v>44761.0</v>
      </c>
      <c r="C2133" s="102">
        <v>2020.0</v>
      </c>
      <c r="D2133" s="103" t="s">
        <v>221</v>
      </c>
      <c r="E2133" s="102">
        <v>0.0</v>
      </c>
      <c r="F2133" s="103" t="s">
        <v>227</v>
      </c>
      <c r="G2133" s="102">
        <v>0.0</v>
      </c>
      <c r="H2133" s="103"/>
      <c r="I2133" s="103"/>
      <c r="J2133" s="103"/>
      <c r="K2133" s="104">
        <v>0.197</v>
      </c>
      <c r="L2133" s="89">
        <v>0.128</v>
      </c>
      <c r="M2133" s="88"/>
      <c r="N2133" s="88"/>
    </row>
    <row r="2134">
      <c r="A2134" s="90">
        <v>44761.0</v>
      </c>
      <c r="B2134" s="90">
        <v>44761.0</v>
      </c>
      <c r="C2134" s="102">
        <v>2086.0</v>
      </c>
      <c r="D2134" s="103" t="s">
        <v>221</v>
      </c>
      <c r="E2134" s="102">
        <v>0.0</v>
      </c>
      <c r="F2134" s="103" t="s">
        <v>228</v>
      </c>
      <c r="G2134" s="102">
        <v>0.0</v>
      </c>
      <c r="H2134" s="103"/>
      <c r="I2134" s="103"/>
      <c r="J2134" s="103"/>
      <c r="K2134" s="104">
        <v>4.72</v>
      </c>
      <c r="L2134" s="89">
        <v>2.913</v>
      </c>
      <c r="M2134" s="88"/>
      <c r="N2134" s="88"/>
    </row>
    <row r="2135">
      <c r="A2135" s="90">
        <v>44761.0</v>
      </c>
      <c r="B2135" s="90">
        <v>44761.0</v>
      </c>
      <c r="C2135" s="102">
        <v>2029.0</v>
      </c>
      <c r="D2135" s="103" t="s">
        <v>221</v>
      </c>
      <c r="E2135" s="102">
        <v>0.0</v>
      </c>
      <c r="F2135" s="103" t="s">
        <v>228</v>
      </c>
      <c r="G2135" s="102">
        <v>0.0</v>
      </c>
      <c r="H2135" s="103"/>
      <c r="I2135" s="103"/>
      <c r="J2135" s="103"/>
      <c r="K2135" s="104">
        <v>4.848</v>
      </c>
      <c r="L2135" s="89">
        <v>2.998</v>
      </c>
      <c r="M2135" s="88"/>
      <c r="N2135" s="88"/>
    </row>
    <row r="2136">
      <c r="A2136" s="90">
        <v>44761.0</v>
      </c>
      <c r="B2136" s="90">
        <v>44761.0</v>
      </c>
      <c r="C2136" s="102">
        <v>2376.0</v>
      </c>
      <c r="D2136" s="103" t="s">
        <v>221</v>
      </c>
      <c r="E2136" s="102">
        <v>1.0</v>
      </c>
      <c r="F2136" s="103" t="s">
        <v>227</v>
      </c>
      <c r="G2136" s="102">
        <v>1.0</v>
      </c>
      <c r="H2136" s="103"/>
      <c r="I2136" s="103"/>
      <c r="J2136" s="103"/>
      <c r="K2136" s="104">
        <v>1.288</v>
      </c>
      <c r="L2136" s="92">
        <v>0.87</v>
      </c>
      <c r="M2136" s="88"/>
      <c r="N2136" s="88"/>
    </row>
    <row r="2137">
      <c r="A2137" s="90">
        <v>44761.0</v>
      </c>
      <c r="B2137" s="90">
        <v>44761.0</v>
      </c>
      <c r="C2137" s="102">
        <v>2092.0</v>
      </c>
      <c r="D2137" s="103" t="s">
        <v>221</v>
      </c>
      <c r="E2137" s="102">
        <v>0.0</v>
      </c>
      <c r="F2137" s="103" t="s">
        <v>227</v>
      </c>
      <c r="G2137" s="102">
        <v>0.0</v>
      </c>
      <c r="H2137" s="103"/>
      <c r="I2137" s="103"/>
      <c r="J2137" s="103"/>
      <c r="K2137" s="104">
        <v>0.184</v>
      </c>
      <c r="L2137" s="89">
        <v>0.109</v>
      </c>
      <c r="M2137" s="88"/>
      <c r="N2137" s="88"/>
    </row>
    <row r="2138">
      <c r="A2138" s="90">
        <v>44761.0</v>
      </c>
      <c r="B2138" s="90">
        <v>44761.0</v>
      </c>
      <c r="C2138" s="102">
        <v>2382.0</v>
      </c>
      <c r="D2138" s="103" t="s">
        <v>226</v>
      </c>
      <c r="E2138" s="102">
        <v>0.0</v>
      </c>
      <c r="F2138" s="103" t="s">
        <v>227</v>
      </c>
      <c r="G2138" s="102">
        <v>0.0</v>
      </c>
      <c r="H2138" s="103"/>
      <c r="I2138" s="103"/>
      <c r="J2138" s="103"/>
      <c r="K2138" s="104">
        <v>0.493</v>
      </c>
      <c r="L2138" s="92">
        <v>0.34</v>
      </c>
      <c r="M2138" s="88"/>
      <c r="N2138" s="88"/>
    </row>
    <row r="2139">
      <c r="A2139" s="90">
        <v>44761.0</v>
      </c>
      <c r="B2139" s="90">
        <v>44761.0</v>
      </c>
      <c r="C2139" s="102">
        <v>2383.0</v>
      </c>
      <c r="D2139" s="103" t="s">
        <v>221</v>
      </c>
      <c r="E2139" s="102">
        <v>0.0</v>
      </c>
      <c r="F2139" s="103" t="s">
        <v>227</v>
      </c>
      <c r="G2139" s="102">
        <v>0.0</v>
      </c>
      <c r="H2139" s="103"/>
      <c r="I2139" s="103"/>
      <c r="J2139" s="103"/>
      <c r="K2139" s="104">
        <v>0.148</v>
      </c>
      <c r="L2139" s="92">
        <v>0.1</v>
      </c>
      <c r="M2139" s="88"/>
      <c r="N2139" s="88"/>
    </row>
    <row r="2140">
      <c r="A2140" s="90">
        <v>44761.0</v>
      </c>
      <c r="B2140" s="90">
        <v>44761.0</v>
      </c>
      <c r="C2140" s="102">
        <v>2367.0</v>
      </c>
      <c r="D2140" s="103" t="s">
        <v>221</v>
      </c>
      <c r="E2140" s="102">
        <v>0.0</v>
      </c>
      <c r="F2140" s="103" t="s">
        <v>227</v>
      </c>
      <c r="G2140" s="102">
        <v>0.0</v>
      </c>
      <c r="H2140" s="103"/>
      <c r="I2140" s="103"/>
      <c r="J2140" s="103"/>
      <c r="K2140" s="104">
        <v>0.245</v>
      </c>
      <c r="L2140" s="92">
        <v>0.17</v>
      </c>
      <c r="M2140" s="88"/>
      <c r="N2140" s="88"/>
    </row>
    <row r="2141">
      <c r="A2141" s="90">
        <v>44761.0</v>
      </c>
      <c r="B2141" s="90">
        <v>44761.0</v>
      </c>
      <c r="C2141" s="102">
        <v>2085.0</v>
      </c>
      <c r="D2141" s="103" t="s">
        <v>221</v>
      </c>
      <c r="E2141" s="102">
        <v>0.0</v>
      </c>
      <c r="F2141" s="103" t="s">
        <v>228</v>
      </c>
      <c r="G2141" s="102">
        <v>0.0</v>
      </c>
      <c r="H2141" s="103"/>
      <c r="I2141" s="103"/>
      <c r="J2141" s="103"/>
      <c r="K2141" s="104">
        <v>6.376</v>
      </c>
      <c r="L2141" s="89">
        <v>3.9828</v>
      </c>
      <c r="M2141" s="88"/>
      <c r="N2141" s="88"/>
    </row>
    <row r="2142">
      <c r="A2142" s="90">
        <v>44761.0</v>
      </c>
      <c r="B2142" s="90">
        <v>44761.0</v>
      </c>
      <c r="C2142" s="102">
        <v>2030.0</v>
      </c>
      <c r="D2142" s="103" t="s">
        <v>221</v>
      </c>
      <c r="E2142" s="102">
        <v>0.0</v>
      </c>
      <c r="F2142" s="103" t="s">
        <v>227</v>
      </c>
      <c r="G2142" s="102">
        <v>0.0</v>
      </c>
      <c r="H2142" s="103"/>
      <c r="I2142" s="103"/>
      <c r="J2142" s="103"/>
      <c r="K2142" s="104">
        <v>0.692</v>
      </c>
      <c r="L2142" s="89">
        <v>0.439</v>
      </c>
      <c r="M2142" s="88"/>
      <c r="N2142" s="88"/>
    </row>
    <row r="2143">
      <c r="A2143" s="90">
        <v>44761.0</v>
      </c>
      <c r="B2143" s="90">
        <v>44761.0</v>
      </c>
      <c r="C2143" s="102">
        <v>2378.0</v>
      </c>
      <c r="D2143" s="103" t="s">
        <v>226</v>
      </c>
      <c r="E2143" s="102">
        <v>0.0</v>
      </c>
      <c r="F2143" s="103" t="s">
        <v>228</v>
      </c>
      <c r="G2143" s="102">
        <v>0.0</v>
      </c>
      <c r="H2143" s="103"/>
      <c r="I2143" s="103"/>
      <c r="J2143" s="103"/>
      <c r="K2143" s="104">
        <v>5.744</v>
      </c>
      <c r="L2143" s="89">
        <v>3.476</v>
      </c>
      <c r="M2143" s="88"/>
      <c r="N2143" s="88"/>
    </row>
    <row r="2144">
      <c r="A2144" s="90">
        <v>44816.0</v>
      </c>
      <c r="B2144" s="90">
        <v>44816.0</v>
      </c>
      <c r="C2144" s="102">
        <v>2011.0</v>
      </c>
      <c r="D2144" s="103" t="s">
        <v>226</v>
      </c>
      <c r="E2144" s="102">
        <v>0.0</v>
      </c>
      <c r="F2144" s="103" t="s">
        <v>228</v>
      </c>
      <c r="G2144" s="102">
        <v>0.0</v>
      </c>
      <c r="H2144" s="103"/>
      <c r="I2144" s="103"/>
      <c r="J2144" s="103"/>
      <c r="K2144" s="104">
        <v>5.644</v>
      </c>
      <c r="L2144" s="89">
        <v>3.1204</v>
      </c>
      <c r="M2144" s="88"/>
      <c r="N2144" s="105" t="s">
        <v>272</v>
      </c>
    </row>
    <row r="2145">
      <c r="A2145" s="90">
        <v>44816.0</v>
      </c>
      <c r="B2145" s="90">
        <v>44816.0</v>
      </c>
      <c r="C2145" s="102">
        <v>2376.0</v>
      </c>
      <c r="D2145" s="103" t="s">
        <v>226</v>
      </c>
      <c r="E2145" s="102">
        <v>0.0</v>
      </c>
      <c r="F2145" s="103" t="s">
        <v>228</v>
      </c>
      <c r="G2145" s="102">
        <v>0.0</v>
      </c>
      <c r="H2145" s="103"/>
      <c r="I2145" s="103"/>
      <c r="J2145" s="103"/>
      <c r="K2145" s="104">
        <v>7.76</v>
      </c>
      <c r="L2145" s="89">
        <v>4.7471</v>
      </c>
      <c r="M2145" s="88"/>
      <c r="N2145" s="88"/>
    </row>
    <row r="2146">
      <c r="A2146" s="90">
        <v>44816.0</v>
      </c>
      <c r="B2146" s="90">
        <v>44816.0</v>
      </c>
      <c r="C2146" s="102">
        <v>2023.0</v>
      </c>
      <c r="D2146" s="103" t="s">
        <v>226</v>
      </c>
      <c r="E2146" s="102">
        <v>0.0</v>
      </c>
      <c r="F2146" s="103" t="s">
        <v>227</v>
      </c>
      <c r="G2146" s="102">
        <v>0.0</v>
      </c>
      <c r="H2146" s="103"/>
      <c r="I2146" s="103"/>
      <c r="J2146" s="103"/>
      <c r="K2146" s="104">
        <v>0.583</v>
      </c>
      <c r="L2146" s="89">
        <v>0.3393</v>
      </c>
      <c r="M2146" s="88"/>
      <c r="N2146" s="88"/>
    </row>
    <row r="2147">
      <c r="A2147" s="90">
        <v>44816.0</v>
      </c>
      <c r="B2147" s="90">
        <v>44816.0</v>
      </c>
      <c r="C2147" s="102">
        <v>2025.0</v>
      </c>
      <c r="D2147" s="103" t="s">
        <v>226</v>
      </c>
      <c r="E2147" s="102">
        <v>0.0</v>
      </c>
      <c r="F2147" s="103" t="s">
        <v>227</v>
      </c>
      <c r="G2147" s="102">
        <v>0.0</v>
      </c>
      <c r="H2147" s="103"/>
      <c r="I2147" s="103"/>
      <c r="J2147" s="103"/>
      <c r="K2147" s="104">
        <v>0.487</v>
      </c>
      <c r="L2147" s="89">
        <v>0.325</v>
      </c>
      <c r="M2147" s="88"/>
      <c r="N2147" s="88"/>
    </row>
    <row r="2148">
      <c r="A2148" s="90">
        <v>44816.0</v>
      </c>
      <c r="B2148" s="90">
        <v>44816.0</v>
      </c>
      <c r="C2148" s="102">
        <v>2023.0</v>
      </c>
      <c r="D2148" s="103" t="s">
        <v>226</v>
      </c>
      <c r="E2148" s="102">
        <v>1.0</v>
      </c>
      <c r="F2148" s="103" t="s">
        <v>228</v>
      </c>
      <c r="G2148" s="102">
        <v>1.0</v>
      </c>
      <c r="H2148" s="103"/>
      <c r="I2148" s="103"/>
      <c r="J2148" s="103"/>
      <c r="K2148" s="104">
        <v>0.387</v>
      </c>
      <c r="L2148" s="89">
        <v>0.2355</v>
      </c>
      <c r="M2148" s="88"/>
      <c r="N2148" s="88"/>
    </row>
    <row r="2149">
      <c r="A2149" s="90">
        <v>44816.0</v>
      </c>
      <c r="B2149" s="90">
        <v>44816.0</v>
      </c>
      <c r="C2149" s="102">
        <v>2029.0</v>
      </c>
      <c r="D2149" s="103" t="s">
        <v>226</v>
      </c>
      <c r="E2149" s="102">
        <v>1.0</v>
      </c>
      <c r="F2149" s="103" t="s">
        <v>228</v>
      </c>
      <c r="G2149" s="102">
        <v>1.0</v>
      </c>
      <c r="H2149" s="103"/>
      <c r="I2149" s="103"/>
      <c r="J2149" s="103"/>
      <c r="K2149" s="104">
        <v>1.155</v>
      </c>
      <c r="L2149" s="89">
        <v>0.6854</v>
      </c>
      <c r="M2149" s="88"/>
      <c r="N2149" s="88"/>
    </row>
    <row r="2150">
      <c r="A2150" s="90">
        <v>44816.0</v>
      </c>
      <c r="B2150" s="90">
        <v>44816.0</v>
      </c>
      <c r="C2150" s="102">
        <v>2029.0</v>
      </c>
      <c r="D2150" s="103" t="s">
        <v>226</v>
      </c>
      <c r="E2150" s="102">
        <v>0.0</v>
      </c>
      <c r="F2150" s="103" t="s">
        <v>227</v>
      </c>
      <c r="G2150" s="102">
        <v>0.0</v>
      </c>
      <c r="H2150" s="103"/>
      <c r="I2150" s="103"/>
      <c r="J2150" s="103"/>
      <c r="K2150" s="104">
        <v>0.203</v>
      </c>
      <c r="L2150" s="89">
        <v>0.1148</v>
      </c>
      <c r="M2150" s="88"/>
      <c r="N2150" s="88"/>
    </row>
    <row r="2151">
      <c r="A2151" s="90">
        <v>44816.0</v>
      </c>
      <c r="B2151" s="90">
        <v>44816.0</v>
      </c>
      <c r="C2151" s="102">
        <v>2023.0</v>
      </c>
      <c r="D2151" s="103" t="s">
        <v>226</v>
      </c>
      <c r="E2151" s="102">
        <v>0.0</v>
      </c>
      <c r="F2151" s="103" t="s">
        <v>228</v>
      </c>
      <c r="G2151" s="102">
        <v>0.0</v>
      </c>
      <c r="H2151" s="103"/>
      <c r="I2151" s="103"/>
      <c r="J2151" s="103"/>
      <c r="K2151" s="104">
        <v>4.232</v>
      </c>
      <c r="L2151" s="89">
        <v>2.4434</v>
      </c>
      <c r="M2151" s="88"/>
      <c r="N2151" s="88"/>
    </row>
    <row r="2152">
      <c r="A2152" s="90">
        <v>44816.0</v>
      </c>
      <c r="B2152" s="90">
        <v>44816.0</v>
      </c>
      <c r="C2152" s="102">
        <v>2005.0</v>
      </c>
      <c r="D2152" s="103" t="s">
        <v>226</v>
      </c>
      <c r="E2152" s="102">
        <v>0.0</v>
      </c>
      <c r="F2152" s="103" t="s">
        <v>228</v>
      </c>
      <c r="G2152" s="102">
        <v>0.0</v>
      </c>
      <c r="H2152" s="103"/>
      <c r="I2152" s="103"/>
      <c r="J2152" s="103"/>
      <c r="K2152" s="104">
        <v>5.175</v>
      </c>
      <c r="L2152" s="89">
        <v>2.7449</v>
      </c>
      <c r="M2152" s="88"/>
      <c r="N2152" s="88"/>
    </row>
    <row r="2153">
      <c r="A2153" s="90">
        <v>44816.0</v>
      </c>
      <c r="B2153" s="90">
        <v>44816.0</v>
      </c>
      <c r="C2153" s="102">
        <v>2087.0</v>
      </c>
      <c r="D2153" s="103" t="s">
        <v>226</v>
      </c>
      <c r="E2153" s="102">
        <v>1.0</v>
      </c>
      <c r="F2153" s="103" t="s">
        <v>227</v>
      </c>
      <c r="G2153" s="102">
        <v>1.0</v>
      </c>
      <c r="H2153" s="103"/>
      <c r="I2153" s="103"/>
      <c r="J2153" s="103"/>
      <c r="K2153" s="104">
        <v>1.3939</v>
      </c>
      <c r="L2153" s="89">
        <v>0.7073</v>
      </c>
      <c r="M2153" s="88"/>
      <c r="N2153" s="88"/>
    </row>
    <row r="2154">
      <c r="A2154" s="90">
        <v>44816.0</v>
      </c>
      <c r="B2154" s="90">
        <v>44816.0</v>
      </c>
      <c r="C2154" s="102">
        <v>2377.0</v>
      </c>
      <c r="D2154" s="103" t="s">
        <v>226</v>
      </c>
      <c r="E2154" s="102">
        <v>1.0</v>
      </c>
      <c r="F2154" s="103" t="s">
        <v>227</v>
      </c>
      <c r="G2154" s="102">
        <v>1.0</v>
      </c>
      <c r="H2154" s="103"/>
      <c r="I2154" s="103"/>
      <c r="J2154" s="103"/>
      <c r="K2154" s="104">
        <v>1.142</v>
      </c>
      <c r="L2154" s="89">
        <v>0.6478</v>
      </c>
      <c r="M2154" s="88"/>
      <c r="N2154" s="88"/>
    </row>
    <row r="2155">
      <c r="A2155" s="90">
        <v>44816.0</v>
      </c>
      <c r="B2155" s="90">
        <v>44816.0</v>
      </c>
      <c r="C2155" s="102">
        <v>2087.0</v>
      </c>
      <c r="D2155" s="103" t="s">
        <v>226</v>
      </c>
      <c r="E2155" s="102">
        <v>0.0</v>
      </c>
      <c r="F2155" s="103" t="s">
        <v>227</v>
      </c>
      <c r="G2155" s="102">
        <v>0.0</v>
      </c>
      <c r="H2155" s="103"/>
      <c r="I2155" s="103"/>
      <c r="J2155" s="103"/>
      <c r="K2155" s="104">
        <v>1.195</v>
      </c>
      <c r="L2155" s="89">
        <v>0.5782</v>
      </c>
      <c r="M2155" s="88"/>
      <c r="N2155" s="88"/>
    </row>
    <row r="2156">
      <c r="A2156" s="90">
        <v>44816.0</v>
      </c>
      <c r="B2156" s="90">
        <v>44816.0</v>
      </c>
      <c r="C2156" s="102">
        <v>2372.0</v>
      </c>
      <c r="D2156" s="103" t="s">
        <v>226</v>
      </c>
      <c r="E2156" s="102">
        <v>0.0</v>
      </c>
      <c r="F2156" s="103" t="s">
        <v>228</v>
      </c>
      <c r="G2156" s="102">
        <v>0.0</v>
      </c>
      <c r="H2156" s="103"/>
      <c r="I2156" s="103"/>
      <c r="J2156" s="103"/>
      <c r="K2156" s="104">
        <v>4.825</v>
      </c>
      <c r="L2156" s="89">
        <v>2.8348</v>
      </c>
      <c r="M2156" s="88"/>
      <c r="N2156" s="88"/>
    </row>
    <row r="2157">
      <c r="A2157" s="90">
        <v>44816.0</v>
      </c>
      <c r="B2157" s="90">
        <v>44816.0</v>
      </c>
      <c r="C2157" s="102">
        <v>2025.0</v>
      </c>
      <c r="D2157" s="103" t="s">
        <v>226</v>
      </c>
      <c r="E2157" s="102">
        <v>1.0</v>
      </c>
      <c r="F2157" s="103" t="s">
        <v>227</v>
      </c>
      <c r="G2157" s="102">
        <v>1.0</v>
      </c>
      <c r="H2157" s="103"/>
      <c r="I2157" s="103"/>
      <c r="J2157" s="103"/>
      <c r="K2157" s="104">
        <v>0.117</v>
      </c>
      <c r="L2157" s="89">
        <v>0.0829</v>
      </c>
      <c r="M2157" s="88"/>
      <c r="N2157" s="88"/>
    </row>
    <row r="2158">
      <c r="A2158" s="90">
        <v>44816.0</v>
      </c>
      <c r="B2158" s="90">
        <v>44816.0</v>
      </c>
      <c r="C2158" s="102">
        <v>2029.0</v>
      </c>
      <c r="D2158" s="103" t="s">
        <v>226</v>
      </c>
      <c r="E2158" s="102">
        <v>1.0</v>
      </c>
      <c r="F2158" s="103" t="s">
        <v>227</v>
      </c>
      <c r="G2158" s="102">
        <v>1.0</v>
      </c>
      <c r="H2158" s="103"/>
      <c r="I2158" s="103"/>
      <c r="J2158" s="103"/>
      <c r="K2158" s="104">
        <v>0.397</v>
      </c>
      <c r="L2158" s="89">
        <v>0.2226</v>
      </c>
      <c r="M2158" s="88"/>
      <c r="N2158" s="88"/>
    </row>
    <row r="2159">
      <c r="A2159" s="90">
        <v>44816.0</v>
      </c>
      <c r="B2159" s="90">
        <v>44816.0</v>
      </c>
      <c r="C2159" s="102">
        <v>2027.0</v>
      </c>
      <c r="D2159" s="103" t="s">
        <v>226</v>
      </c>
      <c r="E2159" s="102">
        <v>0.0</v>
      </c>
      <c r="F2159" s="103" t="s">
        <v>227</v>
      </c>
      <c r="G2159" s="102">
        <v>0.0</v>
      </c>
      <c r="H2159" s="103"/>
      <c r="I2159" s="103"/>
      <c r="J2159" s="103"/>
      <c r="K2159" s="104">
        <v>0.291</v>
      </c>
      <c r="L2159" s="89">
        <v>0.1908</v>
      </c>
      <c r="M2159" s="88"/>
      <c r="N2159" s="88"/>
    </row>
    <row r="2160">
      <c r="A2160" s="90">
        <v>44816.0</v>
      </c>
      <c r="B2160" s="90">
        <v>44816.0</v>
      </c>
      <c r="C2160" s="102">
        <v>2091.0</v>
      </c>
      <c r="D2160" s="103" t="s">
        <v>226</v>
      </c>
      <c r="E2160" s="102">
        <v>1.0</v>
      </c>
      <c r="F2160" s="103" t="s">
        <v>227</v>
      </c>
      <c r="G2160" s="102">
        <v>1.0</v>
      </c>
      <c r="H2160" s="103"/>
      <c r="I2160" s="103"/>
      <c r="J2160" s="103"/>
      <c r="K2160" s="104">
        <v>3.093</v>
      </c>
      <c r="L2160" s="89">
        <v>1.7748</v>
      </c>
      <c r="M2160" s="88"/>
      <c r="N2160" s="88"/>
    </row>
    <row r="2161">
      <c r="A2161" s="90">
        <v>44816.0</v>
      </c>
      <c r="B2161" s="90">
        <v>44816.0</v>
      </c>
      <c r="C2161" s="102">
        <v>2090.0</v>
      </c>
      <c r="D2161" s="103" t="s">
        <v>226</v>
      </c>
      <c r="E2161" s="102">
        <v>1.0</v>
      </c>
      <c r="F2161" s="103" t="s">
        <v>227</v>
      </c>
      <c r="G2161" s="102">
        <v>1.0</v>
      </c>
      <c r="H2161" s="103"/>
      <c r="I2161" s="103"/>
      <c r="J2161" s="103"/>
      <c r="K2161" s="104">
        <v>0.899</v>
      </c>
      <c r="L2161" s="89">
        <v>0.4702</v>
      </c>
      <c r="M2161" s="88"/>
      <c r="N2161" s="88"/>
    </row>
    <row r="2162">
      <c r="A2162" s="90">
        <v>44816.0</v>
      </c>
      <c r="B2162" s="90">
        <v>44816.0</v>
      </c>
      <c r="C2162" s="102">
        <v>2025.0</v>
      </c>
      <c r="D2162" s="103" t="s">
        <v>226</v>
      </c>
      <c r="E2162" s="102">
        <v>0.0</v>
      </c>
      <c r="F2162" s="103" t="s">
        <v>228</v>
      </c>
      <c r="G2162" s="102">
        <v>0.0</v>
      </c>
      <c r="H2162" s="103"/>
      <c r="I2162" s="103"/>
      <c r="J2162" s="103"/>
      <c r="K2162" s="104">
        <v>4.529</v>
      </c>
      <c r="L2162" s="89">
        <v>2.5708</v>
      </c>
      <c r="M2162" s="88"/>
      <c r="N2162" s="88"/>
    </row>
    <row r="2163">
      <c r="A2163" s="90">
        <v>44816.0</v>
      </c>
      <c r="B2163" s="90">
        <v>44816.0</v>
      </c>
      <c r="C2163" s="102">
        <v>2020.0</v>
      </c>
      <c r="D2163" s="103" t="s">
        <v>226</v>
      </c>
      <c r="E2163" s="102">
        <v>0.0</v>
      </c>
      <c r="F2163" s="103" t="s">
        <v>228</v>
      </c>
      <c r="G2163" s="102">
        <v>0.0</v>
      </c>
      <c r="H2163" s="103"/>
      <c r="I2163" s="103"/>
      <c r="J2163" s="103"/>
      <c r="K2163" s="104">
        <v>1.474</v>
      </c>
      <c r="L2163" s="89">
        <v>0.8513</v>
      </c>
      <c r="M2163" s="88"/>
      <c r="N2163" s="88"/>
    </row>
    <row r="2164">
      <c r="A2164" s="90">
        <v>44816.0</v>
      </c>
      <c r="B2164" s="90">
        <v>44816.0</v>
      </c>
      <c r="C2164" s="102">
        <v>2087.0</v>
      </c>
      <c r="D2164" s="103" t="s">
        <v>226</v>
      </c>
      <c r="E2164" s="102">
        <v>0.0</v>
      </c>
      <c r="F2164" s="103" t="s">
        <v>228</v>
      </c>
      <c r="G2164" s="102">
        <v>0.0</v>
      </c>
      <c r="H2164" s="103"/>
      <c r="I2164" s="103"/>
      <c r="J2164" s="103"/>
      <c r="K2164" s="104">
        <v>4.089</v>
      </c>
      <c r="L2164" s="104">
        <v>2.15</v>
      </c>
      <c r="M2164" s="88"/>
      <c r="N2164" s="88"/>
    </row>
    <row r="2165">
      <c r="A2165" s="90">
        <v>44816.0</v>
      </c>
      <c r="B2165" s="90">
        <v>44816.0</v>
      </c>
      <c r="C2165" s="102">
        <v>2372.0</v>
      </c>
      <c r="D2165" s="103" t="s">
        <v>226</v>
      </c>
      <c r="E2165" s="102">
        <v>0.0</v>
      </c>
      <c r="F2165" s="103" t="s">
        <v>227</v>
      </c>
      <c r="G2165" s="102">
        <v>0.0</v>
      </c>
      <c r="H2165" s="103"/>
      <c r="I2165" s="103"/>
      <c r="J2165" s="103"/>
      <c r="K2165" s="104">
        <v>1.433</v>
      </c>
      <c r="L2165" s="89">
        <v>0.9175</v>
      </c>
      <c r="M2165" s="88"/>
      <c r="N2165" s="88"/>
    </row>
    <row r="2166">
      <c r="A2166" s="90">
        <v>44816.0</v>
      </c>
      <c r="B2166" s="90">
        <v>44816.0</v>
      </c>
      <c r="C2166" s="102">
        <v>2372.0</v>
      </c>
      <c r="D2166" s="103" t="s">
        <v>226</v>
      </c>
      <c r="E2166" s="102">
        <v>1.0</v>
      </c>
      <c r="F2166" s="103" t="s">
        <v>227</v>
      </c>
      <c r="G2166" s="102">
        <v>1.0</v>
      </c>
      <c r="H2166" s="103"/>
      <c r="I2166" s="103"/>
      <c r="J2166" s="103"/>
      <c r="K2166" s="104">
        <v>1.847</v>
      </c>
      <c r="L2166" s="89">
        <v>1.1933</v>
      </c>
      <c r="M2166" s="88"/>
      <c r="N2166" s="88"/>
    </row>
    <row r="2167">
      <c r="A2167" s="90">
        <v>44816.0</v>
      </c>
      <c r="B2167" s="90">
        <v>44816.0</v>
      </c>
      <c r="C2167" s="102">
        <v>2382.0</v>
      </c>
      <c r="D2167" s="103" t="s">
        <v>226</v>
      </c>
      <c r="E2167" s="102">
        <v>0.0</v>
      </c>
      <c r="F2167" s="103" t="s">
        <v>228</v>
      </c>
      <c r="G2167" s="102">
        <v>0.0</v>
      </c>
      <c r="H2167" s="103"/>
      <c r="I2167" s="103"/>
      <c r="J2167" s="103"/>
      <c r="K2167" s="104">
        <v>1.83</v>
      </c>
      <c r="L2167" s="89">
        <v>1.0041</v>
      </c>
      <c r="M2167" s="88"/>
      <c r="N2167" s="88"/>
    </row>
    <row r="2168">
      <c r="A2168" s="90">
        <v>44816.0</v>
      </c>
      <c r="B2168" s="90">
        <v>44816.0</v>
      </c>
      <c r="C2168" s="102">
        <v>2346.0</v>
      </c>
      <c r="D2168" s="103" t="s">
        <v>226</v>
      </c>
      <c r="E2168" s="102">
        <v>1.0</v>
      </c>
      <c r="F2168" s="103" t="s">
        <v>227</v>
      </c>
      <c r="G2168" s="102">
        <v>1.0</v>
      </c>
      <c r="H2168" s="103"/>
      <c r="I2168" s="103"/>
      <c r="J2168" s="103"/>
      <c r="K2168" s="104">
        <v>0.243</v>
      </c>
      <c r="L2168" s="104">
        <v>0.153</v>
      </c>
      <c r="M2168" s="88"/>
      <c r="N2168" s="88"/>
    </row>
    <row r="2169">
      <c r="A2169" s="90">
        <v>44816.0</v>
      </c>
      <c r="B2169" s="90">
        <v>44816.0</v>
      </c>
      <c r="C2169" s="102">
        <v>2346.0</v>
      </c>
      <c r="D2169" s="103" t="s">
        <v>226</v>
      </c>
      <c r="E2169" s="102">
        <v>0.0</v>
      </c>
      <c r="F2169" s="103" t="s">
        <v>227</v>
      </c>
      <c r="G2169" s="102">
        <v>0.0</v>
      </c>
      <c r="H2169" s="103"/>
      <c r="I2169" s="103"/>
      <c r="J2169" s="103"/>
      <c r="K2169" s="104">
        <v>0.326</v>
      </c>
      <c r="L2169" s="89">
        <v>0.2009</v>
      </c>
      <c r="M2169" s="88"/>
      <c r="N2169" s="88"/>
    </row>
    <row r="2170">
      <c r="A2170" s="90">
        <v>44816.0</v>
      </c>
      <c r="B2170" s="90">
        <v>44816.0</v>
      </c>
      <c r="C2170" s="102">
        <v>2346.0</v>
      </c>
      <c r="D2170" s="103" t="s">
        <v>226</v>
      </c>
      <c r="E2170" s="102">
        <v>0.0</v>
      </c>
      <c r="F2170" s="103" t="s">
        <v>228</v>
      </c>
      <c r="G2170" s="102">
        <v>0.0</v>
      </c>
      <c r="H2170" s="103"/>
      <c r="I2170" s="103"/>
      <c r="J2170" s="103"/>
      <c r="K2170" s="104">
        <v>2.327</v>
      </c>
      <c r="L2170" s="89">
        <v>1.374</v>
      </c>
      <c r="M2170" s="88"/>
      <c r="N2170" s="88"/>
    </row>
    <row r="2171">
      <c r="A2171" s="90">
        <v>44816.0</v>
      </c>
      <c r="B2171" s="90">
        <v>44816.0</v>
      </c>
      <c r="C2171" s="102">
        <v>2365.0</v>
      </c>
      <c r="D2171" s="103" t="s">
        <v>226</v>
      </c>
      <c r="E2171" s="102">
        <v>1.0</v>
      </c>
      <c r="F2171" s="103" t="s">
        <v>227</v>
      </c>
      <c r="G2171" s="102">
        <v>1.0</v>
      </c>
      <c r="H2171" s="103"/>
      <c r="I2171" s="103"/>
      <c r="J2171" s="103"/>
      <c r="K2171" s="104">
        <v>0.167</v>
      </c>
      <c r="L2171" s="89">
        <v>0.1138</v>
      </c>
      <c r="M2171" s="88"/>
      <c r="N2171" s="88"/>
    </row>
    <row r="2172">
      <c r="A2172" s="90">
        <v>44816.0</v>
      </c>
      <c r="B2172" s="90">
        <v>44816.0</v>
      </c>
      <c r="C2172" s="102">
        <v>2383.0</v>
      </c>
      <c r="D2172" s="103" t="s">
        <v>226</v>
      </c>
      <c r="E2172" s="102">
        <v>0.0</v>
      </c>
      <c r="F2172" s="103" t="s">
        <v>228</v>
      </c>
      <c r="G2172" s="102">
        <v>0.0</v>
      </c>
      <c r="H2172" s="103"/>
      <c r="I2172" s="103"/>
      <c r="J2172" s="103"/>
      <c r="K2172" s="104">
        <v>2.625</v>
      </c>
      <c r="L2172" s="89">
        <v>1.6111</v>
      </c>
      <c r="M2172" s="88"/>
      <c r="N2172" s="88"/>
    </row>
    <row r="2173">
      <c r="A2173" s="90">
        <v>44816.0</v>
      </c>
      <c r="B2173" s="90">
        <v>44816.0</v>
      </c>
      <c r="C2173" s="102">
        <v>2090.0</v>
      </c>
      <c r="D2173" s="103" t="s">
        <v>226</v>
      </c>
      <c r="E2173" s="102">
        <v>0.0</v>
      </c>
      <c r="F2173" s="103" t="s">
        <v>227</v>
      </c>
      <c r="G2173" s="102">
        <v>0.0</v>
      </c>
      <c r="H2173" s="103"/>
      <c r="I2173" s="103"/>
      <c r="J2173" s="103"/>
      <c r="K2173" s="104">
        <v>0.653</v>
      </c>
      <c r="L2173" s="89">
        <v>0.3547</v>
      </c>
      <c r="M2173" s="88"/>
      <c r="N2173" s="88"/>
    </row>
    <row r="2174">
      <c r="A2174" s="90">
        <v>44816.0</v>
      </c>
      <c r="B2174" s="90">
        <v>44816.0</v>
      </c>
      <c r="C2174" s="102">
        <v>2380.0</v>
      </c>
      <c r="D2174" s="103" t="s">
        <v>226</v>
      </c>
      <c r="E2174" s="102">
        <v>1.0</v>
      </c>
      <c r="F2174" s="103" t="s">
        <v>227</v>
      </c>
      <c r="G2174" s="102">
        <v>1.0</v>
      </c>
      <c r="H2174" s="103"/>
      <c r="I2174" s="103"/>
      <c r="J2174" s="103"/>
      <c r="K2174" s="104">
        <v>0.521</v>
      </c>
      <c r="L2174" s="89">
        <v>0.3158</v>
      </c>
      <c r="M2174" s="88"/>
      <c r="N2174" s="88"/>
    </row>
    <row r="2175">
      <c r="A2175" s="90">
        <v>44816.0</v>
      </c>
      <c r="B2175" s="90">
        <v>44816.0</v>
      </c>
      <c r="C2175" s="102">
        <v>2089.0</v>
      </c>
      <c r="D2175" s="103" t="s">
        <v>226</v>
      </c>
      <c r="E2175" s="102">
        <v>0.0</v>
      </c>
      <c r="F2175" s="103" t="s">
        <v>227</v>
      </c>
      <c r="G2175" s="102">
        <v>0.0</v>
      </c>
      <c r="H2175" s="103"/>
      <c r="I2175" s="103"/>
      <c r="J2175" s="103"/>
      <c r="K2175" s="104">
        <v>0.567</v>
      </c>
      <c r="L2175" s="89">
        <v>0.3223</v>
      </c>
      <c r="M2175" s="88"/>
      <c r="N2175" s="88"/>
    </row>
  </sheetData>
  <conditionalFormatting sqref="H1:L2175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175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179</v>
      </c>
      <c r="B1" s="79" t="s">
        <v>168</v>
      </c>
      <c r="C1" s="79" t="s">
        <v>273</v>
      </c>
      <c r="D1" s="79" t="s">
        <v>214</v>
      </c>
      <c r="E1" s="79" t="s">
        <v>170</v>
      </c>
      <c r="F1" s="79" t="s">
        <v>218</v>
      </c>
      <c r="G1" s="79" t="s">
        <v>219</v>
      </c>
      <c r="H1" s="79" t="s">
        <v>220</v>
      </c>
      <c r="I1" s="66" t="s">
        <v>274</v>
      </c>
      <c r="J1" s="66" t="s">
        <v>275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83">
        <v>44635.0</v>
      </c>
      <c r="B2" s="66">
        <v>2004.0</v>
      </c>
      <c r="C2" s="66">
        <v>1.0</v>
      </c>
      <c r="D2" s="66" t="s">
        <v>228</v>
      </c>
      <c r="E2" s="66">
        <v>0.0</v>
      </c>
      <c r="F2" s="66">
        <v>0.1899</v>
      </c>
      <c r="G2" s="66">
        <v>0.992</v>
      </c>
      <c r="H2" s="66" t="s">
        <v>276</v>
      </c>
      <c r="I2" s="82">
        <f t="shared" ref="I2:I1486" si="1">((F2-G2)/G2)</f>
        <v>-0.8085685484</v>
      </c>
      <c r="J2" s="82">
        <f t="shared" ref="J2:J1486" si="2">G2/F2</f>
        <v>5.223802001</v>
      </c>
    </row>
    <row r="3">
      <c r="A3" s="83">
        <v>44635.0</v>
      </c>
      <c r="B3" s="66">
        <v>2005.0</v>
      </c>
      <c r="C3" s="66">
        <v>1.0</v>
      </c>
      <c r="D3" s="66" t="s">
        <v>228</v>
      </c>
      <c r="E3" s="66">
        <v>0.0</v>
      </c>
      <c r="F3" s="66">
        <v>0.02371</v>
      </c>
      <c r="G3" s="66">
        <v>0.119</v>
      </c>
      <c r="I3" s="82">
        <f t="shared" si="1"/>
        <v>-0.8007563025</v>
      </c>
      <c r="J3" s="82">
        <f t="shared" si="2"/>
        <v>5.018979334</v>
      </c>
    </row>
    <row r="4">
      <c r="A4" s="83">
        <v>44635.0</v>
      </c>
      <c r="B4" s="66">
        <v>2007.0</v>
      </c>
      <c r="C4" s="66">
        <v>1.0</v>
      </c>
      <c r="D4" s="66" t="s">
        <v>228</v>
      </c>
      <c r="E4" s="66">
        <v>0.0</v>
      </c>
      <c r="F4" s="66">
        <v>0.1087</v>
      </c>
      <c r="G4" s="66">
        <v>0.1468</v>
      </c>
      <c r="I4" s="82">
        <f t="shared" si="1"/>
        <v>-0.2595367847</v>
      </c>
      <c r="J4" s="82">
        <f t="shared" si="2"/>
        <v>1.35050598</v>
      </c>
    </row>
    <row r="5">
      <c r="A5" s="83">
        <v>44635.0</v>
      </c>
      <c r="B5" s="66">
        <v>2008.0</v>
      </c>
      <c r="C5" s="66">
        <v>1.0</v>
      </c>
      <c r="D5" s="66" t="s">
        <v>228</v>
      </c>
      <c r="E5" s="66">
        <v>0.0</v>
      </c>
      <c r="F5" s="66">
        <v>0.265</v>
      </c>
      <c r="G5" s="66">
        <v>0.3535</v>
      </c>
      <c r="I5" s="82">
        <f t="shared" si="1"/>
        <v>-0.2503536068</v>
      </c>
      <c r="J5" s="82">
        <f t="shared" si="2"/>
        <v>1.333962264</v>
      </c>
    </row>
    <row r="6">
      <c r="A6" s="83">
        <v>44635.0</v>
      </c>
      <c r="B6" s="66">
        <v>2020.0</v>
      </c>
      <c r="C6" s="66">
        <v>1.0</v>
      </c>
      <c r="D6" s="66" t="s">
        <v>228</v>
      </c>
      <c r="E6" s="66">
        <v>0.0</v>
      </c>
      <c r="F6" s="66">
        <v>0.1683</v>
      </c>
      <c r="G6" s="66">
        <v>0.218</v>
      </c>
      <c r="I6" s="82">
        <f t="shared" si="1"/>
        <v>-0.2279816514</v>
      </c>
      <c r="J6" s="82">
        <f t="shared" si="2"/>
        <v>1.295306001</v>
      </c>
    </row>
    <row r="7">
      <c r="A7" s="83">
        <v>44635.0</v>
      </c>
      <c r="B7" s="66">
        <v>2021.0</v>
      </c>
      <c r="C7" s="66">
        <v>1.0</v>
      </c>
      <c r="D7" s="66" t="s">
        <v>228</v>
      </c>
      <c r="E7" s="66">
        <v>0.0</v>
      </c>
      <c r="F7" s="66">
        <v>0.5606</v>
      </c>
      <c r="G7" s="66">
        <v>0.522</v>
      </c>
      <c r="I7" s="82">
        <f t="shared" si="1"/>
        <v>0.07394636015</v>
      </c>
      <c r="J7" s="82">
        <f t="shared" si="2"/>
        <v>0.9311452016</v>
      </c>
    </row>
    <row r="8">
      <c r="A8" s="83">
        <v>44635.0</v>
      </c>
      <c r="B8" s="66">
        <v>2022.0</v>
      </c>
      <c r="C8" s="66">
        <v>1.0</v>
      </c>
      <c r="D8" s="66" t="s">
        <v>228</v>
      </c>
      <c r="E8" s="66" t="s">
        <v>58</v>
      </c>
      <c r="F8" s="66">
        <v>0.2967</v>
      </c>
      <c r="G8" s="66">
        <v>0.194</v>
      </c>
      <c r="H8" s="66" t="s">
        <v>277</v>
      </c>
      <c r="I8" s="82">
        <f t="shared" si="1"/>
        <v>0.5293814433</v>
      </c>
      <c r="J8" s="82">
        <f t="shared" si="2"/>
        <v>0.653859117</v>
      </c>
    </row>
    <row r="9">
      <c r="A9" s="83">
        <v>44635.0</v>
      </c>
      <c r="B9" s="66">
        <v>2023.0</v>
      </c>
      <c r="C9" s="66">
        <v>1.0</v>
      </c>
      <c r="D9" s="66" t="s">
        <v>228</v>
      </c>
      <c r="E9" s="66" t="s">
        <v>58</v>
      </c>
      <c r="F9" s="66">
        <v>1.2283</v>
      </c>
      <c r="G9" s="66">
        <v>0.796</v>
      </c>
      <c r="H9" s="66" t="s">
        <v>277</v>
      </c>
      <c r="I9" s="82">
        <f t="shared" si="1"/>
        <v>0.5430904523</v>
      </c>
      <c r="J9" s="82">
        <f t="shared" si="2"/>
        <v>0.6480501506</v>
      </c>
    </row>
    <row r="10">
      <c r="A10" s="83">
        <v>44635.0</v>
      </c>
      <c r="B10" s="66">
        <v>2024.0</v>
      </c>
      <c r="C10" s="66">
        <v>1.0</v>
      </c>
      <c r="D10" s="66" t="s">
        <v>228</v>
      </c>
      <c r="E10" s="66">
        <v>0.0</v>
      </c>
      <c r="F10" s="66">
        <v>0.6782</v>
      </c>
      <c r="G10" s="66">
        <v>0.437</v>
      </c>
      <c r="H10" s="66" t="s">
        <v>276</v>
      </c>
      <c r="I10" s="82">
        <f t="shared" si="1"/>
        <v>0.5519450801</v>
      </c>
      <c r="J10" s="82">
        <f t="shared" si="2"/>
        <v>0.6443526983</v>
      </c>
    </row>
    <row r="11">
      <c r="A11" s="83">
        <v>44635.0</v>
      </c>
      <c r="B11" s="66">
        <v>2025.0</v>
      </c>
      <c r="C11" s="66">
        <v>1.0</v>
      </c>
      <c r="D11" s="66" t="s">
        <v>228</v>
      </c>
      <c r="E11" s="66">
        <v>0.0</v>
      </c>
      <c r="F11" s="66">
        <v>0.458</v>
      </c>
      <c r="G11" s="66">
        <v>0.2947</v>
      </c>
      <c r="I11" s="82">
        <f t="shared" si="1"/>
        <v>0.5541228368</v>
      </c>
      <c r="J11" s="82">
        <f t="shared" si="2"/>
        <v>0.6434497817</v>
      </c>
    </row>
    <row r="12">
      <c r="A12" s="83">
        <v>44635.0</v>
      </c>
      <c r="B12" s="66">
        <v>2026.0</v>
      </c>
      <c r="C12" s="66">
        <v>1.0</v>
      </c>
      <c r="D12" s="66" t="s">
        <v>228</v>
      </c>
      <c r="E12" s="66" t="s">
        <v>58</v>
      </c>
      <c r="F12" s="66">
        <v>0.827</v>
      </c>
      <c r="G12" s="66">
        <v>0.532</v>
      </c>
      <c r="H12" s="66" t="s">
        <v>277</v>
      </c>
      <c r="I12" s="82">
        <f t="shared" si="1"/>
        <v>0.5545112782</v>
      </c>
      <c r="J12" s="82">
        <f t="shared" si="2"/>
        <v>0.6432889964</v>
      </c>
    </row>
    <row r="13">
      <c r="A13" s="83">
        <v>44635.0</v>
      </c>
      <c r="B13" s="66">
        <v>2027.0</v>
      </c>
      <c r="C13" s="66">
        <v>1.0</v>
      </c>
      <c r="D13" s="66" t="s">
        <v>228</v>
      </c>
      <c r="E13" s="66">
        <v>0.0</v>
      </c>
      <c r="F13" s="66">
        <v>2.217</v>
      </c>
      <c r="G13" s="66">
        <v>1.4172</v>
      </c>
      <c r="I13" s="82">
        <f t="shared" si="1"/>
        <v>0.5643522439</v>
      </c>
      <c r="J13" s="82">
        <f t="shared" si="2"/>
        <v>0.6392422192</v>
      </c>
    </row>
    <row r="14">
      <c r="A14" s="83">
        <v>44635.0</v>
      </c>
      <c r="B14" s="66">
        <v>2089.0</v>
      </c>
      <c r="C14" s="66">
        <v>1.0</v>
      </c>
      <c r="D14" s="66" t="s">
        <v>228</v>
      </c>
      <c r="E14" s="66" t="s">
        <v>58</v>
      </c>
      <c r="F14" s="66">
        <v>0.4477</v>
      </c>
      <c r="G14" s="66">
        <v>0.285</v>
      </c>
      <c r="I14" s="82">
        <f t="shared" si="1"/>
        <v>0.570877193</v>
      </c>
      <c r="J14" s="82">
        <f t="shared" si="2"/>
        <v>0.6365870002</v>
      </c>
    </row>
    <row r="15">
      <c r="A15" s="83">
        <v>44635.0</v>
      </c>
      <c r="B15" s="66">
        <v>2091.0</v>
      </c>
      <c r="C15" s="66">
        <v>1.0</v>
      </c>
      <c r="D15" s="66" t="s">
        <v>228</v>
      </c>
      <c r="E15" s="66" t="s">
        <v>58</v>
      </c>
      <c r="F15" s="66">
        <v>0.9965</v>
      </c>
      <c r="G15" s="66">
        <v>0.631</v>
      </c>
      <c r="H15" s="66" t="s">
        <v>277</v>
      </c>
      <c r="I15" s="82">
        <f t="shared" si="1"/>
        <v>0.5792393027</v>
      </c>
      <c r="J15" s="82">
        <f t="shared" si="2"/>
        <v>0.6332162569</v>
      </c>
    </row>
    <row r="16">
      <c r="A16" s="83">
        <v>44635.0</v>
      </c>
      <c r="B16" s="66">
        <v>2092.0</v>
      </c>
      <c r="C16" s="66">
        <v>1.0</v>
      </c>
      <c r="D16" s="66" t="s">
        <v>228</v>
      </c>
      <c r="E16" s="66" t="s">
        <v>58</v>
      </c>
      <c r="F16" s="66">
        <v>0.8877</v>
      </c>
      <c r="G16" s="66">
        <v>0.562</v>
      </c>
      <c r="H16" s="66" t="s">
        <v>276</v>
      </c>
      <c r="I16" s="82">
        <f t="shared" si="1"/>
        <v>0.5795373665</v>
      </c>
      <c r="J16" s="82">
        <f t="shared" si="2"/>
        <v>0.6330967669</v>
      </c>
    </row>
    <row r="17">
      <c r="A17" s="83">
        <v>44635.0</v>
      </c>
      <c r="B17" s="66">
        <v>2093.0</v>
      </c>
      <c r="C17" s="66">
        <v>1.0</v>
      </c>
      <c r="D17" s="66" t="s">
        <v>228</v>
      </c>
      <c r="E17" s="66" t="s">
        <v>58</v>
      </c>
      <c r="F17" s="66">
        <v>0.8538</v>
      </c>
      <c r="G17" s="66">
        <v>0.539</v>
      </c>
      <c r="H17" s="66" t="s">
        <v>277</v>
      </c>
      <c r="I17" s="82">
        <f t="shared" si="1"/>
        <v>0.5840445269</v>
      </c>
      <c r="J17" s="82">
        <f t="shared" si="2"/>
        <v>0.6312953853</v>
      </c>
    </row>
    <row r="18">
      <c r="A18" s="83">
        <v>44635.0</v>
      </c>
      <c r="B18" s="66">
        <v>2301.0</v>
      </c>
      <c r="C18" s="66">
        <v>1.0</v>
      </c>
      <c r="D18" s="66" t="s">
        <v>228</v>
      </c>
      <c r="E18" s="66" t="s">
        <v>58</v>
      </c>
      <c r="F18" s="66">
        <v>0.9854</v>
      </c>
      <c r="G18" s="66">
        <v>0.622</v>
      </c>
      <c r="H18" s="66" t="s">
        <v>277</v>
      </c>
      <c r="I18" s="82">
        <f t="shared" si="1"/>
        <v>0.584244373</v>
      </c>
      <c r="J18" s="82">
        <f t="shared" si="2"/>
        <v>0.6312157499</v>
      </c>
    </row>
    <row r="19">
      <c r="A19" s="83">
        <v>44635.0</v>
      </c>
      <c r="B19" s="66">
        <v>2331.0</v>
      </c>
      <c r="C19" s="66">
        <v>1.0</v>
      </c>
      <c r="D19" s="66" t="s">
        <v>228</v>
      </c>
      <c r="E19" s="66" t="s">
        <v>58</v>
      </c>
      <c r="F19" s="66">
        <v>2.4192</v>
      </c>
      <c r="G19" s="66">
        <v>1.5249</v>
      </c>
      <c r="I19" s="82">
        <f t="shared" si="1"/>
        <v>0.5864646862</v>
      </c>
      <c r="J19" s="82">
        <f t="shared" si="2"/>
        <v>0.6303323413</v>
      </c>
    </row>
    <row r="20">
      <c r="A20" s="83">
        <v>44635.0</v>
      </c>
      <c r="B20" s="66">
        <v>2345.0</v>
      </c>
      <c r="C20" s="66">
        <v>1.0</v>
      </c>
      <c r="D20" s="66" t="s">
        <v>228</v>
      </c>
      <c r="E20" s="66" t="s">
        <v>58</v>
      </c>
      <c r="F20" s="66">
        <v>1.6048</v>
      </c>
      <c r="G20" s="66">
        <v>1.0087</v>
      </c>
      <c r="I20" s="82">
        <f t="shared" si="1"/>
        <v>0.5909586597</v>
      </c>
      <c r="J20" s="82">
        <f t="shared" si="2"/>
        <v>0.6285518445</v>
      </c>
    </row>
    <row r="21">
      <c r="A21" s="83">
        <v>44635.0</v>
      </c>
      <c r="B21" s="66">
        <v>2352.0</v>
      </c>
      <c r="C21" s="66">
        <v>1.0</v>
      </c>
      <c r="D21" s="66" t="s">
        <v>228</v>
      </c>
      <c r="E21" s="66" t="s">
        <v>58</v>
      </c>
      <c r="F21" s="66">
        <v>0.563</v>
      </c>
      <c r="G21" s="66">
        <v>0.3534</v>
      </c>
      <c r="I21" s="82">
        <f t="shared" si="1"/>
        <v>0.5930956423</v>
      </c>
      <c r="J21" s="82">
        <f t="shared" si="2"/>
        <v>0.6277087034</v>
      </c>
    </row>
    <row r="22">
      <c r="A22" s="83">
        <v>44635.0</v>
      </c>
      <c r="B22" s="66">
        <v>2377.0</v>
      </c>
      <c r="C22" s="66">
        <v>1.0</v>
      </c>
      <c r="D22" s="66" t="s">
        <v>228</v>
      </c>
      <c r="E22" s="66" t="s">
        <v>58</v>
      </c>
      <c r="F22" s="66">
        <v>0.4831</v>
      </c>
      <c r="G22" s="66">
        <v>0.303</v>
      </c>
      <c r="H22" s="66" t="s">
        <v>277</v>
      </c>
      <c r="I22" s="82">
        <f t="shared" si="1"/>
        <v>0.5943894389</v>
      </c>
      <c r="J22" s="82">
        <f t="shared" si="2"/>
        <v>0.6271993376</v>
      </c>
    </row>
    <row r="23">
      <c r="A23" s="83">
        <v>44635.0</v>
      </c>
      <c r="B23" s="66">
        <v>2378.0</v>
      </c>
      <c r="C23" s="66">
        <v>1.0</v>
      </c>
      <c r="D23" s="66" t="s">
        <v>228</v>
      </c>
      <c r="E23" s="66">
        <v>0.0</v>
      </c>
      <c r="F23" s="66">
        <v>0.184</v>
      </c>
      <c r="G23" s="66">
        <v>0.115</v>
      </c>
      <c r="H23" s="66" t="s">
        <v>277</v>
      </c>
      <c r="I23" s="82">
        <f t="shared" si="1"/>
        <v>0.6</v>
      </c>
      <c r="J23" s="82">
        <f t="shared" si="2"/>
        <v>0.625</v>
      </c>
    </row>
    <row r="24">
      <c r="A24" s="83">
        <v>44635.0</v>
      </c>
      <c r="B24" s="66">
        <v>2379.0</v>
      </c>
      <c r="C24" s="66">
        <v>1.0</v>
      </c>
      <c r="D24" s="66" t="s">
        <v>228</v>
      </c>
      <c r="E24" s="66">
        <v>0.0</v>
      </c>
      <c r="F24" s="66">
        <v>1.0574</v>
      </c>
      <c r="G24" s="66">
        <v>0.6598</v>
      </c>
      <c r="I24" s="82">
        <f t="shared" si="1"/>
        <v>0.6026068506</v>
      </c>
      <c r="J24" s="82">
        <f t="shared" si="2"/>
        <v>0.6239833554</v>
      </c>
    </row>
    <row r="25">
      <c r="A25" s="83">
        <v>44635.0</v>
      </c>
      <c r="B25" s="66">
        <v>2380.0</v>
      </c>
      <c r="C25" s="66">
        <v>1.0</v>
      </c>
      <c r="D25" s="66" t="s">
        <v>228</v>
      </c>
      <c r="E25" s="66" t="s">
        <v>58</v>
      </c>
      <c r="F25" s="66">
        <v>2.632</v>
      </c>
      <c r="G25" s="66">
        <v>1.638</v>
      </c>
      <c r="H25" s="66" t="s">
        <v>277</v>
      </c>
      <c r="I25" s="82">
        <f t="shared" si="1"/>
        <v>0.6068376068</v>
      </c>
      <c r="J25" s="82">
        <f t="shared" si="2"/>
        <v>0.6223404255</v>
      </c>
    </row>
    <row r="26">
      <c r="A26" s="83">
        <v>44635.0</v>
      </c>
      <c r="B26" s="66">
        <v>2381.0</v>
      </c>
      <c r="C26" s="66">
        <v>1.0</v>
      </c>
      <c r="D26" s="66" t="s">
        <v>228</v>
      </c>
      <c r="E26" s="66">
        <v>0.0</v>
      </c>
      <c r="F26" s="66">
        <v>1.1483</v>
      </c>
      <c r="G26" s="66">
        <v>0.7144</v>
      </c>
      <c r="H26" s="66" t="s">
        <v>276</v>
      </c>
      <c r="I26" s="82">
        <f t="shared" si="1"/>
        <v>0.6073628219</v>
      </c>
      <c r="J26" s="82">
        <f t="shared" si="2"/>
        <v>0.6221370722</v>
      </c>
    </row>
    <row r="27">
      <c r="A27" s="83">
        <v>44635.0</v>
      </c>
      <c r="B27" s="66">
        <v>2382.0</v>
      </c>
      <c r="C27" s="66">
        <v>1.0</v>
      </c>
      <c r="D27" s="66" t="s">
        <v>228</v>
      </c>
      <c r="E27" s="66">
        <v>0.0</v>
      </c>
      <c r="F27" s="66">
        <v>3.071</v>
      </c>
      <c r="G27" s="66">
        <v>1.91</v>
      </c>
      <c r="H27" s="66" t="s">
        <v>278</v>
      </c>
      <c r="I27" s="82">
        <f t="shared" si="1"/>
        <v>0.6078534031</v>
      </c>
      <c r="J27" s="82">
        <f t="shared" si="2"/>
        <v>0.6219472485</v>
      </c>
    </row>
    <row r="28">
      <c r="A28" s="83">
        <v>44635.0</v>
      </c>
      <c r="B28" s="66">
        <v>2384.0</v>
      </c>
      <c r="C28" s="66">
        <v>1.0</v>
      </c>
      <c r="D28" s="66" t="s">
        <v>228</v>
      </c>
      <c r="E28" s="66">
        <v>0.0</v>
      </c>
      <c r="F28" s="66">
        <v>1.8882</v>
      </c>
      <c r="G28" s="66">
        <v>1.174</v>
      </c>
      <c r="H28" s="66" t="s">
        <v>277</v>
      </c>
      <c r="I28" s="82">
        <f t="shared" si="1"/>
        <v>0.6083475298</v>
      </c>
      <c r="J28" s="82">
        <f t="shared" si="2"/>
        <v>0.6217561699</v>
      </c>
    </row>
    <row r="29">
      <c r="A29" s="83">
        <v>44650.0</v>
      </c>
      <c r="B29" s="66">
        <v>2009.0</v>
      </c>
      <c r="C29" s="66">
        <v>1.0</v>
      </c>
      <c r="D29" s="66" t="s">
        <v>228</v>
      </c>
      <c r="E29" s="66" t="s">
        <v>58</v>
      </c>
      <c r="F29" s="66">
        <v>1.329</v>
      </c>
      <c r="G29" s="66">
        <v>0.826</v>
      </c>
      <c r="H29" s="66" t="s">
        <v>277</v>
      </c>
      <c r="I29" s="82">
        <f t="shared" si="1"/>
        <v>0.6089588378</v>
      </c>
      <c r="J29" s="82">
        <f t="shared" si="2"/>
        <v>0.6215199398</v>
      </c>
    </row>
    <row r="30">
      <c r="A30" s="83">
        <v>44650.0</v>
      </c>
      <c r="B30" s="66">
        <v>2009.0</v>
      </c>
      <c r="C30" s="66">
        <v>1.0</v>
      </c>
      <c r="D30" s="66" t="s">
        <v>227</v>
      </c>
      <c r="E30" s="66">
        <v>0.0</v>
      </c>
      <c r="F30" s="66">
        <v>2.318</v>
      </c>
      <c r="G30" s="66">
        <v>1.438</v>
      </c>
      <c r="H30" s="66" t="s">
        <v>278</v>
      </c>
      <c r="I30" s="82">
        <f t="shared" si="1"/>
        <v>0.611961057</v>
      </c>
      <c r="J30" s="82">
        <f t="shared" si="2"/>
        <v>0.6203623814</v>
      </c>
    </row>
    <row r="31">
      <c r="A31" s="83">
        <v>44650.0</v>
      </c>
      <c r="B31" s="66">
        <v>2009.0</v>
      </c>
      <c r="C31" s="66">
        <v>1.0</v>
      </c>
      <c r="D31" s="66" t="s">
        <v>227</v>
      </c>
      <c r="E31" s="66">
        <v>1.0</v>
      </c>
      <c r="F31" s="66">
        <v>1.1203</v>
      </c>
      <c r="G31" s="66">
        <v>0.693</v>
      </c>
      <c r="I31" s="82">
        <f t="shared" si="1"/>
        <v>0.6165945166</v>
      </c>
      <c r="J31" s="82">
        <f t="shared" si="2"/>
        <v>0.6185843078</v>
      </c>
    </row>
    <row r="32">
      <c r="A32" s="83">
        <v>44650.0</v>
      </c>
      <c r="B32" s="66">
        <v>2009.0</v>
      </c>
      <c r="C32" s="66">
        <v>2.0</v>
      </c>
      <c r="D32" s="66" t="s">
        <v>228</v>
      </c>
      <c r="E32" s="66" t="s">
        <v>58</v>
      </c>
      <c r="F32" s="66">
        <v>0.786</v>
      </c>
      <c r="G32" s="66">
        <v>0.486</v>
      </c>
      <c r="H32" s="66" t="s">
        <v>277</v>
      </c>
      <c r="I32" s="82">
        <f t="shared" si="1"/>
        <v>0.6172839506</v>
      </c>
      <c r="J32" s="82">
        <f t="shared" si="2"/>
        <v>0.6183206107</v>
      </c>
    </row>
    <row r="33">
      <c r="A33" s="83">
        <v>44650.0</v>
      </c>
      <c r="B33" s="66">
        <v>2009.0</v>
      </c>
      <c r="C33" s="66">
        <v>2.0</v>
      </c>
      <c r="D33" s="66" t="s">
        <v>227</v>
      </c>
      <c r="E33" s="66">
        <v>0.0</v>
      </c>
      <c r="F33" s="66">
        <v>2.834</v>
      </c>
      <c r="G33" s="66">
        <v>1.748</v>
      </c>
      <c r="H33" s="66" t="s">
        <v>278</v>
      </c>
      <c r="I33" s="82">
        <f t="shared" si="1"/>
        <v>0.6212814645</v>
      </c>
      <c r="J33" s="82">
        <f t="shared" si="2"/>
        <v>0.616796048</v>
      </c>
    </row>
    <row r="34">
      <c r="A34" s="83">
        <v>44650.0</v>
      </c>
      <c r="B34" s="66">
        <v>2009.0</v>
      </c>
      <c r="C34" s="66">
        <v>2.0</v>
      </c>
      <c r="D34" s="66" t="s">
        <v>227</v>
      </c>
      <c r="E34" s="66">
        <v>1.0</v>
      </c>
      <c r="F34" s="66">
        <v>1.996</v>
      </c>
      <c r="G34" s="66">
        <v>1.23</v>
      </c>
      <c r="H34" s="66" t="s">
        <v>277</v>
      </c>
      <c r="I34" s="82">
        <f t="shared" si="1"/>
        <v>0.6227642276</v>
      </c>
      <c r="J34" s="82">
        <f t="shared" si="2"/>
        <v>0.6162324649</v>
      </c>
    </row>
    <row r="35">
      <c r="A35" s="83">
        <v>44650.0</v>
      </c>
      <c r="B35" s="66">
        <v>2009.0</v>
      </c>
      <c r="C35" s="66">
        <v>3.0</v>
      </c>
      <c r="D35" s="66" t="s">
        <v>228</v>
      </c>
      <c r="E35" s="66" t="s">
        <v>58</v>
      </c>
      <c r="F35" s="66">
        <v>1.5895</v>
      </c>
      <c r="G35" s="66">
        <v>0.979</v>
      </c>
      <c r="H35" s="66" t="s">
        <v>276</v>
      </c>
      <c r="I35" s="82">
        <f t="shared" si="1"/>
        <v>0.6235955056</v>
      </c>
      <c r="J35" s="82">
        <f t="shared" si="2"/>
        <v>0.615916955</v>
      </c>
    </row>
    <row r="36">
      <c r="A36" s="83">
        <v>44650.0</v>
      </c>
      <c r="B36" s="66">
        <v>2009.0</v>
      </c>
      <c r="C36" s="66">
        <v>3.0</v>
      </c>
      <c r="D36" s="66" t="s">
        <v>227</v>
      </c>
      <c r="E36" s="66">
        <v>0.0</v>
      </c>
      <c r="F36" s="66">
        <v>0.7144</v>
      </c>
      <c r="G36" s="66">
        <v>0.439</v>
      </c>
      <c r="H36" s="66" t="s">
        <v>277</v>
      </c>
      <c r="I36" s="82">
        <f t="shared" si="1"/>
        <v>0.6273348519</v>
      </c>
      <c r="J36" s="82">
        <f t="shared" si="2"/>
        <v>0.6145016797</v>
      </c>
    </row>
    <row r="37">
      <c r="A37" s="83">
        <v>44650.0</v>
      </c>
      <c r="B37" s="66">
        <v>2009.0</v>
      </c>
      <c r="C37" s="66">
        <v>3.0</v>
      </c>
      <c r="D37" s="66" t="s">
        <v>227</v>
      </c>
      <c r="E37" s="66">
        <v>1.0</v>
      </c>
      <c r="F37" s="66">
        <v>1.1489</v>
      </c>
      <c r="G37" s="66">
        <v>0.7058</v>
      </c>
      <c r="I37" s="82">
        <f t="shared" si="1"/>
        <v>0.6277982431</v>
      </c>
      <c r="J37" s="82">
        <f t="shared" si="2"/>
        <v>0.6143267473</v>
      </c>
    </row>
    <row r="38">
      <c r="A38" s="83">
        <v>44650.0</v>
      </c>
      <c r="B38" s="66">
        <v>2301.0</v>
      </c>
      <c r="C38" s="66">
        <v>1.0</v>
      </c>
      <c r="D38" s="66" t="s">
        <v>228</v>
      </c>
      <c r="E38" s="66" t="s">
        <v>58</v>
      </c>
      <c r="F38" s="66">
        <v>0.5258</v>
      </c>
      <c r="G38" s="66">
        <v>0.323</v>
      </c>
      <c r="H38" s="66" t="s">
        <v>276</v>
      </c>
      <c r="I38" s="82">
        <f t="shared" si="1"/>
        <v>0.6278637771</v>
      </c>
      <c r="J38" s="82">
        <f t="shared" si="2"/>
        <v>0.614302016</v>
      </c>
    </row>
    <row r="39">
      <c r="A39" s="83">
        <v>44650.0</v>
      </c>
      <c r="B39" s="66">
        <v>2301.0</v>
      </c>
      <c r="C39" s="66">
        <v>1.0</v>
      </c>
      <c r="D39" s="66" t="s">
        <v>227</v>
      </c>
      <c r="E39" s="66" t="s">
        <v>58</v>
      </c>
      <c r="F39" s="66">
        <v>2.2485</v>
      </c>
      <c r="G39" s="66">
        <v>1.378</v>
      </c>
      <c r="I39" s="82">
        <f t="shared" si="1"/>
        <v>0.631712627</v>
      </c>
      <c r="J39" s="82">
        <f t="shared" si="2"/>
        <v>0.6128530131</v>
      </c>
    </row>
    <row r="40">
      <c r="A40" s="83">
        <v>44650.0</v>
      </c>
      <c r="B40" s="66">
        <v>2301.0</v>
      </c>
      <c r="C40" s="66">
        <v>2.0</v>
      </c>
      <c r="D40" s="66" t="s">
        <v>228</v>
      </c>
      <c r="E40" s="66" t="s">
        <v>58</v>
      </c>
      <c r="F40" s="66">
        <v>2.893</v>
      </c>
      <c r="G40" s="66">
        <v>1.769</v>
      </c>
      <c r="H40" s="66" t="s">
        <v>277</v>
      </c>
      <c r="I40" s="82">
        <f t="shared" si="1"/>
        <v>0.6353872244</v>
      </c>
      <c r="J40" s="82">
        <f t="shared" si="2"/>
        <v>0.6114759765</v>
      </c>
    </row>
    <row r="41">
      <c r="A41" s="83">
        <v>44650.0</v>
      </c>
      <c r="B41" s="66">
        <v>2301.0</v>
      </c>
      <c r="C41" s="66">
        <v>2.0</v>
      </c>
      <c r="D41" s="66" t="s">
        <v>227</v>
      </c>
      <c r="E41" s="66" t="s">
        <v>58</v>
      </c>
      <c r="F41" s="66">
        <v>1.9796</v>
      </c>
      <c r="G41" s="66">
        <v>1.2084</v>
      </c>
      <c r="I41" s="82">
        <f t="shared" si="1"/>
        <v>0.6381992718</v>
      </c>
      <c r="J41" s="82">
        <f t="shared" si="2"/>
        <v>0.6104263488</v>
      </c>
    </row>
    <row r="42">
      <c r="A42" s="83">
        <v>44650.0</v>
      </c>
      <c r="B42" s="66">
        <v>2301.0</v>
      </c>
      <c r="C42" s="66">
        <v>3.0</v>
      </c>
      <c r="D42" s="66" t="s">
        <v>228</v>
      </c>
      <c r="E42" s="66" t="s">
        <v>58</v>
      </c>
      <c r="F42" s="66">
        <v>0.6096</v>
      </c>
      <c r="G42" s="66">
        <v>0.372</v>
      </c>
      <c r="I42" s="82">
        <f t="shared" si="1"/>
        <v>0.6387096774</v>
      </c>
      <c r="J42" s="82">
        <f t="shared" si="2"/>
        <v>0.6102362205</v>
      </c>
    </row>
    <row r="43">
      <c r="A43" s="83">
        <v>44650.0</v>
      </c>
      <c r="B43" s="66">
        <v>2301.0</v>
      </c>
      <c r="C43" s="66">
        <v>3.0</v>
      </c>
      <c r="D43" s="66" t="s">
        <v>227</v>
      </c>
      <c r="E43" s="66" t="s">
        <v>58</v>
      </c>
      <c r="F43" s="66">
        <v>0.9841</v>
      </c>
      <c r="G43" s="66">
        <v>0.5995</v>
      </c>
      <c r="I43" s="82">
        <f t="shared" si="1"/>
        <v>0.6415346122</v>
      </c>
      <c r="J43" s="82">
        <f t="shared" si="2"/>
        <v>0.6091860583</v>
      </c>
    </row>
    <row r="44">
      <c r="A44" s="83">
        <v>44650.0</v>
      </c>
      <c r="B44" s="66">
        <v>2331.0</v>
      </c>
      <c r="C44" s="66">
        <v>1.0</v>
      </c>
      <c r="D44" s="66" t="s">
        <v>228</v>
      </c>
      <c r="E44" s="66" t="s">
        <v>58</v>
      </c>
      <c r="F44" s="66">
        <v>0.775</v>
      </c>
      <c r="G44" s="66">
        <v>0.472</v>
      </c>
      <c r="H44" s="66" t="s">
        <v>277</v>
      </c>
      <c r="I44" s="82">
        <f t="shared" si="1"/>
        <v>0.6419491525</v>
      </c>
      <c r="J44" s="82">
        <f t="shared" si="2"/>
        <v>0.6090322581</v>
      </c>
    </row>
    <row r="45">
      <c r="A45" s="83">
        <v>44650.0</v>
      </c>
      <c r="B45" s="66">
        <v>2331.0</v>
      </c>
      <c r="C45" s="66">
        <v>1.0</v>
      </c>
      <c r="D45" s="66" t="s">
        <v>227</v>
      </c>
      <c r="E45" s="66">
        <v>1.0</v>
      </c>
      <c r="F45" s="66">
        <v>1.9995</v>
      </c>
      <c r="G45" s="66">
        <v>1.2164</v>
      </c>
      <c r="I45" s="82">
        <f t="shared" si="1"/>
        <v>0.6437849392</v>
      </c>
      <c r="J45" s="82">
        <f t="shared" si="2"/>
        <v>0.608352088</v>
      </c>
    </row>
    <row r="46">
      <c r="A46" s="83">
        <v>44650.0</v>
      </c>
      <c r="B46" s="66">
        <v>2331.0</v>
      </c>
      <c r="C46" s="66">
        <v>2.0</v>
      </c>
      <c r="D46" s="66" t="s">
        <v>228</v>
      </c>
      <c r="E46" s="66" t="s">
        <v>58</v>
      </c>
      <c r="F46" s="66">
        <v>0.6677</v>
      </c>
      <c r="G46" s="66">
        <v>0.406</v>
      </c>
      <c r="H46" s="66" t="s">
        <v>277</v>
      </c>
      <c r="I46" s="82">
        <f t="shared" si="1"/>
        <v>0.6445812808</v>
      </c>
      <c r="J46" s="82">
        <f t="shared" si="2"/>
        <v>0.6080575109</v>
      </c>
    </row>
    <row r="47">
      <c r="A47" s="83">
        <v>44650.0</v>
      </c>
      <c r="B47" s="66">
        <v>2331.0</v>
      </c>
      <c r="C47" s="66">
        <v>2.0</v>
      </c>
      <c r="D47" s="66" t="s">
        <v>227</v>
      </c>
      <c r="E47" s="66" t="s">
        <v>58</v>
      </c>
      <c r="F47" s="66">
        <v>0.9241</v>
      </c>
      <c r="G47" s="66">
        <v>0.561</v>
      </c>
      <c r="H47" s="66" t="s">
        <v>277</v>
      </c>
      <c r="I47" s="82">
        <f t="shared" si="1"/>
        <v>0.6472370766</v>
      </c>
      <c r="J47" s="82">
        <f t="shared" si="2"/>
        <v>0.6070771562</v>
      </c>
    </row>
    <row r="48">
      <c r="A48" s="83">
        <v>44650.0</v>
      </c>
      <c r="B48" s="66">
        <v>2331.0</v>
      </c>
      <c r="C48" s="66">
        <v>3.0</v>
      </c>
      <c r="D48" s="66" t="s">
        <v>228</v>
      </c>
      <c r="E48" s="66" t="s">
        <v>58</v>
      </c>
      <c r="F48" s="66">
        <v>1.5656</v>
      </c>
      <c r="G48" s="66">
        <v>0.95</v>
      </c>
      <c r="I48" s="82">
        <f t="shared" si="1"/>
        <v>0.648</v>
      </c>
      <c r="J48" s="82">
        <f t="shared" si="2"/>
        <v>0.6067961165</v>
      </c>
    </row>
    <row r="49">
      <c r="A49" s="83">
        <v>44650.0</v>
      </c>
      <c r="B49" s="66">
        <v>2331.0</v>
      </c>
      <c r="C49" s="66">
        <v>3.0</v>
      </c>
      <c r="D49" s="66" t="s">
        <v>227</v>
      </c>
      <c r="E49" s="66" t="s">
        <v>58</v>
      </c>
      <c r="F49" s="66">
        <v>1.685</v>
      </c>
      <c r="G49" s="66">
        <v>1.0218</v>
      </c>
      <c r="H49" s="66" t="s">
        <v>276</v>
      </c>
      <c r="I49" s="82">
        <f t="shared" si="1"/>
        <v>0.6490506949</v>
      </c>
      <c r="J49" s="82">
        <f t="shared" si="2"/>
        <v>0.6064094955</v>
      </c>
    </row>
    <row r="50">
      <c r="A50" s="83">
        <v>44650.0</v>
      </c>
      <c r="B50" s="66">
        <v>2343.0</v>
      </c>
      <c r="C50" s="66">
        <v>1.0</v>
      </c>
      <c r="D50" s="66" t="s">
        <v>228</v>
      </c>
      <c r="E50" s="66" t="s">
        <v>58</v>
      </c>
      <c r="F50" s="66">
        <v>2.6315</v>
      </c>
      <c r="G50" s="66">
        <v>1.5956</v>
      </c>
      <c r="I50" s="82">
        <f t="shared" si="1"/>
        <v>0.6492228629</v>
      </c>
      <c r="J50" s="82">
        <f t="shared" si="2"/>
        <v>0.6063461904</v>
      </c>
    </row>
    <row r="51">
      <c r="A51" s="83">
        <v>44650.0</v>
      </c>
      <c r="B51" s="66">
        <v>2343.0</v>
      </c>
      <c r="C51" s="66">
        <v>1.0</v>
      </c>
      <c r="D51" s="66" t="s">
        <v>227</v>
      </c>
      <c r="E51" s="66">
        <v>0.0</v>
      </c>
      <c r="F51" s="66">
        <v>2.0399</v>
      </c>
      <c r="G51" s="66">
        <v>1.236</v>
      </c>
      <c r="I51" s="82">
        <f t="shared" si="1"/>
        <v>0.6504045307</v>
      </c>
      <c r="J51" s="82">
        <f t="shared" si="2"/>
        <v>0.6059120545</v>
      </c>
    </row>
    <row r="52">
      <c r="A52" s="83">
        <v>44650.0</v>
      </c>
      <c r="B52" s="66">
        <v>2343.0</v>
      </c>
      <c r="C52" s="66">
        <v>1.0</v>
      </c>
      <c r="D52" s="66" t="s">
        <v>227</v>
      </c>
      <c r="E52" s="66">
        <v>1.0</v>
      </c>
      <c r="F52" s="66">
        <v>1.2565</v>
      </c>
      <c r="G52" s="66">
        <v>0.759</v>
      </c>
      <c r="H52" s="66" t="s">
        <v>277</v>
      </c>
      <c r="I52" s="82">
        <f t="shared" si="1"/>
        <v>0.6554677207</v>
      </c>
      <c r="J52" s="82">
        <f t="shared" si="2"/>
        <v>0.6040588938</v>
      </c>
    </row>
    <row r="53">
      <c r="A53" s="83">
        <v>44650.0</v>
      </c>
      <c r="B53" s="66">
        <v>2343.0</v>
      </c>
      <c r="C53" s="66">
        <v>2.0</v>
      </c>
      <c r="D53" s="66" t="s">
        <v>228</v>
      </c>
      <c r="E53" s="66" t="s">
        <v>58</v>
      </c>
      <c r="F53" s="66">
        <v>2.9523</v>
      </c>
      <c r="G53" s="66">
        <v>1.783</v>
      </c>
      <c r="H53" s="66" t="s">
        <v>277</v>
      </c>
      <c r="I53" s="82">
        <f t="shared" si="1"/>
        <v>0.6558048233</v>
      </c>
      <c r="J53" s="82">
        <f t="shared" si="2"/>
        <v>0.6039359144</v>
      </c>
    </row>
    <row r="54">
      <c r="A54" s="83">
        <v>44650.0</v>
      </c>
      <c r="B54" s="66">
        <v>2343.0</v>
      </c>
      <c r="C54" s="66">
        <v>2.0</v>
      </c>
      <c r="D54" s="66" t="s">
        <v>227</v>
      </c>
      <c r="E54" s="66">
        <v>0.0</v>
      </c>
      <c r="F54" s="66">
        <v>0.7444</v>
      </c>
      <c r="G54" s="66">
        <v>0.449</v>
      </c>
      <c r="H54" s="66" t="s">
        <v>277</v>
      </c>
      <c r="I54" s="82">
        <f t="shared" si="1"/>
        <v>0.6579064588</v>
      </c>
      <c r="J54" s="82">
        <f t="shared" si="2"/>
        <v>0.6031703385</v>
      </c>
    </row>
    <row r="55">
      <c r="A55" s="83">
        <v>44650.0</v>
      </c>
      <c r="B55" s="66">
        <v>2343.0</v>
      </c>
      <c r="C55" s="66">
        <v>2.0</v>
      </c>
      <c r="D55" s="66" t="s">
        <v>227</v>
      </c>
      <c r="E55" s="66">
        <v>1.0</v>
      </c>
      <c r="F55" s="66">
        <v>3.336</v>
      </c>
      <c r="G55" s="66">
        <v>2.012</v>
      </c>
      <c r="H55" s="66" t="s">
        <v>278</v>
      </c>
      <c r="I55" s="82">
        <f t="shared" si="1"/>
        <v>0.6580516899</v>
      </c>
      <c r="J55" s="82">
        <f t="shared" si="2"/>
        <v>0.603117506</v>
      </c>
    </row>
    <row r="56">
      <c r="A56" s="83">
        <v>44650.0</v>
      </c>
      <c r="B56" s="66">
        <v>2343.0</v>
      </c>
      <c r="C56" s="66">
        <v>3.0</v>
      </c>
      <c r="D56" s="66" t="s">
        <v>228</v>
      </c>
      <c r="E56" s="66" t="s">
        <v>58</v>
      </c>
      <c r="F56" s="66">
        <v>1.3016</v>
      </c>
      <c r="G56" s="66">
        <v>0.785</v>
      </c>
      <c r="H56" s="66" t="s">
        <v>277</v>
      </c>
      <c r="I56" s="82">
        <f t="shared" si="1"/>
        <v>0.658089172</v>
      </c>
      <c r="J56" s="82">
        <f t="shared" si="2"/>
        <v>0.6031038722</v>
      </c>
    </row>
    <row r="57">
      <c r="A57" s="83">
        <v>44650.0</v>
      </c>
      <c r="B57" s="66">
        <v>2343.0</v>
      </c>
      <c r="C57" s="66">
        <v>3.0</v>
      </c>
      <c r="D57" s="66" t="s">
        <v>227</v>
      </c>
      <c r="E57" s="66">
        <v>0.0</v>
      </c>
      <c r="F57" s="66">
        <v>1.5385</v>
      </c>
      <c r="G57" s="66">
        <v>0.9274</v>
      </c>
      <c r="H57" s="66" t="s">
        <v>277</v>
      </c>
      <c r="I57" s="82">
        <f t="shared" si="1"/>
        <v>0.6589389692</v>
      </c>
      <c r="J57" s="82">
        <f t="shared" si="2"/>
        <v>0.6027949301</v>
      </c>
    </row>
    <row r="58">
      <c r="A58" s="83">
        <v>44650.0</v>
      </c>
      <c r="B58" s="66">
        <v>2343.0</v>
      </c>
      <c r="C58" s="66">
        <v>3.0</v>
      </c>
      <c r="D58" s="66" t="s">
        <v>227</v>
      </c>
      <c r="E58" s="66">
        <v>1.0</v>
      </c>
      <c r="F58" s="66">
        <v>0.3729</v>
      </c>
      <c r="G58" s="66">
        <v>0.2247</v>
      </c>
      <c r="I58" s="82">
        <f t="shared" si="1"/>
        <v>0.6595460614</v>
      </c>
      <c r="J58" s="82">
        <f t="shared" si="2"/>
        <v>0.6025744167</v>
      </c>
    </row>
    <row r="59">
      <c r="A59" s="83">
        <v>44650.0</v>
      </c>
      <c r="B59" s="66">
        <v>2345.0</v>
      </c>
      <c r="C59" s="66">
        <v>1.0</v>
      </c>
      <c r="D59" s="66" t="s">
        <v>228</v>
      </c>
      <c r="E59" s="66" t="s">
        <v>58</v>
      </c>
      <c r="F59" s="66">
        <v>0.7286</v>
      </c>
      <c r="G59" s="66">
        <v>0.439</v>
      </c>
      <c r="H59" s="66" t="s">
        <v>277</v>
      </c>
      <c r="I59" s="82">
        <f t="shared" si="1"/>
        <v>0.6596810934</v>
      </c>
      <c r="J59" s="82">
        <f t="shared" si="2"/>
        <v>0.6025253912</v>
      </c>
    </row>
    <row r="60">
      <c r="A60" s="83">
        <v>44650.0</v>
      </c>
      <c r="B60" s="66">
        <v>2345.0</v>
      </c>
      <c r="C60" s="66">
        <v>1.0</v>
      </c>
      <c r="D60" s="66" t="s">
        <v>227</v>
      </c>
      <c r="E60" s="66" t="s">
        <v>58</v>
      </c>
      <c r="F60" s="66">
        <v>0.9541</v>
      </c>
      <c r="G60" s="66">
        <v>0.5747</v>
      </c>
      <c r="H60" s="66" t="s">
        <v>276</v>
      </c>
      <c r="I60" s="82">
        <f t="shared" si="1"/>
        <v>0.6601705238</v>
      </c>
      <c r="J60" s="82">
        <f t="shared" si="2"/>
        <v>0.6023477623</v>
      </c>
    </row>
    <row r="61">
      <c r="A61" s="83">
        <v>44650.0</v>
      </c>
      <c r="B61" s="66">
        <v>2345.0</v>
      </c>
      <c r="C61" s="66">
        <v>2.0</v>
      </c>
      <c r="D61" s="66" t="s">
        <v>227</v>
      </c>
      <c r="E61" s="66" t="s">
        <v>58</v>
      </c>
      <c r="F61" s="66">
        <v>0.7124</v>
      </c>
      <c r="G61" s="66">
        <v>0.4268</v>
      </c>
      <c r="H61" s="66" t="s">
        <v>276</v>
      </c>
      <c r="I61" s="82">
        <f t="shared" si="1"/>
        <v>0.6691658857</v>
      </c>
      <c r="J61" s="82">
        <f t="shared" si="2"/>
        <v>0.5991016283</v>
      </c>
    </row>
    <row r="62">
      <c r="A62" s="83">
        <v>44650.0</v>
      </c>
      <c r="B62" s="66">
        <v>2345.0</v>
      </c>
      <c r="C62" s="66">
        <v>3.0</v>
      </c>
      <c r="D62" s="66" t="s">
        <v>228</v>
      </c>
      <c r="E62" s="66" t="s">
        <v>58</v>
      </c>
      <c r="F62" s="66">
        <v>1.546</v>
      </c>
      <c r="G62" s="66">
        <v>0.925</v>
      </c>
      <c r="H62" s="66" t="s">
        <v>277</v>
      </c>
      <c r="I62" s="82">
        <f t="shared" si="1"/>
        <v>0.6713513514</v>
      </c>
      <c r="J62" s="82">
        <f t="shared" si="2"/>
        <v>0.5983182406</v>
      </c>
    </row>
    <row r="63">
      <c r="A63" s="83">
        <v>44650.0</v>
      </c>
      <c r="B63" s="66">
        <v>2345.0</v>
      </c>
      <c r="C63" s="66">
        <v>3.0</v>
      </c>
      <c r="D63" s="66" t="s">
        <v>227</v>
      </c>
      <c r="E63" s="66" t="s">
        <v>58</v>
      </c>
      <c r="F63" s="66">
        <v>2.3647</v>
      </c>
      <c r="G63" s="66">
        <v>1.4143</v>
      </c>
      <c r="I63" s="82">
        <f t="shared" si="1"/>
        <v>0.6719932122</v>
      </c>
      <c r="J63" s="82">
        <f t="shared" si="2"/>
        <v>0.5980885525</v>
      </c>
    </row>
    <row r="64">
      <c r="A64" s="83">
        <v>44650.0</v>
      </c>
      <c r="B64" s="66">
        <v>2346.0</v>
      </c>
      <c r="C64" s="66">
        <v>1.0</v>
      </c>
      <c r="D64" s="66" t="s">
        <v>228</v>
      </c>
      <c r="E64" s="66" t="s">
        <v>58</v>
      </c>
      <c r="F64" s="66">
        <v>1.0849</v>
      </c>
      <c r="G64" s="66">
        <v>0.648</v>
      </c>
      <c r="H64" s="66" t="s">
        <v>276</v>
      </c>
      <c r="I64" s="82">
        <f t="shared" si="1"/>
        <v>0.6742283951</v>
      </c>
      <c r="J64" s="82">
        <f t="shared" si="2"/>
        <v>0.5972900728</v>
      </c>
    </row>
    <row r="65">
      <c r="A65" s="83">
        <v>44650.0</v>
      </c>
      <c r="B65" s="66">
        <v>2346.0</v>
      </c>
      <c r="C65" s="66">
        <v>1.0</v>
      </c>
      <c r="D65" s="66" t="s">
        <v>227</v>
      </c>
      <c r="E65" s="66">
        <v>0.0</v>
      </c>
      <c r="F65" s="66">
        <v>1.7053</v>
      </c>
      <c r="G65" s="66">
        <v>1.018</v>
      </c>
      <c r="I65" s="82">
        <f t="shared" si="1"/>
        <v>0.6751473477</v>
      </c>
      <c r="J65" s="82">
        <f t="shared" si="2"/>
        <v>0.5969624113</v>
      </c>
    </row>
    <row r="66">
      <c r="A66" s="83">
        <v>44650.0</v>
      </c>
      <c r="B66" s="66">
        <v>2346.0</v>
      </c>
      <c r="C66" s="66">
        <v>1.0</v>
      </c>
      <c r="D66" s="66" t="s">
        <v>227</v>
      </c>
      <c r="E66" s="66">
        <v>1.0</v>
      </c>
      <c r="F66" s="66">
        <v>0.3237</v>
      </c>
      <c r="G66" s="66">
        <v>0.1932</v>
      </c>
      <c r="I66" s="82">
        <f t="shared" si="1"/>
        <v>0.6754658385</v>
      </c>
      <c r="J66" s="82">
        <f t="shared" si="2"/>
        <v>0.5968489342</v>
      </c>
    </row>
    <row r="67">
      <c r="A67" s="83">
        <v>44650.0</v>
      </c>
      <c r="B67" s="66">
        <v>2346.0</v>
      </c>
      <c r="C67" s="66">
        <v>2.0</v>
      </c>
      <c r="D67" s="66" t="s">
        <v>228</v>
      </c>
      <c r="E67" s="66" t="s">
        <v>58</v>
      </c>
      <c r="F67" s="66">
        <v>1.0138</v>
      </c>
      <c r="G67" s="66">
        <v>0.605</v>
      </c>
      <c r="I67" s="82">
        <f t="shared" si="1"/>
        <v>0.6757024793</v>
      </c>
      <c r="J67" s="82">
        <f t="shared" si="2"/>
        <v>0.5967646479</v>
      </c>
    </row>
    <row r="68">
      <c r="A68" s="83">
        <v>44650.0</v>
      </c>
      <c r="B68" s="66">
        <v>2346.0</v>
      </c>
      <c r="C68" s="66">
        <v>2.0</v>
      </c>
      <c r="D68" s="66" t="s">
        <v>227</v>
      </c>
      <c r="E68" s="66">
        <v>0.0</v>
      </c>
      <c r="F68" s="66">
        <v>1.9312</v>
      </c>
      <c r="G68" s="66">
        <v>1.152</v>
      </c>
      <c r="H68" s="66" t="s">
        <v>277</v>
      </c>
      <c r="I68" s="82">
        <f t="shared" si="1"/>
        <v>0.6763888889</v>
      </c>
      <c r="J68" s="82">
        <f t="shared" si="2"/>
        <v>0.5965202983</v>
      </c>
    </row>
    <row r="69">
      <c r="A69" s="83">
        <v>44650.0</v>
      </c>
      <c r="B69" s="66">
        <v>2346.0</v>
      </c>
      <c r="C69" s="66">
        <v>2.0</v>
      </c>
      <c r="D69" s="66" t="s">
        <v>227</v>
      </c>
      <c r="E69" s="66">
        <v>1.0</v>
      </c>
      <c r="F69" s="66">
        <v>0.4562</v>
      </c>
      <c r="G69" s="66">
        <v>0.272</v>
      </c>
      <c r="I69" s="82">
        <f t="shared" si="1"/>
        <v>0.6772058824</v>
      </c>
      <c r="J69" s="82">
        <f t="shared" si="2"/>
        <v>0.5962297238</v>
      </c>
    </row>
    <row r="70">
      <c r="A70" s="83">
        <v>44650.0</v>
      </c>
      <c r="B70" s="66">
        <v>2346.0</v>
      </c>
      <c r="C70" s="66">
        <v>3.0</v>
      </c>
      <c r="D70" s="66" t="s">
        <v>228</v>
      </c>
      <c r="E70" s="66" t="s">
        <v>58</v>
      </c>
      <c r="F70" s="66">
        <v>0.9864</v>
      </c>
      <c r="G70" s="66">
        <v>0.5879</v>
      </c>
      <c r="I70" s="82">
        <f t="shared" si="1"/>
        <v>0.6778363667</v>
      </c>
      <c r="J70" s="82">
        <f t="shared" si="2"/>
        <v>0.5960056772</v>
      </c>
    </row>
    <row r="71">
      <c r="A71" s="83">
        <v>44650.0</v>
      </c>
      <c r="B71" s="66">
        <v>2346.0</v>
      </c>
      <c r="C71" s="66">
        <v>3.0</v>
      </c>
      <c r="D71" s="66" t="s">
        <v>227</v>
      </c>
      <c r="E71" s="66">
        <v>0.0</v>
      </c>
      <c r="F71" s="66">
        <v>1.3947</v>
      </c>
      <c r="G71" s="66">
        <v>0.831</v>
      </c>
      <c r="H71" s="66" t="s">
        <v>276</v>
      </c>
      <c r="I71" s="82">
        <f t="shared" si="1"/>
        <v>0.6783393502</v>
      </c>
      <c r="J71" s="82">
        <f t="shared" si="2"/>
        <v>0.5958270596</v>
      </c>
    </row>
    <row r="72">
      <c r="A72" s="83">
        <v>44650.0</v>
      </c>
      <c r="B72" s="66">
        <v>2346.0</v>
      </c>
      <c r="C72" s="66">
        <v>3.0</v>
      </c>
      <c r="D72" s="66" t="s">
        <v>227</v>
      </c>
      <c r="E72" s="66">
        <v>1.0</v>
      </c>
      <c r="F72" s="66">
        <v>1.3682</v>
      </c>
      <c r="G72" s="66">
        <v>0.8126</v>
      </c>
      <c r="I72" s="82">
        <f t="shared" si="1"/>
        <v>0.6837312331</v>
      </c>
      <c r="J72" s="82">
        <f t="shared" si="2"/>
        <v>0.5939190177</v>
      </c>
    </row>
    <row r="73">
      <c r="A73" s="83">
        <v>44650.0</v>
      </c>
      <c r="B73" s="66">
        <v>2347.0</v>
      </c>
      <c r="C73" s="66">
        <v>1.0</v>
      </c>
      <c r="D73" s="66" t="s">
        <v>228</v>
      </c>
      <c r="E73" s="66" t="s">
        <v>58</v>
      </c>
      <c r="F73" s="66">
        <v>0.9092</v>
      </c>
      <c r="G73" s="66">
        <v>0.5397</v>
      </c>
      <c r="I73" s="82">
        <f t="shared" si="1"/>
        <v>0.6846396146</v>
      </c>
      <c r="J73" s="82">
        <f t="shared" si="2"/>
        <v>0.5935987681</v>
      </c>
    </row>
    <row r="74">
      <c r="A74" s="83">
        <v>44650.0</v>
      </c>
      <c r="B74" s="66">
        <v>2347.0</v>
      </c>
      <c r="C74" s="66">
        <v>1.0</v>
      </c>
      <c r="D74" s="66" t="s">
        <v>227</v>
      </c>
      <c r="E74" s="66">
        <v>0.0</v>
      </c>
      <c r="F74" s="66">
        <v>2.2443</v>
      </c>
      <c r="G74" s="66">
        <v>1.331</v>
      </c>
      <c r="I74" s="82">
        <f t="shared" si="1"/>
        <v>0.6861758077</v>
      </c>
      <c r="J74" s="82">
        <f t="shared" si="2"/>
        <v>0.5930579691</v>
      </c>
    </row>
    <row r="75">
      <c r="A75" s="83">
        <v>44650.0</v>
      </c>
      <c r="B75" s="66">
        <v>2347.0</v>
      </c>
      <c r="C75" s="66">
        <v>1.0</v>
      </c>
      <c r="D75" s="66" t="s">
        <v>227</v>
      </c>
      <c r="E75" s="66">
        <v>1.0</v>
      </c>
      <c r="F75" s="66">
        <v>1.1028</v>
      </c>
      <c r="G75" s="66">
        <v>0.654</v>
      </c>
      <c r="H75" s="66" t="s">
        <v>277</v>
      </c>
      <c r="I75" s="82">
        <f t="shared" si="1"/>
        <v>0.6862385321</v>
      </c>
      <c r="J75" s="82">
        <f t="shared" si="2"/>
        <v>0.5930359086</v>
      </c>
    </row>
    <row r="76">
      <c r="A76" s="83">
        <v>44650.0</v>
      </c>
      <c r="B76" s="66">
        <v>2347.0</v>
      </c>
      <c r="C76" s="66">
        <v>2.0</v>
      </c>
      <c r="D76" s="66" t="s">
        <v>228</v>
      </c>
      <c r="E76" s="66" t="s">
        <v>58</v>
      </c>
      <c r="F76" s="66">
        <v>1.2912</v>
      </c>
      <c r="G76" s="66">
        <v>0.7638</v>
      </c>
      <c r="I76" s="82">
        <f t="shared" si="1"/>
        <v>0.690494894</v>
      </c>
      <c r="J76" s="82">
        <f t="shared" si="2"/>
        <v>0.5915427509</v>
      </c>
    </row>
    <row r="77">
      <c r="A77" s="83">
        <v>44650.0</v>
      </c>
      <c r="B77" s="66">
        <v>2347.0</v>
      </c>
      <c r="C77" s="66">
        <v>2.0</v>
      </c>
      <c r="D77" s="66" t="s">
        <v>227</v>
      </c>
      <c r="E77" s="66">
        <v>0.0</v>
      </c>
      <c r="F77" s="66">
        <v>2.07</v>
      </c>
      <c r="G77" s="66">
        <v>1.224</v>
      </c>
      <c r="H77" s="66" t="s">
        <v>278</v>
      </c>
      <c r="I77" s="82">
        <f t="shared" si="1"/>
        <v>0.6911764706</v>
      </c>
      <c r="J77" s="82">
        <f t="shared" si="2"/>
        <v>0.5913043478</v>
      </c>
    </row>
    <row r="78">
      <c r="A78" s="83">
        <v>44650.0</v>
      </c>
      <c r="B78" s="66">
        <v>2347.0</v>
      </c>
      <c r="C78" s="66">
        <v>2.0</v>
      </c>
      <c r="D78" s="66" t="s">
        <v>227</v>
      </c>
      <c r="E78" s="66">
        <v>1.0</v>
      </c>
      <c r="F78" s="66">
        <v>0.0501</v>
      </c>
      <c r="G78" s="66">
        <v>0.0296</v>
      </c>
      <c r="I78" s="82">
        <f t="shared" si="1"/>
        <v>0.6925675676</v>
      </c>
      <c r="J78" s="82">
        <f t="shared" si="2"/>
        <v>0.5908183633</v>
      </c>
    </row>
    <row r="79">
      <c r="A79" s="83">
        <v>44650.0</v>
      </c>
      <c r="B79" s="66">
        <v>2347.0</v>
      </c>
      <c r="C79" s="66">
        <v>3.0</v>
      </c>
      <c r="D79" s="66" t="s">
        <v>228</v>
      </c>
      <c r="E79" s="66" t="s">
        <v>58</v>
      </c>
      <c r="F79" s="66">
        <v>2.8019</v>
      </c>
      <c r="G79" s="66">
        <v>1.6554</v>
      </c>
      <c r="H79" s="66" t="s">
        <v>276</v>
      </c>
      <c r="I79" s="82">
        <f t="shared" si="1"/>
        <v>0.6925818533</v>
      </c>
      <c r="J79" s="82">
        <f t="shared" si="2"/>
        <v>0.5908133766</v>
      </c>
    </row>
    <row r="80">
      <c r="A80" s="83">
        <v>44650.0</v>
      </c>
      <c r="B80" s="66">
        <v>2347.0</v>
      </c>
      <c r="C80" s="66">
        <v>3.0</v>
      </c>
      <c r="D80" s="66" t="s">
        <v>227</v>
      </c>
      <c r="E80" s="66">
        <v>0.0</v>
      </c>
      <c r="F80" s="66">
        <v>1.6544</v>
      </c>
      <c r="G80" s="66">
        <v>0.977</v>
      </c>
      <c r="I80" s="82">
        <f t="shared" si="1"/>
        <v>0.6933469806</v>
      </c>
      <c r="J80" s="82">
        <f t="shared" si="2"/>
        <v>0.5905464217</v>
      </c>
    </row>
    <row r="81">
      <c r="A81" s="83">
        <v>44650.0</v>
      </c>
      <c r="B81" s="66">
        <v>2347.0</v>
      </c>
      <c r="C81" s="66">
        <v>3.0</v>
      </c>
      <c r="D81" s="66" t="s">
        <v>227</v>
      </c>
      <c r="E81" s="66">
        <v>1.0</v>
      </c>
      <c r="F81" s="66">
        <v>1.263</v>
      </c>
      <c r="G81" s="66">
        <v>0.7456</v>
      </c>
      <c r="H81" s="66" t="s">
        <v>276</v>
      </c>
      <c r="I81" s="82">
        <f t="shared" si="1"/>
        <v>0.6939377682</v>
      </c>
      <c r="J81" s="82">
        <f t="shared" si="2"/>
        <v>0.5903404592</v>
      </c>
    </row>
    <row r="82">
      <c r="A82" s="83">
        <v>44650.0</v>
      </c>
      <c r="B82" s="66">
        <v>2352.0</v>
      </c>
      <c r="C82" s="66">
        <v>1.0</v>
      </c>
      <c r="D82" s="66" t="s">
        <v>228</v>
      </c>
      <c r="E82" s="66" t="s">
        <v>58</v>
      </c>
      <c r="F82" s="66">
        <v>1.0381</v>
      </c>
      <c r="G82" s="66">
        <v>0.6125</v>
      </c>
      <c r="I82" s="82">
        <f t="shared" si="1"/>
        <v>0.6948571429</v>
      </c>
      <c r="J82" s="82">
        <f t="shared" si="2"/>
        <v>0.5900202293</v>
      </c>
    </row>
    <row r="83">
      <c r="A83" s="83">
        <v>44650.0</v>
      </c>
      <c r="B83" s="66">
        <v>2352.0</v>
      </c>
      <c r="C83" s="66">
        <v>1.0</v>
      </c>
      <c r="D83" s="66" t="s">
        <v>227</v>
      </c>
      <c r="E83" s="66" t="s">
        <v>58</v>
      </c>
      <c r="F83" s="66">
        <v>5.437</v>
      </c>
      <c r="G83" s="66">
        <v>3.206</v>
      </c>
      <c r="H83" s="66" t="s">
        <v>278</v>
      </c>
      <c r="I83" s="82">
        <f t="shared" si="1"/>
        <v>0.6958827199</v>
      </c>
      <c r="J83" s="82">
        <f t="shared" si="2"/>
        <v>0.5896634173</v>
      </c>
    </row>
    <row r="84">
      <c r="A84" s="83">
        <v>44650.0</v>
      </c>
      <c r="B84" s="66">
        <v>2352.0</v>
      </c>
      <c r="C84" s="66">
        <v>2.0</v>
      </c>
      <c r="D84" s="66" t="s">
        <v>228</v>
      </c>
      <c r="E84" s="66" t="s">
        <v>58</v>
      </c>
      <c r="F84" s="66">
        <v>0.636</v>
      </c>
      <c r="G84" s="66">
        <v>0.375</v>
      </c>
      <c r="H84" s="66" t="s">
        <v>277</v>
      </c>
      <c r="I84" s="82">
        <f t="shared" si="1"/>
        <v>0.696</v>
      </c>
      <c r="J84" s="82">
        <f t="shared" si="2"/>
        <v>0.5896226415</v>
      </c>
    </row>
    <row r="85">
      <c r="A85" s="83">
        <v>44650.0</v>
      </c>
      <c r="B85" s="66">
        <v>2352.0</v>
      </c>
      <c r="C85" s="66">
        <v>2.0</v>
      </c>
      <c r="D85" s="66" t="s">
        <v>227</v>
      </c>
      <c r="E85" s="66" t="s">
        <v>58</v>
      </c>
      <c r="F85" s="66">
        <v>0.6106</v>
      </c>
      <c r="G85" s="66">
        <v>0.36</v>
      </c>
      <c r="I85" s="82">
        <f t="shared" si="1"/>
        <v>0.6961111111</v>
      </c>
      <c r="J85" s="82">
        <f t="shared" si="2"/>
        <v>0.5895840157</v>
      </c>
    </row>
    <row r="86">
      <c r="A86" s="83">
        <v>44650.0</v>
      </c>
      <c r="B86" s="66">
        <v>2352.0</v>
      </c>
      <c r="C86" s="66">
        <v>3.0</v>
      </c>
      <c r="D86" s="66" t="s">
        <v>228</v>
      </c>
      <c r="E86" s="66" t="s">
        <v>58</v>
      </c>
      <c r="F86" s="66">
        <v>0.1904</v>
      </c>
      <c r="G86" s="66">
        <v>0.1122</v>
      </c>
      <c r="I86" s="82">
        <f t="shared" si="1"/>
        <v>0.696969697</v>
      </c>
      <c r="J86" s="82">
        <f t="shared" si="2"/>
        <v>0.5892857143</v>
      </c>
    </row>
    <row r="87">
      <c r="A87" s="83">
        <v>44650.0</v>
      </c>
      <c r="B87" s="66">
        <v>2352.0</v>
      </c>
      <c r="C87" s="66">
        <v>3.0</v>
      </c>
      <c r="D87" s="66" t="s">
        <v>227</v>
      </c>
      <c r="E87" s="66" t="s">
        <v>58</v>
      </c>
      <c r="F87" s="66">
        <v>3.408</v>
      </c>
      <c r="G87" s="66">
        <v>2.008</v>
      </c>
      <c r="H87" s="66" t="s">
        <v>278</v>
      </c>
      <c r="I87" s="82">
        <f t="shared" si="1"/>
        <v>0.6972111554</v>
      </c>
      <c r="J87" s="82">
        <f t="shared" si="2"/>
        <v>0.5892018779</v>
      </c>
    </row>
    <row r="88">
      <c r="A88" s="83">
        <v>44650.0</v>
      </c>
      <c r="B88" s="66">
        <v>2354.0</v>
      </c>
      <c r="C88" s="66">
        <v>1.0</v>
      </c>
      <c r="D88" s="66" t="s">
        <v>228</v>
      </c>
      <c r="E88" s="66" t="s">
        <v>58</v>
      </c>
      <c r="F88" s="66">
        <v>1.5818</v>
      </c>
      <c r="G88" s="66">
        <v>0.931</v>
      </c>
      <c r="I88" s="82">
        <f t="shared" si="1"/>
        <v>0.6990332975</v>
      </c>
      <c r="J88" s="82">
        <f t="shared" si="2"/>
        <v>0.5885699836</v>
      </c>
    </row>
    <row r="89">
      <c r="A89" s="83">
        <v>44650.0</v>
      </c>
      <c r="B89" s="66">
        <v>2354.0</v>
      </c>
      <c r="C89" s="66">
        <v>1.0</v>
      </c>
      <c r="D89" s="66" t="s">
        <v>227</v>
      </c>
      <c r="E89" s="66" t="s">
        <v>58</v>
      </c>
      <c r="F89" s="66">
        <v>2.956</v>
      </c>
      <c r="G89" s="66">
        <v>1.739</v>
      </c>
      <c r="I89" s="82">
        <f t="shared" si="1"/>
        <v>0.6998274871</v>
      </c>
      <c r="J89" s="82">
        <f t="shared" si="2"/>
        <v>0.5882949932</v>
      </c>
    </row>
    <row r="90">
      <c r="A90" s="83">
        <v>44650.0</v>
      </c>
      <c r="B90" s="66">
        <v>2354.0</v>
      </c>
      <c r="C90" s="66">
        <v>2.0</v>
      </c>
      <c r="D90" s="66" t="s">
        <v>228</v>
      </c>
      <c r="E90" s="66" t="s">
        <v>58</v>
      </c>
      <c r="F90" s="66">
        <v>1.5339</v>
      </c>
      <c r="G90" s="66">
        <v>0.902</v>
      </c>
      <c r="H90" s="66" t="s">
        <v>276</v>
      </c>
      <c r="I90" s="82">
        <f t="shared" si="1"/>
        <v>0.7005543237</v>
      </c>
      <c r="J90" s="82">
        <f t="shared" si="2"/>
        <v>0.5880435491</v>
      </c>
    </row>
    <row r="91">
      <c r="A91" s="83">
        <v>44650.0</v>
      </c>
      <c r="B91" s="66">
        <v>2354.0</v>
      </c>
      <c r="C91" s="66">
        <v>2.0</v>
      </c>
      <c r="D91" s="66" t="s">
        <v>227</v>
      </c>
      <c r="E91" s="66">
        <v>0.0</v>
      </c>
      <c r="F91" s="66">
        <v>1.9358</v>
      </c>
      <c r="G91" s="66">
        <v>1.1383</v>
      </c>
      <c r="I91" s="82">
        <f t="shared" si="1"/>
        <v>0.7006061671</v>
      </c>
      <c r="J91" s="82">
        <f t="shared" si="2"/>
        <v>0.5880256225</v>
      </c>
    </row>
    <row r="92">
      <c r="A92" s="83">
        <v>44650.0</v>
      </c>
      <c r="B92" s="66">
        <v>2354.0</v>
      </c>
      <c r="C92" s="66">
        <v>2.0</v>
      </c>
      <c r="D92" s="66" t="s">
        <v>227</v>
      </c>
      <c r="E92" s="66">
        <v>1.0</v>
      </c>
      <c r="F92" s="66">
        <v>1.4443</v>
      </c>
      <c r="G92" s="66">
        <v>0.8472</v>
      </c>
      <c r="H92" s="66" t="s">
        <v>276</v>
      </c>
      <c r="I92" s="82">
        <f t="shared" si="1"/>
        <v>0.7047922568</v>
      </c>
      <c r="J92" s="82">
        <f t="shared" si="2"/>
        <v>0.5865817351</v>
      </c>
    </row>
    <row r="93">
      <c r="A93" s="83">
        <v>44650.0</v>
      </c>
      <c r="B93" s="66">
        <v>2354.0</v>
      </c>
      <c r="C93" s="66">
        <v>3.0</v>
      </c>
      <c r="D93" s="66" t="s">
        <v>228</v>
      </c>
      <c r="E93" s="66" t="s">
        <v>58</v>
      </c>
      <c r="F93" s="66">
        <v>0.6412</v>
      </c>
      <c r="G93" s="66">
        <v>0.376</v>
      </c>
      <c r="I93" s="82">
        <f t="shared" si="1"/>
        <v>0.7053191489</v>
      </c>
      <c r="J93" s="82">
        <f t="shared" si="2"/>
        <v>0.5864004991</v>
      </c>
    </row>
    <row r="94">
      <c r="A94" s="83">
        <v>44650.0</v>
      </c>
      <c r="B94" s="66">
        <v>2354.0</v>
      </c>
      <c r="C94" s="66">
        <v>3.0</v>
      </c>
      <c r="D94" s="66" t="s">
        <v>227</v>
      </c>
      <c r="E94" s="66" t="s">
        <v>58</v>
      </c>
      <c r="F94" s="66">
        <v>0.0999</v>
      </c>
      <c r="G94" s="66">
        <v>0.0585</v>
      </c>
      <c r="I94" s="82">
        <f t="shared" si="1"/>
        <v>0.7076923077</v>
      </c>
      <c r="J94" s="82">
        <f t="shared" si="2"/>
        <v>0.5855855856</v>
      </c>
    </row>
    <row r="95">
      <c r="A95" s="83">
        <v>44650.0</v>
      </c>
      <c r="B95" s="66">
        <v>2360.0</v>
      </c>
      <c r="C95" s="66">
        <v>1.0</v>
      </c>
      <c r="D95" s="66" t="s">
        <v>228</v>
      </c>
      <c r="E95" s="66" t="s">
        <v>58</v>
      </c>
      <c r="F95" s="66">
        <v>2.9236</v>
      </c>
      <c r="G95" s="66">
        <v>1.712</v>
      </c>
      <c r="H95" s="66" t="s">
        <v>276</v>
      </c>
      <c r="I95" s="82">
        <f t="shared" si="1"/>
        <v>0.7077102804</v>
      </c>
      <c r="J95" s="82">
        <f t="shared" si="2"/>
        <v>0.5855794226</v>
      </c>
    </row>
    <row r="96">
      <c r="A96" s="83">
        <v>44650.0</v>
      </c>
      <c r="B96" s="66">
        <v>2360.0</v>
      </c>
      <c r="C96" s="66">
        <v>1.0</v>
      </c>
      <c r="D96" s="66" t="s">
        <v>227</v>
      </c>
      <c r="E96" s="66">
        <v>1.0</v>
      </c>
      <c r="F96" s="66">
        <v>1.218</v>
      </c>
      <c r="G96" s="66">
        <v>0.713</v>
      </c>
      <c r="H96" s="66" t="s">
        <v>277</v>
      </c>
      <c r="I96" s="82">
        <f t="shared" si="1"/>
        <v>0.7082748948</v>
      </c>
      <c r="J96" s="82">
        <f t="shared" si="2"/>
        <v>0.5853858785</v>
      </c>
    </row>
    <row r="97">
      <c r="A97" s="83">
        <v>44650.0</v>
      </c>
      <c r="B97" s="66">
        <v>2360.0</v>
      </c>
      <c r="C97" s="66">
        <v>2.0</v>
      </c>
      <c r="D97" s="66" t="s">
        <v>228</v>
      </c>
      <c r="E97" s="66" t="s">
        <v>58</v>
      </c>
      <c r="F97" s="66">
        <v>0.6495</v>
      </c>
      <c r="G97" s="66">
        <v>0.38</v>
      </c>
      <c r="I97" s="82">
        <f t="shared" si="1"/>
        <v>0.7092105263</v>
      </c>
      <c r="J97" s="82">
        <f t="shared" si="2"/>
        <v>0.5850654349</v>
      </c>
    </row>
    <row r="98">
      <c r="A98" s="83">
        <v>44650.0</v>
      </c>
      <c r="B98" s="66">
        <v>2360.0</v>
      </c>
      <c r="C98" s="66">
        <v>2.0</v>
      </c>
      <c r="D98" s="66" t="s">
        <v>227</v>
      </c>
      <c r="E98" s="66">
        <v>0.0</v>
      </c>
      <c r="F98" s="66">
        <v>1.5782</v>
      </c>
      <c r="G98" s="66">
        <v>0.9233</v>
      </c>
      <c r="I98" s="82">
        <f t="shared" si="1"/>
        <v>0.709303585</v>
      </c>
      <c r="J98" s="82">
        <f t="shared" si="2"/>
        <v>0.5850335826</v>
      </c>
    </row>
    <row r="99">
      <c r="A99" s="83">
        <v>44650.0</v>
      </c>
      <c r="B99" s="66">
        <v>2360.0</v>
      </c>
      <c r="C99" s="66">
        <v>2.0</v>
      </c>
      <c r="D99" s="66" t="s">
        <v>227</v>
      </c>
      <c r="E99" s="66">
        <v>1.0</v>
      </c>
      <c r="F99" s="66">
        <v>0.4619</v>
      </c>
      <c r="G99" s="66">
        <v>0.27</v>
      </c>
      <c r="H99" s="66" t="s">
        <v>276</v>
      </c>
      <c r="I99" s="82">
        <f t="shared" si="1"/>
        <v>0.7107407407</v>
      </c>
      <c r="J99" s="82">
        <f t="shared" si="2"/>
        <v>0.5845421087</v>
      </c>
    </row>
    <row r="100">
      <c r="A100" s="83">
        <v>44650.0</v>
      </c>
      <c r="B100" s="66">
        <v>2360.0</v>
      </c>
      <c r="C100" s="66">
        <v>3.0</v>
      </c>
      <c r="D100" s="66" t="s">
        <v>228</v>
      </c>
      <c r="E100" s="66" t="s">
        <v>58</v>
      </c>
      <c r="F100" s="66">
        <v>0.1001</v>
      </c>
      <c r="G100" s="66">
        <v>0.0585</v>
      </c>
      <c r="H100" s="66" t="s">
        <v>277</v>
      </c>
      <c r="I100" s="82">
        <f t="shared" si="1"/>
        <v>0.7111111111</v>
      </c>
      <c r="J100" s="82">
        <f t="shared" si="2"/>
        <v>0.5844155844</v>
      </c>
    </row>
    <row r="101">
      <c r="A101" s="83">
        <v>44650.0</v>
      </c>
      <c r="B101" s="66">
        <v>2360.0</v>
      </c>
      <c r="C101" s="66">
        <v>3.0</v>
      </c>
      <c r="D101" s="66" t="s">
        <v>227</v>
      </c>
      <c r="E101" s="66">
        <v>0.0</v>
      </c>
      <c r="F101" s="66">
        <v>2.6446</v>
      </c>
      <c r="G101" s="66">
        <v>1.545</v>
      </c>
      <c r="H101" s="66" t="s">
        <v>276</v>
      </c>
      <c r="I101" s="82">
        <f t="shared" si="1"/>
        <v>0.7117152104</v>
      </c>
      <c r="J101" s="82">
        <f t="shared" si="2"/>
        <v>0.5842093322</v>
      </c>
    </row>
    <row r="102">
      <c r="A102" s="83">
        <v>44650.0</v>
      </c>
      <c r="B102" s="66">
        <v>2360.0</v>
      </c>
      <c r="C102" s="66">
        <v>3.0</v>
      </c>
      <c r="D102" s="66" t="s">
        <v>227</v>
      </c>
      <c r="E102" s="66">
        <v>1.0</v>
      </c>
      <c r="F102" s="66">
        <v>1.6757</v>
      </c>
      <c r="G102" s="66">
        <v>0.9784</v>
      </c>
      <c r="I102" s="82">
        <f t="shared" si="1"/>
        <v>0.7126941946</v>
      </c>
      <c r="J102" s="82">
        <f t="shared" si="2"/>
        <v>0.5838753954</v>
      </c>
    </row>
    <row r="103">
      <c r="A103" s="83">
        <v>44650.0</v>
      </c>
      <c r="B103" s="66">
        <v>2361.0</v>
      </c>
      <c r="C103" s="66">
        <v>1.0</v>
      </c>
      <c r="D103" s="66" t="s">
        <v>227</v>
      </c>
      <c r="E103" s="66">
        <v>0.0</v>
      </c>
      <c r="F103" s="66">
        <v>0.6154</v>
      </c>
      <c r="G103" s="66">
        <v>0.359</v>
      </c>
      <c r="H103" s="66" t="s">
        <v>276</v>
      </c>
      <c r="I103" s="82">
        <f t="shared" si="1"/>
        <v>0.7142061281</v>
      </c>
      <c r="J103" s="82">
        <f t="shared" si="2"/>
        <v>0.583360416</v>
      </c>
    </row>
    <row r="104">
      <c r="A104" s="83">
        <v>44650.0</v>
      </c>
      <c r="B104" s="66">
        <v>2364.0</v>
      </c>
      <c r="C104" s="66">
        <v>1.0</v>
      </c>
      <c r="D104" s="66" t="s">
        <v>228</v>
      </c>
      <c r="E104" s="66" t="s">
        <v>58</v>
      </c>
      <c r="F104" s="66">
        <v>0.7558</v>
      </c>
      <c r="G104" s="66">
        <v>0.44</v>
      </c>
      <c r="I104" s="82">
        <f t="shared" si="1"/>
        <v>0.7177272727</v>
      </c>
      <c r="J104" s="82">
        <f t="shared" si="2"/>
        <v>0.5821645938</v>
      </c>
    </row>
    <row r="105">
      <c r="A105" s="83">
        <v>44650.0</v>
      </c>
      <c r="B105" s="66">
        <v>2364.0</v>
      </c>
      <c r="C105" s="66">
        <v>1.0</v>
      </c>
      <c r="D105" s="66" t="s">
        <v>227</v>
      </c>
      <c r="E105" s="66">
        <v>0.0</v>
      </c>
      <c r="F105" s="66">
        <v>1.3279</v>
      </c>
      <c r="G105" s="66">
        <v>0.773</v>
      </c>
      <c r="H105" s="66" t="s">
        <v>277</v>
      </c>
      <c r="I105" s="82">
        <f t="shared" si="1"/>
        <v>0.7178525226</v>
      </c>
      <c r="J105" s="82">
        <f t="shared" si="2"/>
        <v>0.5821221478</v>
      </c>
    </row>
    <row r="106">
      <c r="A106" s="83">
        <v>44650.0</v>
      </c>
      <c r="B106" s="66">
        <v>2364.0</v>
      </c>
      <c r="C106" s="66">
        <v>1.0</v>
      </c>
      <c r="D106" s="66" t="s">
        <v>227</v>
      </c>
      <c r="E106" s="66">
        <v>1.0</v>
      </c>
      <c r="F106" s="66">
        <v>0.942</v>
      </c>
      <c r="G106" s="66">
        <v>0.548</v>
      </c>
      <c r="H106" s="66" t="s">
        <v>279</v>
      </c>
      <c r="I106" s="82">
        <f t="shared" si="1"/>
        <v>0.7189781022</v>
      </c>
      <c r="J106" s="82">
        <f t="shared" si="2"/>
        <v>0.5817409766</v>
      </c>
    </row>
    <row r="107">
      <c r="A107" s="83">
        <v>44650.0</v>
      </c>
      <c r="B107" s="66">
        <v>2364.0</v>
      </c>
      <c r="C107" s="66">
        <v>2.0</v>
      </c>
      <c r="D107" s="66" t="s">
        <v>228</v>
      </c>
      <c r="E107" s="66" t="s">
        <v>58</v>
      </c>
      <c r="F107" s="66">
        <v>0.1703</v>
      </c>
      <c r="G107" s="66">
        <v>0.099</v>
      </c>
      <c r="H107" s="66" t="s">
        <v>277</v>
      </c>
      <c r="I107" s="82">
        <f t="shared" si="1"/>
        <v>0.7202020202</v>
      </c>
      <c r="J107" s="82">
        <f t="shared" si="2"/>
        <v>0.5813270699</v>
      </c>
    </row>
    <row r="108">
      <c r="A108" s="83">
        <v>44650.0</v>
      </c>
      <c r="B108" s="66">
        <v>2364.0</v>
      </c>
      <c r="C108" s="66">
        <v>2.0</v>
      </c>
      <c r="D108" s="66" t="s">
        <v>227</v>
      </c>
      <c r="E108" s="66">
        <v>0.0</v>
      </c>
      <c r="F108" s="66">
        <v>0.6756</v>
      </c>
      <c r="G108" s="66">
        <v>0.392</v>
      </c>
      <c r="H108" s="66" t="s">
        <v>276</v>
      </c>
      <c r="I108" s="82">
        <f t="shared" si="1"/>
        <v>0.7234693878</v>
      </c>
      <c r="J108" s="82">
        <f t="shared" si="2"/>
        <v>0.5802249852</v>
      </c>
    </row>
    <row r="109">
      <c r="A109" s="83">
        <v>44650.0</v>
      </c>
      <c r="B109" s="66">
        <v>2364.0</v>
      </c>
      <c r="C109" s="66">
        <v>2.0</v>
      </c>
      <c r="D109" s="66" t="s">
        <v>227</v>
      </c>
      <c r="E109" s="66">
        <v>1.0</v>
      </c>
      <c r="F109" s="66">
        <v>1.0044</v>
      </c>
      <c r="G109" s="66">
        <v>0.5822</v>
      </c>
      <c r="H109" s="66" t="s">
        <v>276</v>
      </c>
      <c r="I109" s="82">
        <f t="shared" si="1"/>
        <v>0.7251803504</v>
      </c>
      <c r="J109" s="82">
        <f t="shared" si="2"/>
        <v>0.579649542</v>
      </c>
    </row>
    <row r="110">
      <c r="A110" s="83">
        <v>44650.0</v>
      </c>
      <c r="B110" s="66">
        <v>2364.0</v>
      </c>
      <c r="C110" s="66">
        <v>3.0</v>
      </c>
      <c r="D110" s="66" t="s">
        <v>228</v>
      </c>
      <c r="E110" s="66" t="s">
        <v>58</v>
      </c>
      <c r="F110" s="66">
        <v>0.7421</v>
      </c>
      <c r="G110" s="66">
        <v>0.43</v>
      </c>
      <c r="H110" s="66" t="s">
        <v>276</v>
      </c>
      <c r="I110" s="82">
        <f t="shared" si="1"/>
        <v>0.7258139535</v>
      </c>
      <c r="J110" s="82">
        <f t="shared" si="2"/>
        <v>0.5794367336</v>
      </c>
    </row>
    <row r="111">
      <c r="A111" s="83">
        <v>44650.0</v>
      </c>
      <c r="B111" s="66">
        <v>2364.0</v>
      </c>
      <c r="C111" s="66">
        <v>3.0</v>
      </c>
      <c r="D111" s="66" t="s">
        <v>227</v>
      </c>
      <c r="E111" s="66">
        <v>0.0</v>
      </c>
      <c r="F111" s="66">
        <v>0.4022</v>
      </c>
      <c r="G111" s="66">
        <v>0.233</v>
      </c>
      <c r="I111" s="82">
        <f t="shared" si="1"/>
        <v>0.7261802575</v>
      </c>
      <c r="J111" s="82">
        <f t="shared" si="2"/>
        <v>0.5793137742</v>
      </c>
    </row>
    <row r="112">
      <c r="A112" s="83">
        <v>44650.0</v>
      </c>
      <c r="B112" s="66">
        <v>2364.0</v>
      </c>
      <c r="C112" s="66">
        <v>3.0</v>
      </c>
      <c r="D112" s="66" t="s">
        <v>227</v>
      </c>
      <c r="E112" s="66">
        <v>1.0</v>
      </c>
      <c r="F112" s="66">
        <v>2.6938</v>
      </c>
      <c r="G112" s="66">
        <v>1.56</v>
      </c>
      <c r="H112" s="66" t="s">
        <v>276</v>
      </c>
      <c r="I112" s="82">
        <f t="shared" si="1"/>
        <v>0.7267948718</v>
      </c>
      <c r="J112" s="82">
        <f t="shared" si="2"/>
        <v>0.5791075804</v>
      </c>
    </row>
    <row r="113">
      <c r="A113" s="83">
        <v>44650.0</v>
      </c>
      <c r="B113" s="66">
        <v>2367.0</v>
      </c>
      <c r="C113" s="66">
        <v>1.0</v>
      </c>
      <c r="D113" s="66" t="s">
        <v>228</v>
      </c>
      <c r="E113" s="66" t="s">
        <v>58</v>
      </c>
      <c r="F113" s="66">
        <v>3.3447</v>
      </c>
      <c r="G113" s="66">
        <v>1.933</v>
      </c>
      <c r="H113" s="66" t="s">
        <v>276</v>
      </c>
      <c r="I113" s="82">
        <f t="shared" si="1"/>
        <v>0.7303155717</v>
      </c>
      <c r="J113" s="82">
        <f t="shared" si="2"/>
        <v>0.5779292612</v>
      </c>
    </row>
    <row r="114">
      <c r="A114" s="83">
        <v>44650.0</v>
      </c>
      <c r="B114" s="66">
        <v>2367.0</v>
      </c>
      <c r="C114" s="66">
        <v>1.0</v>
      </c>
      <c r="D114" s="66" t="s">
        <v>228</v>
      </c>
      <c r="E114" s="66" t="s">
        <v>58</v>
      </c>
      <c r="F114" s="66">
        <v>1.2822</v>
      </c>
      <c r="G114" s="66">
        <v>0.741</v>
      </c>
      <c r="I114" s="82">
        <f t="shared" si="1"/>
        <v>0.7303643725</v>
      </c>
      <c r="J114" s="82">
        <f t="shared" si="2"/>
        <v>0.5779129621</v>
      </c>
    </row>
    <row r="115">
      <c r="A115" s="83">
        <v>44650.0</v>
      </c>
      <c r="B115" s="66">
        <v>2367.0</v>
      </c>
      <c r="C115" s="66">
        <v>1.0</v>
      </c>
      <c r="D115" s="66" t="s">
        <v>227</v>
      </c>
      <c r="E115" s="66">
        <v>0.0</v>
      </c>
      <c r="F115" s="66">
        <v>0.471</v>
      </c>
      <c r="G115" s="66">
        <v>0.272</v>
      </c>
      <c r="H115" s="66" t="s">
        <v>279</v>
      </c>
      <c r="I115" s="82">
        <f t="shared" si="1"/>
        <v>0.7316176471</v>
      </c>
      <c r="J115" s="82">
        <f t="shared" si="2"/>
        <v>0.5774946921</v>
      </c>
    </row>
    <row r="116">
      <c r="A116" s="83">
        <v>44650.0</v>
      </c>
      <c r="B116" s="66">
        <v>2367.0</v>
      </c>
      <c r="C116" s="66">
        <v>1.0</v>
      </c>
      <c r="D116" s="66" t="s">
        <v>227</v>
      </c>
      <c r="E116" s="66">
        <v>0.0</v>
      </c>
      <c r="F116" s="66">
        <v>2.032</v>
      </c>
      <c r="G116" s="66">
        <v>1.173</v>
      </c>
      <c r="H116" s="66" t="s">
        <v>278</v>
      </c>
      <c r="I116" s="82">
        <f t="shared" si="1"/>
        <v>0.7323103154</v>
      </c>
      <c r="J116" s="82">
        <f t="shared" si="2"/>
        <v>0.5772637795</v>
      </c>
    </row>
    <row r="117">
      <c r="A117" s="83">
        <v>44650.0</v>
      </c>
      <c r="B117" s="66">
        <v>2367.0</v>
      </c>
      <c r="C117" s="66">
        <v>1.0</v>
      </c>
      <c r="D117" s="66" t="s">
        <v>227</v>
      </c>
      <c r="E117" s="66">
        <v>1.0</v>
      </c>
      <c r="F117" s="66">
        <v>0.2568</v>
      </c>
      <c r="G117" s="66">
        <v>0.1482</v>
      </c>
      <c r="I117" s="82">
        <f t="shared" si="1"/>
        <v>0.7327935223</v>
      </c>
      <c r="J117" s="82">
        <f t="shared" si="2"/>
        <v>0.5771028037</v>
      </c>
    </row>
    <row r="118">
      <c r="A118" s="83">
        <v>44650.0</v>
      </c>
      <c r="B118" s="66">
        <v>2367.0</v>
      </c>
      <c r="C118" s="66">
        <v>1.0</v>
      </c>
      <c r="D118" s="66" t="s">
        <v>227</v>
      </c>
      <c r="E118" s="66">
        <v>1.0</v>
      </c>
      <c r="F118" s="66">
        <v>0.981</v>
      </c>
      <c r="G118" s="66">
        <v>0.5657</v>
      </c>
      <c r="I118" s="82">
        <f t="shared" si="1"/>
        <v>0.7341347004</v>
      </c>
      <c r="J118" s="82">
        <f t="shared" si="2"/>
        <v>0.576656473</v>
      </c>
    </row>
    <row r="119">
      <c r="A119" s="83">
        <v>44650.0</v>
      </c>
      <c r="B119" s="66">
        <v>2367.0</v>
      </c>
      <c r="C119" s="66">
        <v>3.0</v>
      </c>
      <c r="D119" s="66" t="s">
        <v>228</v>
      </c>
      <c r="E119" s="66" t="s">
        <v>58</v>
      </c>
      <c r="F119" s="66">
        <v>0.4747</v>
      </c>
      <c r="G119" s="66">
        <v>0.2734</v>
      </c>
      <c r="I119" s="82">
        <f t="shared" si="1"/>
        <v>0.7362838332</v>
      </c>
      <c r="J119" s="82">
        <f t="shared" si="2"/>
        <v>0.5759427007</v>
      </c>
    </row>
    <row r="120">
      <c r="A120" s="83">
        <v>44650.0</v>
      </c>
      <c r="B120" s="66">
        <v>2367.0</v>
      </c>
      <c r="C120" s="66">
        <v>3.0</v>
      </c>
      <c r="D120" s="66" t="s">
        <v>227</v>
      </c>
      <c r="E120" s="66">
        <v>0.0</v>
      </c>
      <c r="F120" s="66">
        <v>3.0135</v>
      </c>
      <c r="G120" s="66">
        <v>1.735</v>
      </c>
      <c r="H120" s="66" t="s">
        <v>276</v>
      </c>
      <c r="I120" s="82">
        <f t="shared" si="1"/>
        <v>0.7368876081</v>
      </c>
      <c r="J120" s="82">
        <f t="shared" si="2"/>
        <v>0.5757424921</v>
      </c>
    </row>
    <row r="121">
      <c r="A121" s="83">
        <v>44650.0</v>
      </c>
      <c r="B121" s="66">
        <v>2367.0</v>
      </c>
      <c r="C121" s="66">
        <v>3.0</v>
      </c>
      <c r="D121" s="66" t="s">
        <v>227</v>
      </c>
      <c r="E121" s="66">
        <v>1.0</v>
      </c>
      <c r="F121" s="66">
        <v>0.4324</v>
      </c>
      <c r="G121" s="66">
        <v>0.2488</v>
      </c>
      <c r="I121" s="82">
        <f t="shared" si="1"/>
        <v>0.7379421222</v>
      </c>
      <c r="J121" s="82">
        <f t="shared" si="2"/>
        <v>0.5753931545</v>
      </c>
    </row>
    <row r="122">
      <c r="A122" s="83">
        <v>44650.0</v>
      </c>
      <c r="B122" s="66">
        <v>2369.0</v>
      </c>
      <c r="C122" s="66">
        <v>1.0</v>
      </c>
      <c r="D122" s="66" t="s">
        <v>228</v>
      </c>
      <c r="E122" s="66" t="s">
        <v>58</v>
      </c>
      <c r="F122" s="66">
        <v>0.8867</v>
      </c>
      <c r="G122" s="66">
        <v>0.51</v>
      </c>
      <c r="H122" s="66" t="s">
        <v>277</v>
      </c>
      <c r="I122" s="82">
        <f t="shared" si="1"/>
        <v>0.738627451</v>
      </c>
      <c r="J122" s="82">
        <f t="shared" si="2"/>
        <v>0.5751663471</v>
      </c>
    </row>
    <row r="123">
      <c r="A123" s="83">
        <v>44650.0</v>
      </c>
      <c r="B123" s="66">
        <v>2369.0</v>
      </c>
      <c r="C123" s="66">
        <v>1.0</v>
      </c>
      <c r="D123" s="66" t="s">
        <v>227</v>
      </c>
      <c r="E123" s="66">
        <v>0.0</v>
      </c>
      <c r="F123" s="66">
        <v>0.2192</v>
      </c>
      <c r="G123" s="66">
        <v>0.126</v>
      </c>
      <c r="H123" s="66" t="s">
        <v>277</v>
      </c>
      <c r="I123" s="82">
        <f t="shared" si="1"/>
        <v>0.7396825397</v>
      </c>
      <c r="J123" s="82">
        <f t="shared" si="2"/>
        <v>0.5748175182</v>
      </c>
    </row>
    <row r="124">
      <c r="A124" s="83">
        <v>44650.0</v>
      </c>
      <c r="B124" s="66">
        <v>2369.0</v>
      </c>
      <c r="C124" s="66">
        <v>1.0</v>
      </c>
      <c r="D124" s="66" t="s">
        <v>227</v>
      </c>
      <c r="E124" s="66">
        <v>1.0</v>
      </c>
      <c r="F124" s="66">
        <v>2.1783</v>
      </c>
      <c r="G124" s="66">
        <v>1.252</v>
      </c>
      <c r="H124" s="66" t="s">
        <v>276</v>
      </c>
      <c r="I124" s="82">
        <f t="shared" si="1"/>
        <v>0.73985623</v>
      </c>
      <c r="J124" s="82">
        <f t="shared" si="2"/>
        <v>0.574760134</v>
      </c>
    </row>
    <row r="125">
      <c r="A125" s="83">
        <v>44650.0</v>
      </c>
      <c r="B125" s="66">
        <v>2369.0</v>
      </c>
      <c r="C125" s="66">
        <v>2.0</v>
      </c>
      <c r="D125" s="66" t="s">
        <v>228</v>
      </c>
      <c r="E125" s="66" t="s">
        <v>58</v>
      </c>
      <c r="F125" s="66">
        <v>1.7253</v>
      </c>
      <c r="G125" s="66">
        <v>0.991</v>
      </c>
      <c r="H125" s="66" t="s">
        <v>276</v>
      </c>
      <c r="I125" s="82">
        <f t="shared" si="1"/>
        <v>0.7409687185</v>
      </c>
      <c r="J125" s="82">
        <f t="shared" si="2"/>
        <v>0.5743928592</v>
      </c>
    </row>
    <row r="126">
      <c r="A126" s="83">
        <v>44650.0</v>
      </c>
      <c r="B126" s="66">
        <v>2369.0</v>
      </c>
      <c r="C126" s="66">
        <v>2.0</v>
      </c>
      <c r="D126" s="66" t="s">
        <v>227</v>
      </c>
      <c r="E126" s="66">
        <v>0.0</v>
      </c>
      <c r="F126" s="66">
        <v>0.2211</v>
      </c>
      <c r="G126" s="66">
        <v>0.1268</v>
      </c>
      <c r="I126" s="82">
        <f t="shared" si="1"/>
        <v>0.7436908517</v>
      </c>
      <c r="J126" s="82">
        <f t="shared" si="2"/>
        <v>0.5734961556</v>
      </c>
    </row>
    <row r="127">
      <c r="A127" s="83">
        <v>44650.0</v>
      </c>
      <c r="B127" s="66">
        <v>2369.0</v>
      </c>
      <c r="C127" s="66">
        <v>2.0</v>
      </c>
      <c r="D127" s="66" t="s">
        <v>227</v>
      </c>
      <c r="E127" s="66">
        <v>1.0</v>
      </c>
      <c r="F127" s="66">
        <v>1.5903</v>
      </c>
      <c r="G127" s="66">
        <v>0.912</v>
      </c>
      <c r="H127" s="66" t="s">
        <v>277</v>
      </c>
      <c r="I127" s="82">
        <f t="shared" si="1"/>
        <v>0.74375</v>
      </c>
      <c r="J127" s="82">
        <f t="shared" si="2"/>
        <v>0.5734767025</v>
      </c>
    </row>
    <row r="128">
      <c r="A128" s="83">
        <v>44650.0</v>
      </c>
      <c r="B128" s="66">
        <v>2369.0</v>
      </c>
      <c r="C128" s="66">
        <v>3.0</v>
      </c>
      <c r="D128" s="66" t="s">
        <v>228</v>
      </c>
      <c r="E128" s="66" t="s">
        <v>58</v>
      </c>
      <c r="F128" s="66">
        <v>0.7988</v>
      </c>
      <c r="G128" s="66">
        <v>0.458</v>
      </c>
      <c r="I128" s="82">
        <f t="shared" si="1"/>
        <v>0.7441048035</v>
      </c>
      <c r="J128" s="82">
        <f t="shared" si="2"/>
        <v>0.5733600401</v>
      </c>
    </row>
    <row r="129">
      <c r="A129" s="83">
        <v>44650.0</v>
      </c>
      <c r="B129" s="66">
        <v>2369.0</v>
      </c>
      <c r="C129" s="66">
        <v>3.0</v>
      </c>
      <c r="D129" s="66" t="s">
        <v>227</v>
      </c>
      <c r="E129" s="66">
        <v>0.0</v>
      </c>
      <c r="F129" s="66">
        <v>1.3195</v>
      </c>
      <c r="G129" s="66">
        <v>0.756</v>
      </c>
      <c r="I129" s="82">
        <f t="shared" si="1"/>
        <v>0.7453703704</v>
      </c>
      <c r="J129" s="82">
        <f t="shared" si="2"/>
        <v>0.5729442971</v>
      </c>
    </row>
    <row r="130">
      <c r="A130" s="83">
        <v>44650.0</v>
      </c>
      <c r="B130" s="66">
        <v>2369.0</v>
      </c>
      <c r="C130" s="66">
        <v>3.0</v>
      </c>
      <c r="D130" s="66" t="s">
        <v>227</v>
      </c>
      <c r="E130" s="66">
        <v>1.0</v>
      </c>
      <c r="F130" s="66">
        <v>0.1953</v>
      </c>
      <c r="G130" s="66">
        <v>0.1118</v>
      </c>
      <c r="I130" s="82">
        <f t="shared" si="1"/>
        <v>0.7468694097</v>
      </c>
      <c r="J130" s="82">
        <f t="shared" si="2"/>
        <v>0.572452637</v>
      </c>
    </row>
    <row r="131">
      <c r="A131" s="83">
        <v>44650.0</v>
      </c>
      <c r="B131" s="66">
        <v>2370.0</v>
      </c>
      <c r="C131" s="66">
        <v>1.0</v>
      </c>
      <c r="D131" s="66" t="s">
        <v>228</v>
      </c>
      <c r="E131" s="66" t="s">
        <v>58</v>
      </c>
      <c r="F131" s="66">
        <v>1.115</v>
      </c>
      <c r="G131" s="66">
        <v>0.638</v>
      </c>
      <c r="H131" s="66" t="s">
        <v>279</v>
      </c>
      <c r="I131" s="82">
        <f t="shared" si="1"/>
        <v>0.7476489028</v>
      </c>
      <c r="J131" s="82">
        <f t="shared" si="2"/>
        <v>0.5721973094</v>
      </c>
    </row>
    <row r="132">
      <c r="A132" s="83">
        <v>44650.0</v>
      </c>
      <c r="B132" s="66">
        <v>2370.0</v>
      </c>
      <c r="C132" s="66">
        <v>1.0</v>
      </c>
      <c r="D132" s="66" t="s">
        <v>227</v>
      </c>
      <c r="E132" s="66">
        <v>0.0</v>
      </c>
      <c r="F132" s="66">
        <v>0.0647</v>
      </c>
      <c r="G132" s="66">
        <v>0.037</v>
      </c>
      <c r="H132" s="66" t="s">
        <v>277</v>
      </c>
      <c r="I132" s="82">
        <f t="shared" si="1"/>
        <v>0.7486486486</v>
      </c>
      <c r="J132" s="82">
        <f t="shared" si="2"/>
        <v>0.57187017</v>
      </c>
    </row>
    <row r="133">
      <c r="A133" s="83">
        <v>44650.0</v>
      </c>
      <c r="B133" s="66">
        <v>2370.0</v>
      </c>
      <c r="C133" s="66">
        <v>1.0</v>
      </c>
      <c r="D133" s="66" t="s">
        <v>227</v>
      </c>
      <c r="E133" s="66">
        <v>1.0</v>
      </c>
      <c r="F133" s="66">
        <v>0.1382</v>
      </c>
      <c r="G133" s="66">
        <v>0.079</v>
      </c>
      <c r="H133" s="66" t="s">
        <v>277</v>
      </c>
      <c r="I133" s="82">
        <f t="shared" si="1"/>
        <v>0.7493670886</v>
      </c>
      <c r="J133" s="82">
        <f t="shared" si="2"/>
        <v>0.5716353111</v>
      </c>
    </row>
    <row r="134">
      <c r="A134" s="83">
        <v>44650.0</v>
      </c>
      <c r="B134" s="66">
        <v>2370.0</v>
      </c>
      <c r="C134" s="66">
        <v>2.0</v>
      </c>
      <c r="D134" s="66" t="s">
        <v>228</v>
      </c>
      <c r="E134" s="66" t="s">
        <v>58</v>
      </c>
      <c r="F134" s="66">
        <v>0.595</v>
      </c>
      <c r="G134" s="66">
        <v>0.34</v>
      </c>
      <c r="H134" s="66" t="s">
        <v>277</v>
      </c>
      <c r="I134" s="82">
        <f t="shared" si="1"/>
        <v>0.75</v>
      </c>
      <c r="J134" s="82">
        <f t="shared" si="2"/>
        <v>0.5714285714</v>
      </c>
    </row>
    <row r="135">
      <c r="A135" s="83">
        <v>44650.0</v>
      </c>
      <c r="B135" s="66">
        <v>2370.0</v>
      </c>
      <c r="C135" s="66">
        <v>2.0</v>
      </c>
      <c r="D135" s="66" t="s">
        <v>227</v>
      </c>
      <c r="E135" s="66">
        <v>0.0</v>
      </c>
      <c r="F135" s="66">
        <v>1.8393</v>
      </c>
      <c r="G135" s="66">
        <v>1.051</v>
      </c>
      <c r="I135" s="82">
        <f t="shared" si="1"/>
        <v>0.7500475737</v>
      </c>
      <c r="J135" s="82">
        <f t="shared" si="2"/>
        <v>0.5714130376</v>
      </c>
    </row>
    <row r="136">
      <c r="A136" s="83">
        <v>44650.0</v>
      </c>
      <c r="B136" s="66">
        <v>2370.0</v>
      </c>
      <c r="C136" s="66">
        <v>2.0</v>
      </c>
      <c r="D136" s="66" t="s">
        <v>227</v>
      </c>
      <c r="E136" s="66">
        <v>1.0</v>
      </c>
      <c r="F136" s="66">
        <v>0.6232</v>
      </c>
      <c r="G136" s="66">
        <v>0.3561</v>
      </c>
      <c r="H136" s="66" t="s">
        <v>280</v>
      </c>
      <c r="I136" s="82">
        <f t="shared" si="1"/>
        <v>0.750070205</v>
      </c>
      <c r="J136" s="82">
        <f t="shared" si="2"/>
        <v>0.5714056483</v>
      </c>
    </row>
    <row r="137">
      <c r="A137" s="83">
        <v>44650.0</v>
      </c>
      <c r="B137" s="66">
        <v>2370.0</v>
      </c>
      <c r="C137" s="66">
        <v>3.0</v>
      </c>
      <c r="D137" s="66" t="s">
        <v>228</v>
      </c>
      <c r="E137" s="66" t="s">
        <v>58</v>
      </c>
      <c r="F137" s="66">
        <v>0.2925</v>
      </c>
      <c r="G137" s="66">
        <v>0.167</v>
      </c>
      <c r="H137" s="66" t="s">
        <v>277</v>
      </c>
      <c r="I137" s="82">
        <f t="shared" si="1"/>
        <v>0.751497006</v>
      </c>
      <c r="J137" s="82">
        <f t="shared" si="2"/>
        <v>0.5709401709</v>
      </c>
    </row>
    <row r="138">
      <c r="A138" s="83">
        <v>44650.0</v>
      </c>
      <c r="B138" s="66">
        <v>2370.0</v>
      </c>
      <c r="C138" s="66">
        <v>3.0</v>
      </c>
      <c r="D138" s="66" t="s">
        <v>227</v>
      </c>
      <c r="E138" s="66">
        <v>0.0</v>
      </c>
      <c r="F138" s="66">
        <v>0.6378</v>
      </c>
      <c r="G138" s="66">
        <v>0.364</v>
      </c>
      <c r="I138" s="82">
        <f t="shared" si="1"/>
        <v>0.7521978022</v>
      </c>
      <c r="J138" s="82">
        <f t="shared" si="2"/>
        <v>0.5707118219</v>
      </c>
    </row>
    <row r="139">
      <c r="A139" s="83">
        <v>44650.0</v>
      </c>
      <c r="B139" s="66">
        <v>2370.0</v>
      </c>
      <c r="C139" s="66">
        <v>3.0</v>
      </c>
      <c r="D139" s="66" t="s">
        <v>227</v>
      </c>
      <c r="E139" s="66">
        <v>1.0</v>
      </c>
      <c r="F139" s="66">
        <v>0.2349</v>
      </c>
      <c r="G139" s="66">
        <v>0.134</v>
      </c>
      <c r="H139" s="66" t="s">
        <v>277</v>
      </c>
      <c r="I139" s="82">
        <f t="shared" si="1"/>
        <v>0.7529850746</v>
      </c>
      <c r="J139" s="82">
        <f t="shared" si="2"/>
        <v>0.570455513</v>
      </c>
    </row>
    <row r="140">
      <c r="A140" s="83">
        <v>44650.0</v>
      </c>
      <c r="B140" s="66">
        <v>2371.0</v>
      </c>
      <c r="C140" s="66">
        <v>1.0</v>
      </c>
      <c r="D140" s="66" t="s">
        <v>228</v>
      </c>
      <c r="E140" s="66" t="s">
        <v>58</v>
      </c>
      <c r="F140" s="66">
        <v>1.2503</v>
      </c>
      <c r="G140" s="66">
        <v>0.712</v>
      </c>
      <c r="H140" s="66" t="s">
        <v>277</v>
      </c>
      <c r="I140" s="82">
        <f t="shared" si="1"/>
        <v>0.7560393258</v>
      </c>
      <c r="J140" s="82">
        <f t="shared" si="2"/>
        <v>0.5694633288</v>
      </c>
    </row>
    <row r="141">
      <c r="A141" s="83">
        <v>44650.0</v>
      </c>
      <c r="B141" s="66">
        <v>2371.0</v>
      </c>
      <c r="C141" s="66">
        <v>1.0</v>
      </c>
      <c r="D141" s="66" t="s">
        <v>227</v>
      </c>
      <c r="E141" s="66">
        <v>0.0</v>
      </c>
      <c r="F141" s="66">
        <v>1.4186</v>
      </c>
      <c r="G141" s="66">
        <v>0.807</v>
      </c>
      <c r="H141" s="66" t="s">
        <v>276</v>
      </c>
      <c r="I141" s="82">
        <f t="shared" si="1"/>
        <v>0.7578686493</v>
      </c>
      <c r="J141" s="82">
        <f t="shared" si="2"/>
        <v>0.5688707176</v>
      </c>
    </row>
    <row r="142">
      <c r="A142" s="83">
        <v>44650.0</v>
      </c>
      <c r="B142" s="66">
        <v>2371.0</v>
      </c>
      <c r="C142" s="66">
        <v>1.0</v>
      </c>
      <c r="D142" s="66" t="s">
        <v>227</v>
      </c>
      <c r="E142" s="66">
        <v>1.0</v>
      </c>
      <c r="F142" s="66">
        <v>1.1948</v>
      </c>
      <c r="G142" s="66">
        <v>0.679</v>
      </c>
      <c r="I142" s="82">
        <f t="shared" si="1"/>
        <v>0.759646539</v>
      </c>
      <c r="J142" s="82">
        <f t="shared" si="2"/>
        <v>0.5682959491</v>
      </c>
    </row>
    <row r="143">
      <c r="A143" s="83">
        <v>44650.0</v>
      </c>
      <c r="B143" s="66">
        <v>2371.0</v>
      </c>
      <c r="C143" s="66">
        <v>2.0</v>
      </c>
      <c r="D143" s="66" t="s">
        <v>228</v>
      </c>
      <c r="E143" s="66" t="s">
        <v>58</v>
      </c>
      <c r="F143" s="66">
        <v>1.257</v>
      </c>
      <c r="G143" s="66">
        <v>0.7143</v>
      </c>
      <c r="I143" s="82">
        <f t="shared" si="1"/>
        <v>0.7597648047</v>
      </c>
      <c r="J143" s="82">
        <f t="shared" si="2"/>
        <v>0.5682577566</v>
      </c>
    </row>
    <row r="144">
      <c r="A144" s="83">
        <v>44650.0</v>
      </c>
      <c r="B144" s="66">
        <v>2371.0</v>
      </c>
      <c r="C144" s="66">
        <v>2.0</v>
      </c>
      <c r="D144" s="66" t="s">
        <v>227</v>
      </c>
      <c r="E144" s="66" t="s">
        <v>58</v>
      </c>
      <c r="F144" s="66">
        <v>0.4403</v>
      </c>
      <c r="G144" s="66">
        <v>0.2501</v>
      </c>
      <c r="I144" s="82">
        <f t="shared" si="1"/>
        <v>0.7604958017</v>
      </c>
      <c r="J144" s="82">
        <f t="shared" si="2"/>
        <v>0.5680218033</v>
      </c>
    </row>
    <row r="145">
      <c r="A145" s="83">
        <v>44650.0</v>
      </c>
      <c r="B145" s="66">
        <v>2371.0</v>
      </c>
      <c r="C145" s="66">
        <v>3.0</v>
      </c>
      <c r="D145" s="66" t="s">
        <v>228</v>
      </c>
      <c r="E145" s="66" t="s">
        <v>58</v>
      </c>
      <c r="F145" s="66">
        <v>1.0007</v>
      </c>
      <c r="G145" s="66">
        <v>0.568</v>
      </c>
      <c r="I145" s="82">
        <f t="shared" si="1"/>
        <v>0.7617957746</v>
      </c>
      <c r="J145" s="82">
        <f t="shared" si="2"/>
        <v>0.5676026781</v>
      </c>
    </row>
    <row r="146">
      <c r="A146" s="83">
        <v>44650.0</v>
      </c>
      <c r="B146" s="66">
        <v>2371.0</v>
      </c>
      <c r="C146" s="66">
        <v>3.0</v>
      </c>
      <c r="D146" s="66" t="s">
        <v>227</v>
      </c>
      <c r="E146" s="66">
        <v>0.0</v>
      </c>
      <c r="F146" s="66">
        <v>1.4716</v>
      </c>
      <c r="G146" s="66">
        <v>0.8352</v>
      </c>
      <c r="H146" s="66" t="s">
        <v>276</v>
      </c>
      <c r="I146" s="82">
        <f t="shared" si="1"/>
        <v>0.7619731801</v>
      </c>
      <c r="J146" s="82">
        <f t="shared" si="2"/>
        <v>0.5675455287</v>
      </c>
    </row>
    <row r="147">
      <c r="A147" s="83">
        <v>44650.0</v>
      </c>
      <c r="B147" s="66">
        <v>2371.0</v>
      </c>
      <c r="C147" s="66">
        <v>3.0</v>
      </c>
      <c r="D147" s="66" t="s">
        <v>227</v>
      </c>
      <c r="E147" s="66">
        <v>1.0</v>
      </c>
      <c r="F147" s="66">
        <v>0.437</v>
      </c>
      <c r="G147" s="66">
        <v>0.248</v>
      </c>
      <c r="H147" s="66" t="s">
        <v>277</v>
      </c>
      <c r="I147" s="82">
        <f t="shared" si="1"/>
        <v>0.7620967742</v>
      </c>
      <c r="J147" s="82">
        <f t="shared" si="2"/>
        <v>0.5675057208</v>
      </c>
    </row>
    <row r="148">
      <c r="A148" s="83">
        <v>44650.0</v>
      </c>
      <c r="B148" s="66">
        <v>2372.0</v>
      </c>
      <c r="C148" s="66">
        <v>1.0</v>
      </c>
      <c r="D148" s="66" t="s">
        <v>228</v>
      </c>
      <c r="E148" s="66" t="s">
        <v>58</v>
      </c>
      <c r="F148" s="66">
        <v>1.6583</v>
      </c>
      <c r="G148" s="66">
        <v>0.941</v>
      </c>
      <c r="H148" s="66" t="s">
        <v>276</v>
      </c>
      <c r="I148" s="82">
        <f t="shared" si="1"/>
        <v>0.7622741764</v>
      </c>
      <c r="J148" s="82">
        <f t="shared" si="2"/>
        <v>0.5674485919</v>
      </c>
    </row>
    <row r="149">
      <c r="A149" s="83">
        <v>44650.0</v>
      </c>
      <c r="B149" s="66">
        <v>2372.0</v>
      </c>
      <c r="C149" s="66">
        <v>1.0</v>
      </c>
      <c r="D149" s="66" t="s">
        <v>227</v>
      </c>
      <c r="E149" s="66">
        <v>0.0</v>
      </c>
      <c r="F149" s="66">
        <v>0.282</v>
      </c>
      <c r="G149" s="66">
        <v>0.16</v>
      </c>
      <c r="H149" s="66" t="s">
        <v>279</v>
      </c>
      <c r="I149" s="82">
        <f t="shared" si="1"/>
        <v>0.7625</v>
      </c>
      <c r="J149" s="82">
        <f t="shared" si="2"/>
        <v>0.5673758865</v>
      </c>
    </row>
    <row r="150">
      <c r="A150" s="83">
        <v>44650.0</v>
      </c>
      <c r="B150" s="66">
        <v>2372.0</v>
      </c>
      <c r="C150" s="66">
        <v>1.0</v>
      </c>
      <c r="D150" s="66" t="s">
        <v>227</v>
      </c>
      <c r="E150" s="66">
        <v>1.0</v>
      </c>
      <c r="F150" s="66">
        <v>0.7317</v>
      </c>
      <c r="G150" s="66">
        <v>0.415</v>
      </c>
      <c r="H150" s="66" t="s">
        <v>276</v>
      </c>
      <c r="I150" s="82">
        <f t="shared" si="1"/>
        <v>0.7631325301</v>
      </c>
      <c r="J150" s="82">
        <f t="shared" si="2"/>
        <v>0.5671723384</v>
      </c>
    </row>
    <row r="151">
      <c r="A151" s="83">
        <v>44650.0</v>
      </c>
      <c r="B151" s="66">
        <v>2372.0</v>
      </c>
      <c r="C151" s="66">
        <v>2.0</v>
      </c>
      <c r="D151" s="66" t="s">
        <v>228</v>
      </c>
      <c r="E151" s="66" t="s">
        <v>58</v>
      </c>
      <c r="F151" s="66">
        <v>1.2257</v>
      </c>
      <c r="G151" s="66">
        <v>0.695</v>
      </c>
      <c r="I151" s="82">
        <f t="shared" si="1"/>
        <v>0.7635971223</v>
      </c>
      <c r="J151" s="82">
        <f t="shared" si="2"/>
        <v>0.5670229257</v>
      </c>
    </row>
    <row r="152">
      <c r="A152" s="83">
        <v>44650.0</v>
      </c>
      <c r="B152" s="66">
        <v>2372.0</v>
      </c>
      <c r="C152" s="66">
        <v>2.0</v>
      </c>
      <c r="D152" s="66" t="s">
        <v>227</v>
      </c>
      <c r="E152" s="66">
        <v>0.0</v>
      </c>
      <c r="F152" s="66">
        <v>1.4512</v>
      </c>
      <c r="G152" s="66">
        <v>0.8228</v>
      </c>
      <c r="I152" s="82">
        <f t="shared" si="1"/>
        <v>0.7637335926</v>
      </c>
      <c r="J152" s="82">
        <f t="shared" si="2"/>
        <v>0.5669790518</v>
      </c>
    </row>
    <row r="153">
      <c r="A153" s="83">
        <v>44650.0</v>
      </c>
      <c r="B153" s="66">
        <v>2372.0</v>
      </c>
      <c r="C153" s="66">
        <v>2.0</v>
      </c>
      <c r="D153" s="66" t="s">
        <v>227</v>
      </c>
      <c r="E153" s="66">
        <v>1.0</v>
      </c>
      <c r="F153" s="66">
        <v>0.1041</v>
      </c>
      <c r="G153" s="66">
        <v>0.059</v>
      </c>
      <c r="H153" s="66" t="s">
        <v>277</v>
      </c>
      <c r="I153" s="82">
        <f t="shared" si="1"/>
        <v>0.7644067797</v>
      </c>
      <c r="J153" s="82">
        <f t="shared" si="2"/>
        <v>0.5667627281</v>
      </c>
    </row>
    <row r="154">
      <c r="A154" s="83">
        <v>44650.0</v>
      </c>
      <c r="B154" s="66">
        <v>2372.0</v>
      </c>
      <c r="C154" s="66">
        <v>3.0</v>
      </c>
      <c r="D154" s="66" t="s">
        <v>228</v>
      </c>
      <c r="E154" s="66" t="s">
        <v>58</v>
      </c>
      <c r="F154" s="66">
        <v>0.7848</v>
      </c>
      <c r="G154" s="66">
        <v>0.4442</v>
      </c>
      <c r="I154" s="82">
        <f t="shared" si="1"/>
        <v>0.7667717244</v>
      </c>
      <c r="J154" s="82">
        <f t="shared" si="2"/>
        <v>0.5660040775</v>
      </c>
    </row>
    <row r="155">
      <c r="A155" s="83">
        <v>44650.0</v>
      </c>
      <c r="B155" s="66">
        <v>2372.0</v>
      </c>
      <c r="C155" s="66">
        <v>3.0</v>
      </c>
      <c r="D155" s="66" t="s">
        <v>227</v>
      </c>
      <c r="E155" s="66">
        <v>0.0</v>
      </c>
      <c r="F155" s="66">
        <v>0.1592</v>
      </c>
      <c r="G155" s="66">
        <v>0.09</v>
      </c>
      <c r="H155" s="66" t="s">
        <v>277</v>
      </c>
      <c r="I155" s="82">
        <f t="shared" si="1"/>
        <v>0.7688888889</v>
      </c>
      <c r="J155" s="82">
        <f t="shared" si="2"/>
        <v>0.5653266332</v>
      </c>
    </row>
    <row r="156">
      <c r="A156" s="83">
        <v>44650.0</v>
      </c>
      <c r="B156" s="66">
        <v>2372.0</v>
      </c>
      <c r="C156" s="66">
        <v>3.0</v>
      </c>
      <c r="D156" s="66" t="s">
        <v>227</v>
      </c>
      <c r="E156" s="66">
        <v>1.0</v>
      </c>
      <c r="F156" s="66">
        <v>0.023</v>
      </c>
      <c r="G156" s="66">
        <v>0.013</v>
      </c>
      <c r="H156" s="66" t="s">
        <v>277</v>
      </c>
      <c r="I156" s="82">
        <f t="shared" si="1"/>
        <v>0.7692307692</v>
      </c>
      <c r="J156" s="82">
        <f t="shared" si="2"/>
        <v>0.5652173913</v>
      </c>
    </row>
    <row r="157">
      <c r="A157" s="83">
        <v>44650.0</v>
      </c>
      <c r="B157" s="66">
        <v>2375.0</v>
      </c>
      <c r="C157" s="66">
        <v>1.0</v>
      </c>
      <c r="D157" s="66" t="s">
        <v>228</v>
      </c>
      <c r="E157" s="66" t="s">
        <v>58</v>
      </c>
      <c r="F157" s="66">
        <v>0.945</v>
      </c>
      <c r="G157" s="66">
        <v>0.534</v>
      </c>
      <c r="H157" s="66" t="s">
        <v>277</v>
      </c>
      <c r="I157" s="82">
        <f t="shared" si="1"/>
        <v>0.7696629213</v>
      </c>
      <c r="J157" s="82">
        <f t="shared" si="2"/>
        <v>0.5650793651</v>
      </c>
    </row>
    <row r="158">
      <c r="A158" s="83">
        <v>44650.0</v>
      </c>
      <c r="B158" s="66">
        <v>2375.0</v>
      </c>
      <c r="C158" s="66">
        <v>1.0</v>
      </c>
      <c r="D158" s="66" t="s">
        <v>227</v>
      </c>
      <c r="E158" s="66">
        <v>0.0</v>
      </c>
      <c r="F158" s="66">
        <v>0.1941</v>
      </c>
      <c r="G158" s="66">
        <v>0.1096</v>
      </c>
      <c r="I158" s="82">
        <f t="shared" si="1"/>
        <v>0.7709854015</v>
      </c>
      <c r="J158" s="82">
        <f t="shared" si="2"/>
        <v>0.5646573931</v>
      </c>
    </row>
    <row r="159">
      <c r="A159" s="83">
        <v>44650.0</v>
      </c>
      <c r="B159" s="66">
        <v>2375.0</v>
      </c>
      <c r="C159" s="66">
        <v>1.0</v>
      </c>
      <c r="D159" s="66" t="s">
        <v>227</v>
      </c>
      <c r="E159" s="66">
        <v>1.0</v>
      </c>
      <c r="F159" s="66">
        <v>0.9263</v>
      </c>
      <c r="G159" s="66">
        <v>0.523</v>
      </c>
      <c r="H159" s="66" t="s">
        <v>276</v>
      </c>
      <c r="I159" s="82">
        <f t="shared" si="1"/>
        <v>0.7711281071</v>
      </c>
      <c r="J159" s="82">
        <f t="shared" si="2"/>
        <v>0.5646118968</v>
      </c>
    </row>
    <row r="160">
      <c r="A160" s="83">
        <v>44650.0</v>
      </c>
      <c r="B160" s="66">
        <v>2375.0</v>
      </c>
      <c r="C160" s="66">
        <v>2.0</v>
      </c>
      <c r="D160" s="66" t="s">
        <v>228</v>
      </c>
      <c r="E160" s="66" t="s">
        <v>58</v>
      </c>
      <c r="F160" s="66">
        <v>0.3579</v>
      </c>
      <c r="G160" s="66">
        <v>0.202</v>
      </c>
      <c r="H160" s="66" t="s">
        <v>277</v>
      </c>
      <c r="I160" s="82">
        <f t="shared" si="1"/>
        <v>0.7717821782</v>
      </c>
      <c r="J160" s="82">
        <f t="shared" si="2"/>
        <v>0.5644034647</v>
      </c>
    </row>
    <row r="161">
      <c r="A161" s="83">
        <v>44650.0</v>
      </c>
      <c r="B161" s="66">
        <v>2375.0</v>
      </c>
      <c r="C161" s="66">
        <v>2.0</v>
      </c>
      <c r="D161" s="66" t="s">
        <v>227</v>
      </c>
      <c r="E161" s="66">
        <v>0.0</v>
      </c>
      <c r="F161" s="66">
        <v>0.131</v>
      </c>
      <c r="G161" s="66">
        <v>0.0739</v>
      </c>
      <c r="H161" s="66" t="s">
        <v>276</v>
      </c>
      <c r="I161" s="82">
        <f t="shared" si="1"/>
        <v>0.7726657645</v>
      </c>
      <c r="J161" s="82">
        <f t="shared" si="2"/>
        <v>0.5641221374</v>
      </c>
    </row>
    <row r="162">
      <c r="A162" s="83">
        <v>44650.0</v>
      </c>
      <c r="B162" s="66">
        <v>2375.0</v>
      </c>
      <c r="C162" s="66">
        <v>2.0</v>
      </c>
      <c r="D162" s="66" t="s">
        <v>227</v>
      </c>
      <c r="E162" s="66">
        <v>1.0</v>
      </c>
      <c r="F162" s="66">
        <v>1.4668</v>
      </c>
      <c r="G162" s="66">
        <v>0.827</v>
      </c>
      <c r="H162" s="66" t="s">
        <v>277</v>
      </c>
      <c r="I162" s="82">
        <f t="shared" si="1"/>
        <v>0.7736396614</v>
      </c>
      <c r="J162" s="82">
        <f t="shared" si="2"/>
        <v>0.5638123807</v>
      </c>
    </row>
    <row r="163">
      <c r="A163" s="83">
        <v>44650.0</v>
      </c>
      <c r="B163" s="66">
        <v>2375.0</v>
      </c>
      <c r="C163" s="66">
        <v>3.0</v>
      </c>
      <c r="D163" s="66" t="s">
        <v>228</v>
      </c>
      <c r="E163" s="66" t="s">
        <v>58</v>
      </c>
      <c r="F163" s="66">
        <v>0.937</v>
      </c>
      <c r="G163" s="66">
        <v>0.528</v>
      </c>
      <c r="H163" s="66" t="s">
        <v>279</v>
      </c>
      <c r="I163" s="82">
        <f t="shared" si="1"/>
        <v>0.7746212121</v>
      </c>
      <c r="J163" s="82">
        <f t="shared" si="2"/>
        <v>0.5635005336</v>
      </c>
    </row>
    <row r="164">
      <c r="A164" s="83">
        <v>44650.0</v>
      </c>
      <c r="B164" s="66">
        <v>2375.0</v>
      </c>
      <c r="C164" s="66">
        <v>3.0</v>
      </c>
      <c r="D164" s="66" t="s">
        <v>227</v>
      </c>
      <c r="E164" s="66" t="s">
        <v>58</v>
      </c>
      <c r="F164" s="66">
        <v>0.6531</v>
      </c>
      <c r="G164" s="66">
        <v>0.368</v>
      </c>
      <c r="H164" s="66" t="s">
        <v>277</v>
      </c>
      <c r="I164" s="82">
        <f t="shared" si="1"/>
        <v>0.7747282609</v>
      </c>
      <c r="J164" s="82">
        <f t="shared" si="2"/>
        <v>0.5634665442</v>
      </c>
    </row>
    <row r="165">
      <c r="A165" s="83">
        <v>44650.0</v>
      </c>
      <c r="B165" s="66">
        <v>2376.0</v>
      </c>
      <c r="C165" s="66">
        <v>1.0</v>
      </c>
      <c r="D165" s="66" t="s">
        <v>228</v>
      </c>
      <c r="E165" s="66" t="s">
        <v>58</v>
      </c>
      <c r="F165" s="66">
        <v>0.355</v>
      </c>
      <c r="G165" s="66">
        <v>0.2</v>
      </c>
      <c r="I165" s="82">
        <f t="shared" si="1"/>
        <v>0.775</v>
      </c>
      <c r="J165" s="82">
        <f t="shared" si="2"/>
        <v>0.5633802817</v>
      </c>
    </row>
    <row r="166">
      <c r="A166" s="83">
        <v>44650.0</v>
      </c>
      <c r="B166" s="66">
        <v>2376.0</v>
      </c>
      <c r="C166" s="66">
        <v>1.0</v>
      </c>
      <c r="D166" s="66" t="s">
        <v>227</v>
      </c>
      <c r="E166" s="66" t="s">
        <v>58</v>
      </c>
      <c r="F166" s="66">
        <v>0.387</v>
      </c>
      <c r="G166" s="66">
        <v>0.218</v>
      </c>
      <c r="H166" s="66" t="s">
        <v>277</v>
      </c>
      <c r="I166" s="82">
        <f t="shared" si="1"/>
        <v>0.7752293578</v>
      </c>
      <c r="J166" s="82">
        <f t="shared" si="2"/>
        <v>0.5633074935</v>
      </c>
    </row>
    <row r="167">
      <c r="A167" s="83">
        <v>44650.0</v>
      </c>
      <c r="B167" s="66">
        <v>2376.0</v>
      </c>
      <c r="C167" s="66">
        <v>2.0</v>
      </c>
      <c r="D167" s="66" t="s">
        <v>228</v>
      </c>
      <c r="E167" s="66" t="s">
        <v>58</v>
      </c>
      <c r="F167" s="66">
        <v>0.8061</v>
      </c>
      <c r="G167" s="66">
        <v>0.454</v>
      </c>
      <c r="H167" s="66" t="s">
        <v>276</v>
      </c>
      <c r="I167" s="82">
        <f t="shared" si="1"/>
        <v>0.7755506608</v>
      </c>
      <c r="J167" s="82">
        <f t="shared" si="2"/>
        <v>0.5632055576</v>
      </c>
    </row>
    <row r="168">
      <c r="A168" s="83">
        <v>44650.0</v>
      </c>
      <c r="B168" s="66">
        <v>2376.0</v>
      </c>
      <c r="C168" s="66">
        <v>2.0</v>
      </c>
      <c r="D168" s="66" t="s">
        <v>227</v>
      </c>
      <c r="E168" s="66" t="s">
        <v>58</v>
      </c>
      <c r="F168" s="66">
        <v>0.4355</v>
      </c>
      <c r="G168" s="66">
        <v>0.245</v>
      </c>
      <c r="H168" s="66" t="s">
        <v>277</v>
      </c>
      <c r="I168" s="82">
        <f t="shared" si="1"/>
        <v>0.7775510204</v>
      </c>
      <c r="J168" s="82">
        <f t="shared" si="2"/>
        <v>0.5625717566</v>
      </c>
    </row>
    <row r="169">
      <c r="A169" s="83">
        <v>44650.0</v>
      </c>
      <c r="B169" s="66">
        <v>2376.0</v>
      </c>
      <c r="C169" s="66">
        <v>3.0</v>
      </c>
      <c r="D169" s="66" t="s">
        <v>228</v>
      </c>
      <c r="E169" s="66" t="s">
        <v>58</v>
      </c>
      <c r="F169" s="66">
        <v>0.939</v>
      </c>
      <c r="G169" s="66">
        <v>0.528</v>
      </c>
      <c r="H169" s="66" t="s">
        <v>277</v>
      </c>
      <c r="I169" s="82">
        <f t="shared" si="1"/>
        <v>0.7784090909</v>
      </c>
      <c r="J169" s="82">
        <f t="shared" si="2"/>
        <v>0.5623003195</v>
      </c>
    </row>
    <row r="170">
      <c r="A170" s="83">
        <v>44650.0</v>
      </c>
      <c r="B170" s="66">
        <v>2376.0</v>
      </c>
      <c r="C170" s="66">
        <v>3.0</v>
      </c>
      <c r="D170" s="66" t="s">
        <v>227</v>
      </c>
      <c r="E170" s="66" t="s">
        <v>58</v>
      </c>
      <c r="F170" s="66">
        <v>0.9779</v>
      </c>
      <c r="G170" s="66">
        <v>0.549</v>
      </c>
      <c r="I170" s="82">
        <f t="shared" si="1"/>
        <v>0.7812386157</v>
      </c>
      <c r="J170" s="82">
        <f t="shared" si="2"/>
        <v>0.5614070968</v>
      </c>
    </row>
    <row r="171">
      <c r="A171" s="83">
        <v>44650.0</v>
      </c>
      <c r="B171" s="66">
        <v>2377.0</v>
      </c>
      <c r="C171" s="66">
        <v>1.0</v>
      </c>
      <c r="D171" s="66" t="s">
        <v>228</v>
      </c>
      <c r="E171" s="66" t="s">
        <v>58</v>
      </c>
      <c r="F171" s="66">
        <v>1.4681</v>
      </c>
      <c r="G171" s="66">
        <v>0.824</v>
      </c>
      <c r="H171" s="66" t="s">
        <v>276</v>
      </c>
      <c r="I171" s="82">
        <f t="shared" si="1"/>
        <v>0.7816747573</v>
      </c>
      <c r="J171" s="82">
        <f t="shared" si="2"/>
        <v>0.5612696683</v>
      </c>
    </row>
    <row r="172">
      <c r="A172" s="83">
        <v>44650.0</v>
      </c>
      <c r="B172" s="66">
        <v>2377.0</v>
      </c>
      <c r="C172" s="66">
        <v>1.0</v>
      </c>
      <c r="D172" s="66" t="s">
        <v>227</v>
      </c>
      <c r="E172" s="66" t="s">
        <v>58</v>
      </c>
      <c r="F172" s="66">
        <v>1.4277</v>
      </c>
      <c r="G172" s="66">
        <v>0.8012</v>
      </c>
      <c r="I172" s="82">
        <f t="shared" si="1"/>
        <v>0.7819520719</v>
      </c>
      <c r="J172" s="82">
        <f t="shared" si="2"/>
        <v>0.5611823212</v>
      </c>
    </row>
    <row r="173">
      <c r="A173" s="83">
        <v>44650.0</v>
      </c>
      <c r="B173" s="66">
        <v>2377.0</v>
      </c>
      <c r="C173" s="66">
        <v>2.0</v>
      </c>
      <c r="D173" s="66" t="s">
        <v>228</v>
      </c>
      <c r="E173" s="66" t="s">
        <v>58</v>
      </c>
      <c r="F173" s="66">
        <v>0.2337</v>
      </c>
      <c r="G173" s="66">
        <v>0.131</v>
      </c>
      <c r="I173" s="82">
        <f t="shared" si="1"/>
        <v>0.7839694656</v>
      </c>
      <c r="J173" s="82">
        <f t="shared" si="2"/>
        <v>0.5605477107</v>
      </c>
    </row>
    <row r="174">
      <c r="A174" s="83">
        <v>44650.0</v>
      </c>
      <c r="B174" s="66">
        <v>2377.0</v>
      </c>
      <c r="C174" s="66">
        <v>2.0</v>
      </c>
      <c r="D174" s="66" t="s">
        <v>227</v>
      </c>
      <c r="E174" s="66" t="s">
        <v>58</v>
      </c>
      <c r="F174" s="66">
        <v>0.0232</v>
      </c>
      <c r="G174" s="66">
        <v>0.013</v>
      </c>
      <c r="H174" s="66" t="s">
        <v>277</v>
      </c>
      <c r="I174" s="82">
        <f t="shared" si="1"/>
        <v>0.7846153846</v>
      </c>
      <c r="J174" s="82">
        <f t="shared" si="2"/>
        <v>0.5603448276</v>
      </c>
    </row>
    <row r="175">
      <c r="A175" s="83">
        <v>44650.0</v>
      </c>
      <c r="B175" s="66">
        <v>2377.0</v>
      </c>
      <c r="C175" s="66">
        <v>3.0</v>
      </c>
      <c r="D175" s="66" t="s">
        <v>228</v>
      </c>
      <c r="E175" s="66" t="s">
        <v>58</v>
      </c>
      <c r="F175" s="66">
        <v>0.1245</v>
      </c>
      <c r="G175" s="66">
        <v>0.0697</v>
      </c>
      <c r="H175" s="66" t="s">
        <v>280</v>
      </c>
      <c r="I175" s="82">
        <f t="shared" si="1"/>
        <v>0.7862266858</v>
      </c>
      <c r="J175" s="82">
        <f t="shared" si="2"/>
        <v>0.5598393574</v>
      </c>
    </row>
    <row r="176">
      <c r="A176" s="83">
        <v>44650.0</v>
      </c>
      <c r="B176" s="66">
        <v>2377.0</v>
      </c>
      <c r="C176" s="66">
        <v>3.0</v>
      </c>
      <c r="D176" s="66" t="s">
        <v>227</v>
      </c>
      <c r="E176" s="66" t="s">
        <v>58</v>
      </c>
      <c r="F176" s="66">
        <v>1.0888</v>
      </c>
      <c r="G176" s="66">
        <v>0.609</v>
      </c>
      <c r="I176" s="82">
        <f t="shared" si="1"/>
        <v>0.7878489327</v>
      </c>
      <c r="J176" s="82">
        <f t="shared" si="2"/>
        <v>0.559331374</v>
      </c>
    </row>
    <row r="177">
      <c r="A177" s="83">
        <v>44650.0</v>
      </c>
      <c r="B177" s="66">
        <v>2378.0</v>
      </c>
      <c r="C177" s="66">
        <v>1.0</v>
      </c>
      <c r="D177" s="66" t="s">
        <v>228</v>
      </c>
      <c r="E177" s="66" t="s">
        <v>58</v>
      </c>
      <c r="F177" s="66">
        <v>0.694</v>
      </c>
      <c r="G177" s="66">
        <v>0.388</v>
      </c>
      <c r="H177" s="66" t="s">
        <v>279</v>
      </c>
      <c r="I177" s="82">
        <f t="shared" si="1"/>
        <v>0.7886597938</v>
      </c>
      <c r="J177" s="82">
        <f t="shared" si="2"/>
        <v>0.5590778098</v>
      </c>
    </row>
    <row r="178">
      <c r="A178" s="83">
        <v>44650.0</v>
      </c>
      <c r="B178" s="66">
        <v>2378.0</v>
      </c>
      <c r="C178" s="66">
        <v>1.0</v>
      </c>
      <c r="D178" s="66" t="s">
        <v>227</v>
      </c>
      <c r="E178" s="66">
        <v>0.0</v>
      </c>
      <c r="F178" s="66">
        <v>1.0202</v>
      </c>
      <c r="G178" s="66">
        <v>0.57</v>
      </c>
      <c r="H178" s="66" t="s">
        <v>277</v>
      </c>
      <c r="I178" s="82">
        <f t="shared" si="1"/>
        <v>0.7898245614</v>
      </c>
      <c r="J178" s="82">
        <f t="shared" si="2"/>
        <v>0.5587139777</v>
      </c>
    </row>
    <row r="179">
      <c r="A179" s="83">
        <v>44650.0</v>
      </c>
      <c r="B179" s="66">
        <v>2378.0</v>
      </c>
      <c r="C179" s="66">
        <v>1.0</v>
      </c>
      <c r="D179" s="66" t="s">
        <v>227</v>
      </c>
      <c r="E179" s="66">
        <v>1.0</v>
      </c>
      <c r="F179" s="66">
        <v>0.324</v>
      </c>
      <c r="G179" s="66">
        <v>0.181</v>
      </c>
      <c r="H179" s="66" t="s">
        <v>279</v>
      </c>
      <c r="I179" s="82">
        <f t="shared" si="1"/>
        <v>0.7900552486</v>
      </c>
      <c r="J179" s="82">
        <f t="shared" si="2"/>
        <v>0.5586419753</v>
      </c>
    </row>
    <row r="180">
      <c r="A180" s="83">
        <v>44650.0</v>
      </c>
      <c r="B180" s="66">
        <v>2378.0</v>
      </c>
      <c r="C180" s="66">
        <v>2.0</v>
      </c>
      <c r="D180" s="66" t="s">
        <v>228</v>
      </c>
      <c r="E180" s="66" t="s">
        <v>58</v>
      </c>
      <c r="F180" s="66">
        <v>0.8756</v>
      </c>
      <c r="G180" s="66">
        <v>0.489</v>
      </c>
      <c r="I180" s="82">
        <f t="shared" si="1"/>
        <v>0.790593047</v>
      </c>
      <c r="J180" s="82">
        <f t="shared" si="2"/>
        <v>0.5584741891</v>
      </c>
    </row>
    <row r="181">
      <c r="A181" s="83">
        <v>44650.0</v>
      </c>
      <c r="B181" s="66">
        <v>2378.0</v>
      </c>
      <c r="C181" s="66">
        <v>2.0</v>
      </c>
      <c r="D181" s="66" t="s">
        <v>227</v>
      </c>
      <c r="E181" s="66">
        <v>0.0</v>
      </c>
      <c r="F181" s="66">
        <v>0.9921</v>
      </c>
      <c r="G181" s="66">
        <v>0.554</v>
      </c>
      <c r="H181" s="66" t="s">
        <v>276</v>
      </c>
      <c r="I181" s="82">
        <f t="shared" si="1"/>
        <v>0.7907942238</v>
      </c>
      <c r="J181" s="82">
        <f t="shared" si="2"/>
        <v>0.5584114505</v>
      </c>
    </row>
    <row r="182">
      <c r="A182" s="83">
        <v>44650.0</v>
      </c>
      <c r="B182" s="66">
        <v>2378.0</v>
      </c>
      <c r="C182" s="66">
        <v>2.0</v>
      </c>
      <c r="D182" s="66" t="s">
        <v>227</v>
      </c>
      <c r="E182" s="66">
        <v>1.0</v>
      </c>
      <c r="F182" s="66">
        <v>0.1415</v>
      </c>
      <c r="G182" s="66">
        <v>0.079</v>
      </c>
      <c r="H182" s="66" t="s">
        <v>277</v>
      </c>
      <c r="I182" s="82">
        <f t="shared" si="1"/>
        <v>0.7911392405</v>
      </c>
      <c r="J182" s="82">
        <f t="shared" si="2"/>
        <v>0.5583038869</v>
      </c>
    </row>
    <row r="183">
      <c r="A183" s="83">
        <v>44650.0</v>
      </c>
      <c r="B183" s="66">
        <v>2378.0</v>
      </c>
      <c r="C183" s="66">
        <v>3.0</v>
      </c>
      <c r="D183" s="66" t="s">
        <v>228</v>
      </c>
      <c r="E183" s="66" t="s">
        <v>58</v>
      </c>
      <c r="F183" s="66">
        <v>0.6257</v>
      </c>
      <c r="G183" s="66">
        <v>0.3493</v>
      </c>
      <c r="I183" s="82">
        <f t="shared" si="1"/>
        <v>0.7912968795</v>
      </c>
      <c r="J183" s="82">
        <f t="shared" si="2"/>
        <v>0.5582547547</v>
      </c>
    </row>
    <row r="184">
      <c r="A184" s="83">
        <v>44650.0</v>
      </c>
      <c r="B184" s="66">
        <v>2378.0</v>
      </c>
      <c r="C184" s="66">
        <v>3.0</v>
      </c>
      <c r="D184" s="66" t="s">
        <v>227</v>
      </c>
      <c r="E184" s="66">
        <v>0.0</v>
      </c>
      <c r="F184" s="66">
        <v>0.2133</v>
      </c>
      <c r="G184" s="66">
        <v>0.119</v>
      </c>
      <c r="I184" s="82">
        <f t="shared" si="1"/>
        <v>0.7924369748</v>
      </c>
      <c r="J184" s="82">
        <f t="shared" si="2"/>
        <v>0.5578996718</v>
      </c>
    </row>
    <row r="185">
      <c r="A185" s="83">
        <v>44650.0</v>
      </c>
      <c r="B185" s="66">
        <v>2378.0</v>
      </c>
      <c r="C185" s="66">
        <v>3.0</v>
      </c>
      <c r="D185" s="66" t="s">
        <v>227</v>
      </c>
      <c r="E185" s="66">
        <v>1.0</v>
      </c>
      <c r="F185" s="66">
        <v>0.147</v>
      </c>
      <c r="G185" s="66">
        <v>0.082</v>
      </c>
      <c r="H185" s="66" t="s">
        <v>277</v>
      </c>
      <c r="I185" s="82">
        <f t="shared" si="1"/>
        <v>0.7926829268</v>
      </c>
      <c r="J185" s="82">
        <f t="shared" si="2"/>
        <v>0.5578231293</v>
      </c>
    </row>
    <row r="186">
      <c r="A186" s="83">
        <v>44650.0</v>
      </c>
      <c r="B186" s="66">
        <v>2379.0</v>
      </c>
      <c r="C186" s="66">
        <v>1.0</v>
      </c>
      <c r="D186" s="66" t="s">
        <v>228</v>
      </c>
      <c r="E186" s="66" t="s">
        <v>58</v>
      </c>
      <c r="F186" s="66">
        <v>0.3123</v>
      </c>
      <c r="G186" s="66">
        <v>0.174</v>
      </c>
      <c r="H186" s="66" t="s">
        <v>276</v>
      </c>
      <c r="I186" s="82">
        <f t="shared" si="1"/>
        <v>0.7948275862</v>
      </c>
      <c r="J186" s="82">
        <f t="shared" si="2"/>
        <v>0.5571565802</v>
      </c>
    </row>
    <row r="187">
      <c r="A187" s="83">
        <v>44650.0</v>
      </c>
      <c r="B187" s="66">
        <v>2379.0</v>
      </c>
      <c r="C187" s="66">
        <v>1.0</v>
      </c>
      <c r="D187" s="66" t="s">
        <v>227</v>
      </c>
      <c r="E187" s="66">
        <v>0.0</v>
      </c>
      <c r="F187" s="66">
        <v>0.1445</v>
      </c>
      <c r="G187" s="66">
        <v>0.0805</v>
      </c>
      <c r="H187" s="66" t="s">
        <v>280</v>
      </c>
      <c r="I187" s="82">
        <f t="shared" si="1"/>
        <v>0.7950310559</v>
      </c>
      <c r="J187" s="82">
        <f t="shared" si="2"/>
        <v>0.5570934256</v>
      </c>
    </row>
    <row r="188">
      <c r="A188" s="83">
        <v>44650.0</v>
      </c>
      <c r="B188" s="66">
        <v>2379.0</v>
      </c>
      <c r="C188" s="66">
        <v>1.0</v>
      </c>
      <c r="D188" s="66" t="s">
        <v>227</v>
      </c>
      <c r="E188" s="66">
        <v>1.0</v>
      </c>
      <c r="F188" s="66">
        <v>1.8612</v>
      </c>
      <c r="G188" s="66">
        <v>1.0362</v>
      </c>
      <c r="I188" s="82">
        <f t="shared" si="1"/>
        <v>0.7961783439</v>
      </c>
      <c r="J188" s="82">
        <f t="shared" si="2"/>
        <v>0.5567375887</v>
      </c>
    </row>
    <row r="189">
      <c r="A189" s="83">
        <v>44650.0</v>
      </c>
      <c r="B189" s="66">
        <v>2379.0</v>
      </c>
      <c r="C189" s="66">
        <v>2.0</v>
      </c>
      <c r="D189" s="66" t="s">
        <v>228</v>
      </c>
      <c r="E189" s="66" t="s">
        <v>58</v>
      </c>
      <c r="F189" s="66">
        <v>1.2179</v>
      </c>
      <c r="G189" s="66">
        <v>0.678</v>
      </c>
      <c r="H189" s="66" t="s">
        <v>276</v>
      </c>
      <c r="I189" s="82">
        <f t="shared" si="1"/>
        <v>0.7963126844</v>
      </c>
      <c r="J189" s="82">
        <f t="shared" si="2"/>
        <v>0.556695952</v>
      </c>
    </row>
    <row r="190">
      <c r="A190" s="83">
        <v>44650.0</v>
      </c>
      <c r="B190" s="66">
        <v>2379.0</v>
      </c>
      <c r="C190" s="66">
        <v>2.0</v>
      </c>
      <c r="D190" s="66" t="s">
        <v>227</v>
      </c>
      <c r="E190" s="66">
        <v>0.0</v>
      </c>
      <c r="F190" s="66">
        <v>1.051</v>
      </c>
      <c r="G190" s="66">
        <v>0.585</v>
      </c>
      <c r="H190" s="66" t="s">
        <v>279</v>
      </c>
      <c r="I190" s="82">
        <f t="shared" si="1"/>
        <v>0.7965811966</v>
      </c>
      <c r="J190" s="82">
        <f t="shared" si="2"/>
        <v>0.5566127498</v>
      </c>
    </row>
    <row r="191">
      <c r="A191" s="83">
        <v>44650.0</v>
      </c>
      <c r="B191" s="66">
        <v>2379.0</v>
      </c>
      <c r="C191" s="66">
        <v>2.0</v>
      </c>
      <c r="D191" s="66" t="s">
        <v>227</v>
      </c>
      <c r="E191" s="66">
        <v>1.0</v>
      </c>
      <c r="F191" s="66">
        <v>1.6047</v>
      </c>
      <c r="G191" s="66">
        <v>0.893</v>
      </c>
      <c r="H191" s="66" t="s">
        <v>277</v>
      </c>
      <c r="I191" s="82">
        <f t="shared" si="1"/>
        <v>0.7969764838</v>
      </c>
      <c r="J191" s="82">
        <f t="shared" si="2"/>
        <v>0.5564903097</v>
      </c>
    </row>
    <row r="192">
      <c r="A192" s="83">
        <v>44650.0</v>
      </c>
      <c r="B192" s="66">
        <v>2379.0</v>
      </c>
      <c r="C192" s="66">
        <v>3.0</v>
      </c>
      <c r="D192" s="66" t="s">
        <v>228</v>
      </c>
      <c r="E192" s="66" t="s">
        <v>58</v>
      </c>
      <c r="F192" s="66">
        <v>1.001</v>
      </c>
      <c r="G192" s="66">
        <v>0.557</v>
      </c>
      <c r="H192" s="66" t="s">
        <v>277</v>
      </c>
      <c r="I192" s="82">
        <f t="shared" si="1"/>
        <v>0.7971274686</v>
      </c>
      <c r="J192" s="82">
        <f t="shared" si="2"/>
        <v>0.5564435564</v>
      </c>
    </row>
    <row r="193">
      <c r="A193" s="83">
        <v>44650.0</v>
      </c>
      <c r="B193" s="66">
        <v>2379.0</v>
      </c>
      <c r="C193" s="66">
        <v>3.0</v>
      </c>
      <c r="D193" s="66" t="s">
        <v>227</v>
      </c>
      <c r="E193" s="66">
        <v>0.0</v>
      </c>
      <c r="F193" s="66">
        <v>2.1683</v>
      </c>
      <c r="G193" s="66">
        <v>1.205</v>
      </c>
      <c r="H193" s="66" t="s">
        <v>276</v>
      </c>
      <c r="I193" s="82">
        <f t="shared" si="1"/>
        <v>0.7994190871</v>
      </c>
      <c r="J193" s="82">
        <f t="shared" si="2"/>
        <v>0.5557349075</v>
      </c>
    </row>
    <row r="194">
      <c r="A194" s="83">
        <v>44650.0</v>
      </c>
      <c r="B194" s="66">
        <v>2379.0</v>
      </c>
      <c r="C194" s="66">
        <v>3.0</v>
      </c>
      <c r="D194" s="66" t="s">
        <v>227</v>
      </c>
      <c r="E194" s="66">
        <v>1.0</v>
      </c>
      <c r="F194" s="66">
        <v>0.3108</v>
      </c>
      <c r="G194" s="66">
        <v>0.1727</v>
      </c>
      <c r="H194" s="66" t="s">
        <v>280</v>
      </c>
      <c r="I194" s="82">
        <f t="shared" si="1"/>
        <v>0.7996525767</v>
      </c>
      <c r="J194" s="82">
        <f t="shared" si="2"/>
        <v>0.5556628057</v>
      </c>
    </row>
    <row r="195">
      <c r="A195" s="83">
        <v>44650.0</v>
      </c>
      <c r="B195" s="66">
        <v>2380.0</v>
      </c>
      <c r="C195" s="66">
        <v>1.0</v>
      </c>
      <c r="D195" s="66" t="s">
        <v>228</v>
      </c>
      <c r="E195" s="66" t="s">
        <v>58</v>
      </c>
      <c r="F195" s="66">
        <v>0.5673</v>
      </c>
      <c r="G195" s="66">
        <v>0.3151</v>
      </c>
      <c r="H195" s="66" t="s">
        <v>277</v>
      </c>
      <c r="I195" s="82">
        <f t="shared" si="1"/>
        <v>0.8003808315</v>
      </c>
      <c r="J195" s="82">
        <f t="shared" si="2"/>
        <v>0.5554380398</v>
      </c>
    </row>
    <row r="196">
      <c r="A196" s="83">
        <v>44650.0</v>
      </c>
      <c r="B196" s="66">
        <v>2380.0</v>
      </c>
      <c r="C196" s="66">
        <v>1.0</v>
      </c>
      <c r="D196" s="66" t="s">
        <v>227</v>
      </c>
      <c r="E196" s="66" t="s">
        <v>58</v>
      </c>
      <c r="F196" s="66">
        <v>0.3434</v>
      </c>
      <c r="G196" s="66">
        <v>0.1907</v>
      </c>
      <c r="I196" s="82">
        <f t="shared" si="1"/>
        <v>0.8007341374</v>
      </c>
      <c r="J196" s="82">
        <f t="shared" si="2"/>
        <v>0.5553290623</v>
      </c>
    </row>
    <row r="197">
      <c r="A197" s="83">
        <v>44650.0</v>
      </c>
      <c r="B197" s="66">
        <v>2380.0</v>
      </c>
      <c r="C197" s="66">
        <v>2.0</v>
      </c>
      <c r="D197" s="66" t="s">
        <v>228</v>
      </c>
      <c r="E197" s="66" t="s">
        <v>58</v>
      </c>
      <c r="F197" s="66">
        <v>1.72</v>
      </c>
      <c r="G197" s="66">
        <v>0.955</v>
      </c>
      <c r="H197" s="66" t="s">
        <v>276</v>
      </c>
      <c r="I197" s="82">
        <f t="shared" si="1"/>
        <v>0.8010471204</v>
      </c>
      <c r="J197" s="82">
        <f t="shared" si="2"/>
        <v>0.5552325581</v>
      </c>
    </row>
    <row r="198">
      <c r="A198" s="83">
        <v>44650.0</v>
      </c>
      <c r="B198" s="66">
        <v>2380.0</v>
      </c>
      <c r="C198" s="66">
        <v>2.0</v>
      </c>
      <c r="D198" s="66" t="s">
        <v>227</v>
      </c>
      <c r="E198" s="66" t="s">
        <v>58</v>
      </c>
      <c r="F198" s="66">
        <v>3.5892</v>
      </c>
      <c r="G198" s="66">
        <v>1.992</v>
      </c>
      <c r="I198" s="82">
        <f t="shared" si="1"/>
        <v>0.8018072289</v>
      </c>
      <c r="J198" s="82">
        <f t="shared" si="2"/>
        <v>0.5549983283</v>
      </c>
    </row>
    <row r="199">
      <c r="A199" s="83">
        <v>44650.0</v>
      </c>
      <c r="B199" s="66">
        <v>2380.0</v>
      </c>
      <c r="C199" s="66">
        <v>3.0</v>
      </c>
      <c r="D199" s="66" t="s">
        <v>228</v>
      </c>
      <c r="E199" s="66" t="s">
        <v>58</v>
      </c>
      <c r="F199" s="66">
        <v>0.2775</v>
      </c>
      <c r="G199" s="66">
        <v>0.154</v>
      </c>
      <c r="H199" s="66" t="s">
        <v>277</v>
      </c>
      <c r="I199" s="82">
        <f t="shared" si="1"/>
        <v>0.8019480519</v>
      </c>
      <c r="J199" s="82">
        <f t="shared" si="2"/>
        <v>0.554954955</v>
      </c>
    </row>
    <row r="200">
      <c r="A200" s="83">
        <v>44650.0</v>
      </c>
      <c r="B200" s="66">
        <v>2380.0</v>
      </c>
      <c r="C200" s="66">
        <v>3.0</v>
      </c>
      <c r="D200" s="66" t="s">
        <v>227</v>
      </c>
      <c r="E200" s="66">
        <v>1.0</v>
      </c>
      <c r="F200" s="66">
        <v>1.4059</v>
      </c>
      <c r="G200" s="66">
        <v>0.78</v>
      </c>
      <c r="H200" s="66" t="s">
        <v>276</v>
      </c>
      <c r="I200" s="82">
        <f t="shared" si="1"/>
        <v>0.8024358974</v>
      </c>
      <c r="J200" s="82">
        <f t="shared" si="2"/>
        <v>0.5548047514</v>
      </c>
    </row>
    <row r="201">
      <c r="A201" s="83">
        <v>44655.0</v>
      </c>
      <c r="B201" s="66">
        <v>2383.0</v>
      </c>
      <c r="C201" s="66">
        <v>1.0</v>
      </c>
      <c r="D201" s="66" t="s">
        <v>228</v>
      </c>
      <c r="E201" s="66">
        <v>0.0</v>
      </c>
      <c r="F201" s="66">
        <v>0.53</v>
      </c>
      <c r="G201" s="66">
        <v>0.294</v>
      </c>
      <c r="I201" s="82">
        <f t="shared" si="1"/>
        <v>0.8027210884</v>
      </c>
      <c r="J201" s="82">
        <f t="shared" si="2"/>
        <v>0.5547169811</v>
      </c>
    </row>
    <row r="202">
      <c r="A202" s="83">
        <v>44662.0</v>
      </c>
      <c r="B202" s="66">
        <v>2085.0</v>
      </c>
      <c r="C202" s="66">
        <v>1.0</v>
      </c>
      <c r="D202" s="66" t="s">
        <v>228</v>
      </c>
      <c r="E202" s="66">
        <v>0.0</v>
      </c>
      <c r="F202" s="66">
        <v>0.7337</v>
      </c>
      <c r="G202" s="66">
        <v>0.4063</v>
      </c>
      <c r="I202" s="82">
        <f t="shared" si="1"/>
        <v>0.8058085159</v>
      </c>
      <c r="J202" s="82">
        <f t="shared" si="2"/>
        <v>0.5537685703</v>
      </c>
    </row>
    <row r="203">
      <c r="A203" s="83">
        <v>44662.0</v>
      </c>
      <c r="B203" s="66">
        <v>2085.0</v>
      </c>
      <c r="C203" s="66">
        <v>1.0</v>
      </c>
      <c r="D203" s="66" t="s">
        <v>227</v>
      </c>
      <c r="E203" s="66">
        <v>0.0</v>
      </c>
      <c r="F203" s="66">
        <v>0.6483</v>
      </c>
      <c r="G203" s="66">
        <v>0.359</v>
      </c>
      <c r="I203" s="82">
        <f t="shared" si="1"/>
        <v>0.8058495822</v>
      </c>
      <c r="J203" s="82">
        <f t="shared" si="2"/>
        <v>0.5537559772</v>
      </c>
    </row>
    <row r="204">
      <c r="A204" s="83">
        <v>44662.0</v>
      </c>
      <c r="B204" s="66">
        <v>2085.0</v>
      </c>
      <c r="C204" s="66">
        <v>1.0</v>
      </c>
      <c r="D204" s="66" t="s">
        <v>227</v>
      </c>
      <c r="E204" s="66">
        <v>1.0</v>
      </c>
      <c r="F204" s="66">
        <v>0.2042</v>
      </c>
      <c r="G204" s="66">
        <v>0.113</v>
      </c>
      <c r="H204" s="66" t="s">
        <v>276</v>
      </c>
      <c r="I204" s="82">
        <f t="shared" si="1"/>
        <v>0.807079646</v>
      </c>
      <c r="J204" s="82">
        <f t="shared" si="2"/>
        <v>0.5533790402</v>
      </c>
    </row>
    <row r="205">
      <c r="A205" s="83">
        <v>44662.0</v>
      </c>
      <c r="B205" s="66">
        <v>2085.0</v>
      </c>
      <c r="C205" s="66">
        <v>2.0</v>
      </c>
      <c r="D205" s="66" t="s">
        <v>228</v>
      </c>
      <c r="E205" s="66">
        <v>0.0</v>
      </c>
      <c r="F205" s="66">
        <v>0.2122</v>
      </c>
      <c r="G205" s="66">
        <v>0.1174</v>
      </c>
      <c r="H205" s="66" t="s">
        <v>276</v>
      </c>
      <c r="I205" s="82">
        <f t="shared" si="1"/>
        <v>0.8074957411</v>
      </c>
      <c r="J205" s="82">
        <f t="shared" si="2"/>
        <v>0.5532516494</v>
      </c>
    </row>
    <row r="206">
      <c r="A206" s="83">
        <v>44662.0</v>
      </c>
      <c r="B206" s="66">
        <v>2085.0</v>
      </c>
      <c r="C206" s="66">
        <v>2.0</v>
      </c>
      <c r="D206" s="66" t="s">
        <v>227</v>
      </c>
      <c r="E206" s="66">
        <v>0.0</v>
      </c>
      <c r="F206" s="66">
        <v>0.311</v>
      </c>
      <c r="G206" s="66">
        <v>0.172</v>
      </c>
      <c r="H206" s="66" t="s">
        <v>277</v>
      </c>
      <c r="I206" s="82">
        <f t="shared" si="1"/>
        <v>0.8081395349</v>
      </c>
      <c r="J206" s="82">
        <f t="shared" si="2"/>
        <v>0.5530546624</v>
      </c>
    </row>
    <row r="207">
      <c r="A207" s="83">
        <v>44662.0</v>
      </c>
      <c r="B207" s="66">
        <v>2085.0</v>
      </c>
      <c r="C207" s="66">
        <v>2.0</v>
      </c>
      <c r="D207" s="66" t="s">
        <v>227</v>
      </c>
      <c r="E207" s="66">
        <v>1.0</v>
      </c>
      <c r="F207" s="66">
        <v>0.297</v>
      </c>
      <c r="G207" s="66">
        <v>0.1642</v>
      </c>
      <c r="I207" s="82">
        <f t="shared" si="1"/>
        <v>0.8087697929</v>
      </c>
      <c r="J207" s="82">
        <f t="shared" si="2"/>
        <v>0.5528619529</v>
      </c>
    </row>
    <row r="208">
      <c r="A208" s="83">
        <v>44662.0</v>
      </c>
      <c r="B208" s="66">
        <v>2086.0</v>
      </c>
      <c r="C208" s="66">
        <v>1.0</v>
      </c>
      <c r="D208" s="66" t="s">
        <v>227</v>
      </c>
      <c r="E208" s="66">
        <v>0.0</v>
      </c>
      <c r="F208" s="66">
        <v>0.2737</v>
      </c>
      <c r="G208" s="66">
        <v>0.1513</v>
      </c>
      <c r="I208" s="82">
        <f t="shared" si="1"/>
        <v>0.808988764</v>
      </c>
      <c r="J208" s="82">
        <f t="shared" si="2"/>
        <v>0.5527950311</v>
      </c>
    </row>
    <row r="209">
      <c r="A209" s="83">
        <v>44662.0</v>
      </c>
      <c r="B209" s="66">
        <v>2086.0</v>
      </c>
      <c r="C209" s="66">
        <v>1.0</v>
      </c>
      <c r="D209" s="66" t="s">
        <v>227</v>
      </c>
      <c r="E209" s="66">
        <v>1.0</v>
      </c>
      <c r="F209" s="66">
        <v>1.273</v>
      </c>
      <c r="G209" s="66">
        <v>0.703</v>
      </c>
      <c r="H209" s="66" t="s">
        <v>277</v>
      </c>
      <c r="I209" s="82">
        <f t="shared" si="1"/>
        <v>0.8108108108</v>
      </c>
      <c r="J209" s="82">
        <f t="shared" si="2"/>
        <v>0.552238806</v>
      </c>
    </row>
    <row r="210">
      <c r="A210" s="83">
        <v>44662.0</v>
      </c>
      <c r="B210" s="66">
        <v>2086.0</v>
      </c>
      <c r="C210" s="66">
        <v>2.0</v>
      </c>
      <c r="D210" s="66" t="s">
        <v>228</v>
      </c>
      <c r="E210" s="66">
        <v>0.0</v>
      </c>
      <c r="F210" s="66">
        <v>0.9029</v>
      </c>
      <c r="G210" s="66">
        <v>0.498</v>
      </c>
      <c r="H210" s="66" t="s">
        <v>277</v>
      </c>
      <c r="I210" s="82">
        <f t="shared" si="1"/>
        <v>0.8130522088</v>
      </c>
      <c r="J210" s="82">
        <f t="shared" si="2"/>
        <v>0.551556097</v>
      </c>
    </row>
    <row r="211">
      <c r="A211" s="83">
        <v>44662.0</v>
      </c>
      <c r="B211" s="66">
        <v>2086.0</v>
      </c>
      <c r="C211" s="66">
        <v>2.0</v>
      </c>
      <c r="D211" s="66" t="s">
        <v>227</v>
      </c>
      <c r="E211" s="66">
        <v>0.0</v>
      </c>
      <c r="F211" s="66">
        <v>0.9103</v>
      </c>
      <c r="G211" s="66">
        <v>0.502</v>
      </c>
      <c r="I211" s="82">
        <f t="shared" si="1"/>
        <v>0.8133466135</v>
      </c>
      <c r="J211" s="82">
        <f t="shared" si="2"/>
        <v>0.5514665495</v>
      </c>
    </row>
    <row r="212">
      <c r="A212" s="83">
        <v>44662.0</v>
      </c>
      <c r="B212" s="66">
        <v>2087.0</v>
      </c>
      <c r="C212" s="66">
        <v>1.0</v>
      </c>
      <c r="D212" s="66" t="s">
        <v>228</v>
      </c>
      <c r="E212" s="66">
        <v>0.0</v>
      </c>
      <c r="F212" s="66">
        <v>0.2848</v>
      </c>
      <c r="G212" s="66">
        <v>0.157</v>
      </c>
      <c r="H212" s="66" t="s">
        <v>276</v>
      </c>
      <c r="I212" s="82">
        <f t="shared" si="1"/>
        <v>0.8140127389</v>
      </c>
      <c r="J212" s="82">
        <f t="shared" si="2"/>
        <v>0.5512640449</v>
      </c>
    </row>
    <row r="213">
      <c r="A213" s="83">
        <v>44662.0</v>
      </c>
      <c r="B213" s="66">
        <v>2087.0</v>
      </c>
      <c r="C213" s="66">
        <v>1.0</v>
      </c>
      <c r="D213" s="66" t="s">
        <v>227</v>
      </c>
      <c r="E213" s="66">
        <v>0.0</v>
      </c>
      <c r="F213" s="66">
        <v>1.212</v>
      </c>
      <c r="G213" s="66">
        <v>0.668</v>
      </c>
      <c r="H213" s="66" t="s">
        <v>277</v>
      </c>
      <c r="I213" s="82">
        <f t="shared" si="1"/>
        <v>0.8143712575</v>
      </c>
      <c r="J213" s="82">
        <f t="shared" si="2"/>
        <v>0.5511551155</v>
      </c>
    </row>
    <row r="214">
      <c r="A214" s="83">
        <v>44662.0</v>
      </c>
      <c r="B214" s="66">
        <v>2087.0</v>
      </c>
      <c r="C214" s="66">
        <v>1.0</v>
      </c>
      <c r="D214" s="66" t="s">
        <v>227</v>
      </c>
      <c r="E214" s="66">
        <v>1.0</v>
      </c>
      <c r="F214" s="66">
        <v>0.098</v>
      </c>
      <c r="G214" s="66">
        <v>0.054</v>
      </c>
      <c r="I214" s="82">
        <f t="shared" si="1"/>
        <v>0.8148148148</v>
      </c>
      <c r="J214" s="82">
        <f t="shared" si="2"/>
        <v>0.5510204082</v>
      </c>
    </row>
    <row r="215">
      <c r="A215" s="83">
        <v>44662.0</v>
      </c>
      <c r="B215" s="66">
        <v>2088.0</v>
      </c>
      <c r="C215" s="66">
        <v>1.0</v>
      </c>
      <c r="D215" s="66" t="s">
        <v>228</v>
      </c>
      <c r="E215" s="66">
        <v>0.0</v>
      </c>
      <c r="F215" s="66">
        <v>2.8668</v>
      </c>
      <c r="G215" s="66">
        <v>1.5796</v>
      </c>
      <c r="I215" s="82">
        <f t="shared" si="1"/>
        <v>0.8148898455</v>
      </c>
      <c r="J215" s="82">
        <f t="shared" si="2"/>
        <v>0.550997628</v>
      </c>
    </row>
    <row r="216">
      <c r="A216" s="83">
        <v>44662.0</v>
      </c>
      <c r="B216" s="66">
        <v>2088.0</v>
      </c>
      <c r="C216" s="66">
        <v>1.0</v>
      </c>
      <c r="D216" s="66" t="s">
        <v>228</v>
      </c>
      <c r="E216" s="66">
        <v>0.0</v>
      </c>
      <c r="F216" s="66">
        <v>1.0126</v>
      </c>
      <c r="G216" s="66">
        <v>0.5578</v>
      </c>
      <c r="H216" s="66" t="s">
        <v>280</v>
      </c>
      <c r="I216" s="82">
        <f t="shared" si="1"/>
        <v>0.8153460022</v>
      </c>
      <c r="J216" s="82">
        <f t="shared" si="2"/>
        <v>0.5508591744</v>
      </c>
    </row>
    <row r="217">
      <c r="A217" s="83">
        <v>44662.0</v>
      </c>
      <c r="B217" s="66">
        <v>2088.0</v>
      </c>
      <c r="C217" s="66">
        <v>1.0</v>
      </c>
      <c r="D217" s="66" t="s">
        <v>227</v>
      </c>
      <c r="E217" s="66">
        <v>0.0</v>
      </c>
      <c r="F217" s="66">
        <v>0.3504</v>
      </c>
      <c r="G217" s="66">
        <v>0.193</v>
      </c>
      <c r="I217" s="82">
        <f t="shared" si="1"/>
        <v>0.8155440415</v>
      </c>
      <c r="J217" s="82">
        <f t="shared" si="2"/>
        <v>0.5507990868</v>
      </c>
    </row>
    <row r="218">
      <c r="A218" s="83">
        <v>44662.0</v>
      </c>
      <c r="B218" s="66">
        <v>2088.0</v>
      </c>
      <c r="C218" s="66">
        <v>1.0</v>
      </c>
      <c r="D218" s="66" t="s">
        <v>227</v>
      </c>
      <c r="E218" s="66">
        <v>0.0</v>
      </c>
      <c r="F218" s="66">
        <v>0.3102</v>
      </c>
      <c r="G218" s="66">
        <v>0.1708</v>
      </c>
      <c r="I218" s="82">
        <f t="shared" si="1"/>
        <v>0.8161592506</v>
      </c>
      <c r="J218" s="82">
        <f t="shared" si="2"/>
        <v>0.5506125081</v>
      </c>
    </row>
    <row r="219">
      <c r="A219" s="83">
        <v>44662.0</v>
      </c>
      <c r="B219" s="66">
        <v>2088.0</v>
      </c>
      <c r="C219" s="66">
        <v>2.0</v>
      </c>
      <c r="D219" s="66" t="s">
        <v>228</v>
      </c>
      <c r="E219" s="66">
        <v>0.0</v>
      </c>
      <c r="F219" s="66">
        <v>0.1546</v>
      </c>
      <c r="G219" s="66">
        <v>0.0851</v>
      </c>
      <c r="H219" s="66" t="s">
        <v>280</v>
      </c>
      <c r="I219" s="82">
        <f t="shared" si="1"/>
        <v>0.8166862515</v>
      </c>
      <c r="J219" s="82">
        <f t="shared" si="2"/>
        <v>0.5504527814</v>
      </c>
    </row>
    <row r="220">
      <c r="A220" s="83">
        <v>44662.0</v>
      </c>
      <c r="B220" s="66">
        <v>2088.0</v>
      </c>
      <c r="C220" s="66">
        <v>2.0</v>
      </c>
      <c r="D220" s="66" t="s">
        <v>227</v>
      </c>
      <c r="E220" s="66">
        <v>0.0</v>
      </c>
      <c r="F220" s="66">
        <v>1.7716</v>
      </c>
      <c r="G220" s="66">
        <v>0.9747</v>
      </c>
      <c r="H220" s="66" t="s">
        <v>280</v>
      </c>
      <c r="I220" s="82">
        <f t="shared" si="1"/>
        <v>0.8175848979</v>
      </c>
      <c r="J220" s="82">
        <f t="shared" si="2"/>
        <v>0.5501806277</v>
      </c>
    </row>
    <row r="221">
      <c r="A221" s="83">
        <v>44662.0</v>
      </c>
      <c r="B221" s="66">
        <v>2088.0</v>
      </c>
      <c r="C221" s="66">
        <v>2.0</v>
      </c>
      <c r="D221" s="66" t="s">
        <v>227</v>
      </c>
      <c r="E221" s="66">
        <v>1.0</v>
      </c>
      <c r="F221" s="66">
        <v>0.0818</v>
      </c>
      <c r="G221" s="66">
        <v>0.045</v>
      </c>
      <c r="I221" s="82">
        <f t="shared" si="1"/>
        <v>0.8177777778</v>
      </c>
      <c r="J221" s="82">
        <f t="shared" si="2"/>
        <v>0.5501222494</v>
      </c>
    </row>
    <row r="222">
      <c r="A222" s="83">
        <v>44662.0</v>
      </c>
      <c r="B222" s="66">
        <v>2089.0</v>
      </c>
      <c r="C222" s="66">
        <v>1.0</v>
      </c>
      <c r="D222" s="66" t="s">
        <v>228</v>
      </c>
      <c r="E222" s="66">
        <v>0.0</v>
      </c>
      <c r="F222" s="66">
        <v>0.02</v>
      </c>
      <c r="G222" s="66">
        <v>0.011</v>
      </c>
      <c r="H222" s="66" t="s">
        <v>277</v>
      </c>
      <c r="I222" s="82">
        <f t="shared" si="1"/>
        <v>0.8181818182</v>
      </c>
      <c r="J222" s="82">
        <f t="shared" si="2"/>
        <v>0.55</v>
      </c>
    </row>
    <row r="223">
      <c r="A223" s="83">
        <v>44662.0</v>
      </c>
      <c r="B223" s="66">
        <v>2089.0</v>
      </c>
      <c r="C223" s="66">
        <v>1.0</v>
      </c>
      <c r="D223" s="66" t="s">
        <v>228</v>
      </c>
      <c r="E223" s="66">
        <v>0.0</v>
      </c>
      <c r="F223" s="66">
        <v>1.5564</v>
      </c>
      <c r="G223" s="66">
        <v>0.856</v>
      </c>
      <c r="I223" s="82">
        <f t="shared" si="1"/>
        <v>0.8182242991</v>
      </c>
      <c r="J223" s="82">
        <f t="shared" si="2"/>
        <v>0.5499871498</v>
      </c>
    </row>
    <row r="224">
      <c r="A224" s="83">
        <v>44662.0</v>
      </c>
      <c r="B224" s="66">
        <v>2089.0</v>
      </c>
      <c r="C224" s="66">
        <v>1.0</v>
      </c>
      <c r="D224" s="66" t="s">
        <v>227</v>
      </c>
      <c r="E224" s="66">
        <v>1.0</v>
      </c>
      <c r="F224" s="66">
        <v>0.0982</v>
      </c>
      <c r="G224" s="66">
        <v>0.054</v>
      </c>
      <c r="H224" s="66" t="s">
        <v>280</v>
      </c>
      <c r="I224" s="82">
        <f t="shared" si="1"/>
        <v>0.8185185185</v>
      </c>
      <c r="J224" s="82">
        <f t="shared" si="2"/>
        <v>0.549898167</v>
      </c>
    </row>
    <row r="225">
      <c r="A225" s="83">
        <v>44662.0</v>
      </c>
      <c r="B225" s="66">
        <v>2089.0</v>
      </c>
      <c r="C225" s="66">
        <v>2.0</v>
      </c>
      <c r="D225" s="66" t="s">
        <v>228</v>
      </c>
      <c r="E225" s="66">
        <v>1.0</v>
      </c>
      <c r="F225" s="66">
        <v>0.9488</v>
      </c>
      <c r="G225" s="66">
        <v>0.5214</v>
      </c>
      <c r="I225" s="82">
        <f t="shared" si="1"/>
        <v>0.8197161488</v>
      </c>
      <c r="J225" s="82">
        <f t="shared" si="2"/>
        <v>0.5495362563</v>
      </c>
    </row>
    <row r="226">
      <c r="A226" s="83">
        <v>44662.0</v>
      </c>
      <c r="B226" s="66">
        <v>2089.0</v>
      </c>
      <c r="C226" s="66">
        <v>2.0</v>
      </c>
      <c r="D226" s="66" t="s">
        <v>227</v>
      </c>
      <c r="E226" s="66">
        <v>0.0</v>
      </c>
      <c r="F226" s="66">
        <v>1.29</v>
      </c>
      <c r="G226" s="66">
        <v>0.7086</v>
      </c>
      <c r="I226" s="82">
        <f t="shared" si="1"/>
        <v>0.8204911092</v>
      </c>
      <c r="J226" s="82">
        <f t="shared" si="2"/>
        <v>0.5493023256</v>
      </c>
    </row>
    <row r="227">
      <c r="A227" s="83">
        <v>44662.0</v>
      </c>
      <c r="B227" s="66">
        <v>2089.0</v>
      </c>
      <c r="C227" s="66">
        <v>2.0</v>
      </c>
      <c r="D227" s="66" t="s">
        <v>227</v>
      </c>
      <c r="E227" s="66">
        <v>0.0</v>
      </c>
      <c r="F227" s="66">
        <v>0.3259</v>
      </c>
      <c r="G227" s="66">
        <v>0.179</v>
      </c>
      <c r="I227" s="82">
        <f t="shared" si="1"/>
        <v>0.8206703911</v>
      </c>
      <c r="J227" s="82">
        <f t="shared" si="2"/>
        <v>0.5492482357</v>
      </c>
    </row>
    <row r="228">
      <c r="A228" s="83">
        <v>44662.0</v>
      </c>
      <c r="B228" s="66">
        <v>2089.0</v>
      </c>
      <c r="C228" s="66">
        <v>2.0</v>
      </c>
      <c r="D228" s="66" t="s">
        <v>227</v>
      </c>
      <c r="E228" s="66">
        <v>0.0</v>
      </c>
      <c r="F228" s="66">
        <v>0.3296</v>
      </c>
      <c r="G228" s="66">
        <v>0.181</v>
      </c>
      <c r="H228" s="66" t="s">
        <v>277</v>
      </c>
      <c r="I228" s="82">
        <f t="shared" si="1"/>
        <v>0.8209944751</v>
      </c>
      <c r="J228" s="82">
        <f t="shared" si="2"/>
        <v>0.5491504854</v>
      </c>
    </row>
    <row r="229">
      <c r="A229" s="83">
        <v>44662.0</v>
      </c>
      <c r="B229" s="66">
        <v>2089.0</v>
      </c>
      <c r="C229" s="66">
        <v>2.0</v>
      </c>
      <c r="D229" s="66" t="s">
        <v>227</v>
      </c>
      <c r="E229" s="66">
        <v>1.0</v>
      </c>
      <c r="F229" s="66">
        <v>0.173</v>
      </c>
      <c r="G229" s="66">
        <v>0.095</v>
      </c>
      <c r="H229" s="66" t="s">
        <v>277</v>
      </c>
      <c r="I229" s="82">
        <f t="shared" si="1"/>
        <v>0.8210526316</v>
      </c>
      <c r="J229" s="82">
        <f t="shared" si="2"/>
        <v>0.549132948</v>
      </c>
    </row>
    <row r="230">
      <c r="A230" s="83">
        <v>44662.0</v>
      </c>
      <c r="B230" s="66">
        <v>2090.0</v>
      </c>
      <c r="C230" s="66">
        <v>1.0</v>
      </c>
      <c r="D230" s="66" t="s">
        <v>228</v>
      </c>
      <c r="E230" s="66">
        <v>0.0</v>
      </c>
      <c r="F230" s="66">
        <v>0.2772</v>
      </c>
      <c r="G230" s="66">
        <v>0.1522</v>
      </c>
      <c r="I230" s="82">
        <f t="shared" si="1"/>
        <v>0.8212877792</v>
      </c>
      <c r="J230" s="82">
        <f t="shared" si="2"/>
        <v>0.5490620491</v>
      </c>
    </row>
    <row r="231">
      <c r="A231" s="83">
        <v>44662.0</v>
      </c>
      <c r="B231" s="66">
        <v>2090.0</v>
      </c>
      <c r="C231" s="66">
        <v>1.0</v>
      </c>
      <c r="D231" s="66" t="s">
        <v>227</v>
      </c>
      <c r="E231" s="66">
        <v>0.0</v>
      </c>
      <c r="F231" s="66">
        <v>0.53</v>
      </c>
      <c r="G231" s="66">
        <v>0.291</v>
      </c>
      <c r="H231" s="66" t="s">
        <v>277</v>
      </c>
      <c r="I231" s="82">
        <f t="shared" si="1"/>
        <v>0.8213058419</v>
      </c>
      <c r="J231" s="82">
        <f t="shared" si="2"/>
        <v>0.5490566038</v>
      </c>
    </row>
    <row r="232">
      <c r="A232" s="83">
        <v>44662.0</v>
      </c>
      <c r="B232" s="66">
        <v>2090.0</v>
      </c>
      <c r="C232" s="66">
        <v>1.0</v>
      </c>
      <c r="D232" s="66" t="s">
        <v>227</v>
      </c>
      <c r="E232" s="66">
        <v>1.0</v>
      </c>
      <c r="F232" s="66">
        <v>0.4603</v>
      </c>
      <c r="G232" s="66">
        <v>0.2527</v>
      </c>
      <c r="H232" s="66" t="s">
        <v>276</v>
      </c>
      <c r="I232" s="82">
        <f t="shared" si="1"/>
        <v>0.821527503</v>
      </c>
      <c r="J232" s="82">
        <f t="shared" si="2"/>
        <v>0.5489897893</v>
      </c>
    </row>
    <row r="233">
      <c r="A233" s="83">
        <v>44662.0</v>
      </c>
      <c r="B233" s="66">
        <v>2091.0</v>
      </c>
      <c r="C233" s="66">
        <v>1.0</v>
      </c>
      <c r="D233" s="66" t="s">
        <v>228</v>
      </c>
      <c r="E233" s="66">
        <v>1.0</v>
      </c>
      <c r="F233" s="66">
        <v>0.7293</v>
      </c>
      <c r="G233" s="66">
        <v>0.3999</v>
      </c>
      <c r="H233" s="66" t="s">
        <v>280</v>
      </c>
      <c r="I233" s="82">
        <f t="shared" si="1"/>
        <v>0.8237059265</v>
      </c>
      <c r="J233" s="82">
        <f t="shared" si="2"/>
        <v>0.5483340189</v>
      </c>
    </row>
    <row r="234">
      <c r="A234" s="83">
        <v>44662.0</v>
      </c>
      <c r="B234" s="66">
        <v>2091.0</v>
      </c>
      <c r="C234" s="66">
        <v>1.0</v>
      </c>
      <c r="D234" s="66" t="s">
        <v>227</v>
      </c>
      <c r="E234" s="66">
        <v>0.0</v>
      </c>
      <c r="F234" s="66">
        <v>1.0405</v>
      </c>
      <c r="G234" s="66">
        <v>0.5704</v>
      </c>
      <c r="H234" s="66" t="s">
        <v>280</v>
      </c>
      <c r="I234" s="82">
        <f t="shared" si="1"/>
        <v>0.8241584853</v>
      </c>
      <c r="J234" s="82">
        <f t="shared" si="2"/>
        <v>0.5481979817</v>
      </c>
    </row>
    <row r="235">
      <c r="A235" s="83">
        <v>44662.0</v>
      </c>
      <c r="B235" s="66">
        <v>2091.0</v>
      </c>
      <c r="C235" s="66">
        <v>2.0</v>
      </c>
      <c r="D235" s="66" t="s">
        <v>227</v>
      </c>
      <c r="E235" s="66">
        <v>1.0</v>
      </c>
      <c r="F235" s="66">
        <v>0.11</v>
      </c>
      <c r="G235" s="66">
        <v>0.0603</v>
      </c>
      <c r="I235" s="82">
        <f t="shared" si="1"/>
        <v>0.824212272</v>
      </c>
      <c r="J235" s="82">
        <f t="shared" si="2"/>
        <v>0.5481818182</v>
      </c>
    </row>
    <row r="236">
      <c r="A236" s="83">
        <v>44662.0</v>
      </c>
      <c r="B236" s="66">
        <v>2091.0</v>
      </c>
      <c r="C236" s="66">
        <v>2.0</v>
      </c>
      <c r="D236" s="66" t="s">
        <v>227</v>
      </c>
      <c r="E236" s="66">
        <v>1.0</v>
      </c>
      <c r="F236" s="66">
        <v>0.2038</v>
      </c>
      <c r="G236" s="66">
        <v>0.1116</v>
      </c>
      <c r="I236" s="82">
        <f t="shared" si="1"/>
        <v>0.8261648746</v>
      </c>
      <c r="J236" s="82">
        <f t="shared" si="2"/>
        <v>0.547595682</v>
      </c>
    </row>
    <row r="237">
      <c r="A237" s="83">
        <v>44662.0</v>
      </c>
      <c r="B237" s="66">
        <v>2092.0</v>
      </c>
      <c r="C237" s="66">
        <v>1.0</v>
      </c>
      <c r="D237" s="66" t="s">
        <v>228</v>
      </c>
      <c r="E237" s="66">
        <v>1.0</v>
      </c>
      <c r="F237" s="66">
        <v>0.61</v>
      </c>
      <c r="G237" s="66">
        <v>0.334</v>
      </c>
      <c r="H237" s="66" t="s">
        <v>277</v>
      </c>
      <c r="I237" s="82">
        <f t="shared" si="1"/>
        <v>0.8263473054</v>
      </c>
      <c r="J237" s="82">
        <f t="shared" si="2"/>
        <v>0.5475409836</v>
      </c>
    </row>
    <row r="238">
      <c r="A238" s="83">
        <v>44662.0</v>
      </c>
      <c r="B238" s="66">
        <v>2092.0</v>
      </c>
      <c r="C238" s="66">
        <v>2.0</v>
      </c>
      <c r="D238" s="66" t="s">
        <v>227</v>
      </c>
      <c r="E238" s="66">
        <v>0.0</v>
      </c>
      <c r="F238" s="66">
        <v>0.3142</v>
      </c>
      <c r="G238" s="66">
        <v>0.1719</v>
      </c>
      <c r="I238" s="82">
        <f t="shared" si="1"/>
        <v>0.8278068645</v>
      </c>
      <c r="J238" s="82">
        <f t="shared" si="2"/>
        <v>0.5471037556</v>
      </c>
    </row>
    <row r="239">
      <c r="A239" s="83">
        <v>44662.0</v>
      </c>
      <c r="B239" s="66">
        <v>2092.0</v>
      </c>
      <c r="C239" s="66">
        <v>2.0</v>
      </c>
      <c r="D239" s="66" t="s">
        <v>227</v>
      </c>
      <c r="E239" s="66">
        <v>1.0</v>
      </c>
      <c r="F239" s="66">
        <v>0.4113</v>
      </c>
      <c r="G239" s="66">
        <v>0.225</v>
      </c>
      <c r="I239" s="82">
        <f t="shared" si="1"/>
        <v>0.828</v>
      </c>
      <c r="J239" s="82">
        <f t="shared" si="2"/>
        <v>0.5470459519</v>
      </c>
    </row>
    <row r="240">
      <c r="A240" s="83">
        <v>44662.0</v>
      </c>
      <c r="B240" s="66">
        <v>2093.0</v>
      </c>
      <c r="C240" s="66">
        <v>1.0</v>
      </c>
      <c r="D240" s="66" t="s">
        <v>228</v>
      </c>
      <c r="E240" s="66">
        <v>1.0</v>
      </c>
      <c r="F240" s="66">
        <v>0.7331</v>
      </c>
      <c r="G240" s="66">
        <v>0.401</v>
      </c>
      <c r="H240" s="66" t="s">
        <v>280</v>
      </c>
      <c r="I240" s="82">
        <f t="shared" si="1"/>
        <v>0.8281795511</v>
      </c>
      <c r="J240" s="82">
        <f t="shared" si="2"/>
        <v>0.5469922248</v>
      </c>
    </row>
    <row r="241">
      <c r="A241" s="83">
        <v>44662.0</v>
      </c>
      <c r="B241" s="66">
        <v>2093.0</v>
      </c>
      <c r="C241" s="66">
        <v>1.0</v>
      </c>
      <c r="D241" s="66" t="s">
        <v>227</v>
      </c>
      <c r="E241" s="66">
        <v>1.0</v>
      </c>
      <c r="F241" s="66">
        <v>3.231</v>
      </c>
      <c r="G241" s="66">
        <v>1.766</v>
      </c>
      <c r="H241" s="66" t="s">
        <v>277</v>
      </c>
      <c r="I241" s="82">
        <f t="shared" si="1"/>
        <v>0.8295583239</v>
      </c>
      <c r="J241" s="82">
        <f t="shared" si="2"/>
        <v>0.5465800062</v>
      </c>
    </row>
    <row r="242">
      <c r="A242" s="83">
        <v>44662.0</v>
      </c>
      <c r="B242" s="66">
        <v>2093.0</v>
      </c>
      <c r="C242" s="66">
        <v>2.0</v>
      </c>
      <c r="D242" s="66" t="s">
        <v>228</v>
      </c>
      <c r="E242" s="66">
        <v>0.0</v>
      </c>
      <c r="F242" s="66">
        <v>0.3717</v>
      </c>
      <c r="G242" s="66">
        <v>0.203</v>
      </c>
      <c r="H242" s="66" t="s">
        <v>276</v>
      </c>
      <c r="I242" s="82">
        <f t="shared" si="1"/>
        <v>0.8310344828</v>
      </c>
      <c r="J242" s="82">
        <f t="shared" si="2"/>
        <v>0.5461393597</v>
      </c>
    </row>
    <row r="243">
      <c r="A243" s="83">
        <v>44662.0</v>
      </c>
      <c r="B243" s="66">
        <v>2093.0</v>
      </c>
      <c r="C243" s="66">
        <v>2.0</v>
      </c>
      <c r="D243" s="66" t="s">
        <v>227</v>
      </c>
      <c r="E243" s="66">
        <v>0.0</v>
      </c>
      <c r="F243" s="66">
        <v>0.3527</v>
      </c>
      <c r="G243" s="66">
        <v>0.1926</v>
      </c>
      <c r="H243" s="66" t="s">
        <v>280</v>
      </c>
      <c r="I243" s="82">
        <f t="shared" si="1"/>
        <v>0.8312564901</v>
      </c>
      <c r="J243" s="82">
        <f t="shared" si="2"/>
        <v>0.54607315</v>
      </c>
    </row>
    <row r="244">
      <c r="A244" s="83">
        <v>44662.0</v>
      </c>
      <c r="B244" s="66">
        <v>2093.0</v>
      </c>
      <c r="C244" s="66">
        <v>2.0</v>
      </c>
      <c r="D244" s="66" t="s">
        <v>227</v>
      </c>
      <c r="E244" s="66">
        <v>1.0</v>
      </c>
      <c r="F244" s="66">
        <v>0.1664</v>
      </c>
      <c r="G244" s="66">
        <v>0.0908</v>
      </c>
      <c r="H244" s="66" t="s">
        <v>276</v>
      </c>
      <c r="I244" s="82">
        <f t="shared" si="1"/>
        <v>0.8325991189</v>
      </c>
      <c r="J244" s="82">
        <f t="shared" si="2"/>
        <v>0.5456730769</v>
      </c>
    </row>
    <row r="245">
      <c r="A245" s="83">
        <v>44663.0</v>
      </c>
      <c r="B245" s="66">
        <v>2009.0</v>
      </c>
      <c r="C245" s="66">
        <v>1.0</v>
      </c>
      <c r="D245" s="66" t="s">
        <v>228</v>
      </c>
      <c r="E245" s="66">
        <v>0.0</v>
      </c>
      <c r="F245" s="66">
        <v>0.3887</v>
      </c>
      <c r="G245" s="66">
        <v>0.2121</v>
      </c>
      <c r="I245" s="82">
        <f t="shared" si="1"/>
        <v>0.8326261198</v>
      </c>
      <c r="J245" s="82">
        <f t="shared" si="2"/>
        <v>0.5456650373</v>
      </c>
    </row>
    <row r="246">
      <c r="A246" s="83">
        <v>44663.0</v>
      </c>
      <c r="B246" s="66">
        <v>2009.0</v>
      </c>
      <c r="C246" s="66">
        <v>1.0</v>
      </c>
      <c r="D246" s="66" t="s">
        <v>227</v>
      </c>
      <c r="E246" s="66">
        <v>0.0</v>
      </c>
      <c r="F246" s="66">
        <v>1.0302</v>
      </c>
      <c r="G246" s="66">
        <v>0.562</v>
      </c>
      <c r="I246" s="82">
        <f t="shared" si="1"/>
        <v>0.8330960854</v>
      </c>
      <c r="J246" s="82">
        <f t="shared" si="2"/>
        <v>0.5455251407</v>
      </c>
    </row>
    <row r="247">
      <c r="A247" s="83">
        <v>44663.0</v>
      </c>
      <c r="B247" s="66">
        <v>2009.0</v>
      </c>
      <c r="C247" s="66">
        <v>2.0</v>
      </c>
      <c r="D247" s="66" t="s">
        <v>228</v>
      </c>
      <c r="E247" s="66">
        <v>0.0</v>
      </c>
      <c r="F247" s="66">
        <v>0.8859</v>
      </c>
      <c r="G247" s="66">
        <v>0.483</v>
      </c>
      <c r="I247" s="82">
        <f t="shared" si="1"/>
        <v>0.8341614907</v>
      </c>
      <c r="J247" s="82">
        <f t="shared" si="2"/>
        <v>0.5452082628</v>
      </c>
    </row>
    <row r="248">
      <c r="A248" s="83">
        <v>44663.0</v>
      </c>
      <c r="B248" s="66">
        <v>2009.0</v>
      </c>
      <c r="C248" s="66">
        <v>2.0</v>
      </c>
      <c r="D248" s="66" t="s">
        <v>227</v>
      </c>
      <c r="E248" s="66">
        <v>0.0</v>
      </c>
      <c r="F248" s="66">
        <v>0.0587</v>
      </c>
      <c r="G248" s="66">
        <v>0.032</v>
      </c>
      <c r="H248" s="66" t="s">
        <v>280</v>
      </c>
      <c r="I248" s="82">
        <f t="shared" si="1"/>
        <v>0.834375</v>
      </c>
      <c r="J248" s="82">
        <f t="shared" si="2"/>
        <v>0.5451448041</v>
      </c>
    </row>
    <row r="249">
      <c r="A249" s="83">
        <v>44663.0</v>
      </c>
      <c r="B249" s="66">
        <v>2009.0</v>
      </c>
      <c r="C249" s="66">
        <v>3.0</v>
      </c>
      <c r="D249" s="66" t="s">
        <v>228</v>
      </c>
      <c r="E249" s="66">
        <v>0.0</v>
      </c>
      <c r="F249" s="66">
        <v>0.196</v>
      </c>
      <c r="G249" s="66">
        <v>0.1068</v>
      </c>
      <c r="I249" s="82">
        <f t="shared" si="1"/>
        <v>0.8352059925</v>
      </c>
      <c r="J249" s="82">
        <f t="shared" si="2"/>
        <v>0.5448979592</v>
      </c>
    </row>
    <row r="250">
      <c r="A250" s="83">
        <v>44663.0</v>
      </c>
      <c r="B250" s="66">
        <v>2009.0</v>
      </c>
      <c r="C250" s="66">
        <v>3.0</v>
      </c>
      <c r="D250" s="66" t="s">
        <v>227</v>
      </c>
      <c r="E250" s="66">
        <v>0.0</v>
      </c>
      <c r="F250" s="66">
        <v>0.969</v>
      </c>
      <c r="G250" s="66">
        <v>0.528</v>
      </c>
      <c r="H250" s="66" t="s">
        <v>277</v>
      </c>
      <c r="I250" s="82">
        <f t="shared" si="1"/>
        <v>0.8352272727</v>
      </c>
      <c r="J250" s="82">
        <f t="shared" si="2"/>
        <v>0.5448916409</v>
      </c>
    </row>
    <row r="251">
      <c r="A251" s="83">
        <v>44663.0</v>
      </c>
      <c r="B251" s="66">
        <v>2331.0</v>
      </c>
      <c r="C251" s="66">
        <v>1.0</v>
      </c>
      <c r="D251" s="66" t="s">
        <v>228</v>
      </c>
      <c r="E251" s="66">
        <v>1.0</v>
      </c>
      <c r="F251" s="66">
        <v>0.4173</v>
      </c>
      <c r="G251" s="66">
        <v>0.2272</v>
      </c>
      <c r="H251" s="66" t="s">
        <v>280</v>
      </c>
      <c r="I251" s="82">
        <f t="shared" si="1"/>
        <v>0.8367077465</v>
      </c>
      <c r="J251" s="82">
        <f t="shared" si="2"/>
        <v>0.5444524323</v>
      </c>
    </row>
    <row r="252">
      <c r="A252" s="83">
        <v>44663.0</v>
      </c>
      <c r="B252" s="66">
        <v>2331.0</v>
      </c>
      <c r="C252" s="66">
        <v>1.0</v>
      </c>
      <c r="D252" s="66" t="s">
        <v>228</v>
      </c>
      <c r="E252" s="66">
        <v>1.0</v>
      </c>
      <c r="F252" s="66">
        <v>0.2886</v>
      </c>
      <c r="G252" s="66">
        <v>0.1571</v>
      </c>
      <c r="I252" s="82">
        <f t="shared" si="1"/>
        <v>0.8370464672</v>
      </c>
      <c r="J252" s="82">
        <f t="shared" si="2"/>
        <v>0.5443520444</v>
      </c>
    </row>
    <row r="253">
      <c r="A253" s="83">
        <v>44663.0</v>
      </c>
      <c r="B253" s="66">
        <v>2331.0</v>
      </c>
      <c r="C253" s="66">
        <v>1.0</v>
      </c>
      <c r="D253" s="66" t="s">
        <v>227</v>
      </c>
      <c r="E253" s="66">
        <v>0.0</v>
      </c>
      <c r="F253" s="66">
        <v>1.1281</v>
      </c>
      <c r="G253" s="66">
        <v>0.614</v>
      </c>
      <c r="H253" s="66" t="s">
        <v>277</v>
      </c>
      <c r="I253" s="82">
        <f t="shared" si="1"/>
        <v>0.8372964169</v>
      </c>
      <c r="J253" s="82">
        <f t="shared" si="2"/>
        <v>0.5442779895</v>
      </c>
    </row>
    <row r="254">
      <c r="A254" s="83">
        <v>44663.0</v>
      </c>
      <c r="B254" s="66">
        <v>2331.0</v>
      </c>
      <c r="C254" s="66">
        <v>1.0</v>
      </c>
      <c r="D254" s="66" t="s">
        <v>227</v>
      </c>
      <c r="E254" s="66">
        <v>1.0</v>
      </c>
      <c r="F254" s="66">
        <v>0.522</v>
      </c>
      <c r="G254" s="66">
        <v>0.284</v>
      </c>
      <c r="H254" s="66" t="s">
        <v>277</v>
      </c>
      <c r="I254" s="82">
        <f t="shared" si="1"/>
        <v>0.838028169</v>
      </c>
      <c r="J254" s="82">
        <f t="shared" si="2"/>
        <v>0.5440613027</v>
      </c>
    </row>
    <row r="255">
      <c r="A255" s="83">
        <v>44663.0</v>
      </c>
      <c r="B255" s="66">
        <v>2331.0</v>
      </c>
      <c r="C255" s="66">
        <v>1.0</v>
      </c>
      <c r="D255" s="66" t="s">
        <v>227</v>
      </c>
      <c r="E255" s="66">
        <v>1.0</v>
      </c>
      <c r="F255" s="66">
        <v>0.4021</v>
      </c>
      <c r="G255" s="66">
        <v>0.2187</v>
      </c>
      <c r="I255" s="82">
        <f t="shared" si="1"/>
        <v>0.8385916781</v>
      </c>
      <c r="J255" s="82">
        <f t="shared" si="2"/>
        <v>0.5438945536</v>
      </c>
    </row>
    <row r="256">
      <c r="A256" s="83">
        <v>44663.0</v>
      </c>
      <c r="B256" s="66">
        <v>2331.0</v>
      </c>
      <c r="C256" s="66">
        <v>2.0</v>
      </c>
      <c r="D256" s="66" t="s">
        <v>228</v>
      </c>
      <c r="E256" s="66">
        <v>1.0</v>
      </c>
      <c r="F256" s="66">
        <v>0.1061</v>
      </c>
      <c r="G256" s="66">
        <v>0.0577</v>
      </c>
      <c r="H256" s="66" t="s">
        <v>276</v>
      </c>
      <c r="I256" s="82">
        <f t="shared" si="1"/>
        <v>0.8388214905</v>
      </c>
      <c r="J256" s="82">
        <f t="shared" si="2"/>
        <v>0.5438265787</v>
      </c>
    </row>
    <row r="257">
      <c r="A257" s="83">
        <v>44663.0</v>
      </c>
      <c r="B257" s="66">
        <v>2331.0</v>
      </c>
      <c r="C257" s="66">
        <v>2.0</v>
      </c>
      <c r="D257" s="66" t="s">
        <v>228</v>
      </c>
      <c r="E257" s="66">
        <v>1.0</v>
      </c>
      <c r="F257" s="66">
        <v>1.1275</v>
      </c>
      <c r="G257" s="66">
        <v>0.613</v>
      </c>
      <c r="H257" s="66" t="s">
        <v>277</v>
      </c>
      <c r="I257" s="82">
        <f t="shared" si="1"/>
        <v>0.839314845</v>
      </c>
      <c r="J257" s="82">
        <f t="shared" si="2"/>
        <v>0.5436807095</v>
      </c>
    </row>
    <row r="258">
      <c r="A258" s="83">
        <v>44663.0</v>
      </c>
      <c r="B258" s="66">
        <v>2331.0</v>
      </c>
      <c r="C258" s="66">
        <v>2.0</v>
      </c>
      <c r="D258" s="66" t="s">
        <v>227</v>
      </c>
      <c r="E258" s="66">
        <v>1.0</v>
      </c>
      <c r="F258" s="66">
        <v>1.8023</v>
      </c>
      <c r="G258" s="66">
        <v>0.9798</v>
      </c>
      <c r="H258" s="66" t="s">
        <v>280</v>
      </c>
      <c r="I258" s="82">
        <f t="shared" si="1"/>
        <v>0.839457032</v>
      </c>
      <c r="J258" s="82">
        <f t="shared" si="2"/>
        <v>0.5436386839</v>
      </c>
    </row>
    <row r="259">
      <c r="A259" s="83">
        <v>44663.0</v>
      </c>
      <c r="B259" s="66">
        <v>2331.0</v>
      </c>
      <c r="C259" s="66">
        <v>2.0</v>
      </c>
      <c r="D259" s="66" t="s">
        <v>227</v>
      </c>
      <c r="E259" s="66">
        <v>1.0</v>
      </c>
      <c r="F259" s="66">
        <v>0.563</v>
      </c>
      <c r="G259" s="66">
        <v>0.306</v>
      </c>
      <c r="H259" s="66" t="s">
        <v>277</v>
      </c>
      <c r="I259" s="82">
        <f t="shared" si="1"/>
        <v>0.839869281</v>
      </c>
      <c r="J259" s="82">
        <f t="shared" si="2"/>
        <v>0.5435168739</v>
      </c>
    </row>
    <row r="260">
      <c r="A260" s="83">
        <v>44663.0</v>
      </c>
      <c r="B260" s="66">
        <v>2343.0</v>
      </c>
      <c r="C260" s="66">
        <v>1.0</v>
      </c>
      <c r="D260" s="66" t="s">
        <v>228</v>
      </c>
      <c r="E260" s="66">
        <v>0.0</v>
      </c>
      <c r="F260" s="66">
        <v>0.414</v>
      </c>
      <c r="G260" s="66">
        <v>0.225</v>
      </c>
      <c r="H260" s="66" t="s">
        <v>277</v>
      </c>
      <c r="I260" s="82">
        <f t="shared" si="1"/>
        <v>0.84</v>
      </c>
      <c r="J260" s="82">
        <f t="shared" si="2"/>
        <v>0.5434782609</v>
      </c>
    </row>
    <row r="261">
      <c r="A261" s="83">
        <v>44663.0</v>
      </c>
      <c r="B261" s="66">
        <v>2343.0</v>
      </c>
      <c r="C261" s="66">
        <v>1.0</v>
      </c>
      <c r="D261" s="66" t="s">
        <v>227</v>
      </c>
      <c r="E261" s="66">
        <v>0.0</v>
      </c>
      <c r="F261" s="66">
        <v>3.8794</v>
      </c>
      <c r="G261" s="66">
        <v>2.108</v>
      </c>
      <c r="H261" s="66" t="s">
        <v>276</v>
      </c>
      <c r="I261" s="82">
        <f t="shared" si="1"/>
        <v>0.8403225806</v>
      </c>
      <c r="J261" s="82">
        <f t="shared" si="2"/>
        <v>0.5433829974</v>
      </c>
    </row>
    <row r="262">
      <c r="A262" s="83">
        <v>44663.0</v>
      </c>
      <c r="B262" s="66">
        <v>2343.0</v>
      </c>
      <c r="C262" s="66">
        <v>2.0</v>
      </c>
      <c r="D262" s="66" t="s">
        <v>228</v>
      </c>
      <c r="E262" s="66">
        <v>0.0</v>
      </c>
      <c r="F262" s="66">
        <v>0.2632</v>
      </c>
      <c r="G262" s="66">
        <v>0.143</v>
      </c>
      <c r="H262" s="66" t="s">
        <v>277</v>
      </c>
      <c r="I262" s="82">
        <f t="shared" si="1"/>
        <v>0.8405594406</v>
      </c>
      <c r="J262" s="82">
        <f t="shared" si="2"/>
        <v>0.5433130699</v>
      </c>
    </row>
    <row r="263">
      <c r="A263" s="83">
        <v>44663.0</v>
      </c>
      <c r="B263" s="66">
        <v>2343.0</v>
      </c>
      <c r="C263" s="66">
        <v>2.0</v>
      </c>
      <c r="D263" s="66" t="s">
        <v>227</v>
      </c>
      <c r="E263" s="66">
        <v>0.0</v>
      </c>
      <c r="F263" s="66">
        <v>0.2281</v>
      </c>
      <c r="G263" s="66">
        <v>0.1239</v>
      </c>
      <c r="H263" s="66" t="s">
        <v>280</v>
      </c>
      <c r="I263" s="82">
        <f t="shared" si="1"/>
        <v>0.8410008071</v>
      </c>
      <c r="J263" s="82">
        <f t="shared" si="2"/>
        <v>0.5431828146</v>
      </c>
    </row>
    <row r="264">
      <c r="A264" s="83">
        <v>44663.0</v>
      </c>
      <c r="B264" s="66">
        <v>2343.0</v>
      </c>
      <c r="C264" s="66">
        <v>3.0</v>
      </c>
      <c r="D264" s="66" t="s">
        <v>228</v>
      </c>
      <c r="E264" s="66">
        <v>0.0</v>
      </c>
      <c r="F264" s="66">
        <v>0.3161</v>
      </c>
      <c r="G264" s="66">
        <v>0.1715</v>
      </c>
      <c r="I264" s="82">
        <f t="shared" si="1"/>
        <v>0.843148688</v>
      </c>
      <c r="J264" s="82">
        <f t="shared" si="2"/>
        <v>0.542549826</v>
      </c>
    </row>
    <row r="265">
      <c r="A265" s="83">
        <v>44663.0</v>
      </c>
      <c r="B265" s="66">
        <v>2343.0</v>
      </c>
      <c r="C265" s="66">
        <v>3.0</v>
      </c>
      <c r="D265" s="66" t="s">
        <v>227</v>
      </c>
      <c r="E265" s="66">
        <v>0.0</v>
      </c>
      <c r="F265" s="66">
        <v>0.3005</v>
      </c>
      <c r="G265" s="66">
        <v>0.163</v>
      </c>
      <c r="I265" s="82">
        <f t="shared" si="1"/>
        <v>0.8435582822</v>
      </c>
      <c r="J265" s="82">
        <f t="shared" si="2"/>
        <v>0.5424292845</v>
      </c>
    </row>
    <row r="266">
      <c r="A266" s="83">
        <v>44663.0</v>
      </c>
      <c r="B266" s="66">
        <v>2346.0</v>
      </c>
      <c r="C266" s="66">
        <v>1.0</v>
      </c>
      <c r="D266" s="66" t="s">
        <v>228</v>
      </c>
      <c r="E266" s="66">
        <v>0.0</v>
      </c>
      <c r="F266" s="66">
        <v>0.083</v>
      </c>
      <c r="G266" s="66">
        <v>0.045</v>
      </c>
      <c r="H266" s="66" t="s">
        <v>277</v>
      </c>
      <c r="I266" s="82">
        <f t="shared" si="1"/>
        <v>0.8444444444</v>
      </c>
      <c r="J266" s="82">
        <f t="shared" si="2"/>
        <v>0.5421686747</v>
      </c>
    </row>
    <row r="267">
      <c r="A267" s="83">
        <v>44663.0</v>
      </c>
      <c r="B267" s="66">
        <v>2346.0</v>
      </c>
      <c r="C267" s="66">
        <v>1.0</v>
      </c>
      <c r="D267" s="66" t="s">
        <v>228</v>
      </c>
      <c r="E267" s="66">
        <v>1.0</v>
      </c>
      <c r="F267" s="66">
        <v>0.1033</v>
      </c>
      <c r="G267" s="66">
        <v>0.056</v>
      </c>
      <c r="I267" s="82">
        <f t="shared" si="1"/>
        <v>0.8446428571</v>
      </c>
      <c r="J267" s="82">
        <f t="shared" si="2"/>
        <v>0.5421103582</v>
      </c>
    </row>
    <row r="268">
      <c r="A268" s="83">
        <v>44663.0</v>
      </c>
      <c r="B268" s="66">
        <v>2346.0</v>
      </c>
      <c r="C268" s="66">
        <v>1.0</v>
      </c>
      <c r="D268" s="66" t="s">
        <v>227</v>
      </c>
      <c r="E268" s="66">
        <v>0.0</v>
      </c>
      <c r="F268" s="66">
        <v>1.037</v>
      </c>
      <c r="G268" s="66">
        <v>0.562</v>
      </c>
      <c r="H268" s="66" t="s">
        <v>277</v>
      </c>
      <c r="I268" s="82">
        <f t="shared" si="1"/>
        <v>0.8451957295</v>
      </c>
      <c r="J268" s="82">
        <f t="shared" si="2"/>
        <v>0.5419479267</v>
      </c>
    </row>
    <row r="269">
      <c r="A269" s="83">
        <v>44663.0</v>
      </c>
      <c r="B269" s="66">
        <v>2346.0</v>
      </c>
      <c r="C269" s="66">
        <v>1.0</v>
      </c>
      <c r="D269" s="66" t="s">
        <v>227</v>
      </c>
      <c r="E269" s="66">
        <v>1.0</v>
      </c>
      <c r="F269" s="66">
        <v>1.047</v>
      </c>
      <c r="G269" s="66">
        <v>0.5672</v>
      </c>
      <c r="H269" s="66" t="s">
        <v>277</v>
      </c>
      <c r="I269" s="82">
        <f t="shared" si="1"/>
        <v>0.845909732</v>
      </c>
      <c r="J269" s="82">
        <f t="shared" si="2"/>
        <v>0.5417382999</v>
      </c>
    </row>
    <row r="270">
      <c r="A270" s="83">
        <v>44663.0</v>
      </c>
      <c r="B270" s="66">
        <v>2346.0</v>
      </c>
      <c r="C270" s="66">
        <v>2.0</v>
      </c>
      <c r="D270" s="66" t="s">
        <v>228</v>
      </c>
      <c r="E270" s="66">
        <v>0.0</v>
      </c>
      <c r="F270" s="66">
        <v>0.6223</v>
      </c>
      <c r="G270" s="66">
        <v>0.337</v>
      </c>
      <c r="H270" s="66" t="s">
        <v>277</v>
      </c>
      <c r="I270" s="82">
        <f t="shared" si="1"/>
        <v>0.8465875371</v>
      </c>
      <c r="J270" s="82">
        <f t="shared" si="2"/>
        <v>0.5415394504</v>
      </c>
    </row>
    <row r="271">
      <c r="A271" s="83">
        <v>44663.0</v>
      </c>
      <c r="B271" s="66">
        <v>2346.0</v>
      </c>
      <c r="C271" s="66">
        <v>2.0</v>
      </c>
      <c r="D271" s="66" t="s">
        <v>227</v>
      </c>
      <c r="E271" s="66">
        <v>0.0</v>
      </c>
      <c r="F271" s="66">
        <v>1.262</v>
      </c>
      <c r="G271" s="66">
        <v>0.683</v>
      </c>
      <c r="H271" s="66" t="s">
        <v>277</v>
      </c>
      <c r="I271" s="82">
        <f t="shared" si="1"/>
        <v>0.8477306003</v>
      </c>
      <c r="J271" s="82">
        <f t="shared" si="2"/>
        <v>0.5412044374</v>
      </c>
    </row>
    <row r="272">
      <c r="A272" s="83">
        <v>44663.0</v>
      </c>
      <c r="B272" s="66">
        <v>2346.0</v>
      </c>
      <c r="C272" s="66">
        <v>3.0</v>
      </c>
      <c r="D272" s="66" t="s">
        <v>228</v>
      </c>
      <c r="E272" s="66">
        <v>0.0</v>
      </c>
      <c r="F272" s="66">
        <v>0.3968</v>
      </c>
      <c r="G272" s="66">
        <v>0.2147</v>
      </c>
      <c r="H272" s="66" t="s">
        <v>280</v>
      </c>
      <c r="I272" s="82">
        <f t="shared" si="1"/>
        <v>0.8481602236</v>
      </c>
      <c r="J272" s="82">
        <f t="shared" si="2"/>
        <v>0.541078629</v>
      </c>
    </row>
    <row r="273">
      <c r="A273" s="83">
        <v>44663.0</v>
      </c>
      <c r="B273" s="66">
        <v>2346.0</v>
      </c>
      <c r="C273" s="66">
        <v>3.0</v>
      </c>
      <c r="D273" s="66" t="s">
        <v>227</v>
      </c>
      <c r="E273" s="66">
        <v>0.0</v>
      </c>
      <c r="F273" s="66">
        <v>0.3436</v>
      </c>
      <c r="G273" s="66">
        <v>0.1859</v>
      </c>
      <c r="I273" s="82">
        <f t="shared" si="1"/>
        <v>0.8483055406</v>
      </c>
      <c r="J273" s="82">
        <f t="shared" si="2"/>
        <v>0.5410360885</v>
      </c>
    </row>
    <row r="274">
      <c r="A274" s="83">
        <v>44663.0</v>
      </c>
      <c r="B274" s="66">
        <v>2347.0</v>
      </c>
      <c r="C274" s="66">
        <v>1.0</v>
      </c>
      <c r="D274" s="66" t="s">
        <v>228</v>
      </c>
      <c r="E274" s="66">
        <v>0.0</v>
      </c>
      <c r="F274" s="66">
        <v>0.4345</v>
      </c>
      <c r="G274" s="66">
        <v>0.235</v>
      </c>
      <c r="I274" s="82">
        <f t="shared" si="1"/>
        <v>0.8489361702</v>
      </c>
      <c r="J274" s="82">
        <f t="shared" si="2"/>
        <v>0.5408515535</v>
      </c>
    </row>
    <row r="275">
      <c r="A275" s="83">
        <v>44663.0</v>
      </c>
      <c r="B275" s="66">
        <v>2347.0</v>
      </c>
      <c r="C275" s="66">
        <v>1.0</v>
      </c>
      <c r="D275" s="66" t="s">
        <v>227</v>
      </c>
      <c r="E275" s="66">
        <v>0.0</v>
      </c>
      <c r="F275" s="66">
        <v>0.2367</v>
      </c>
      <c r="G275" s="66">
        <v>0.128</v>
      </c>
      <c r="I275" s="82">
        <f t="shared" si="1"/>
        <v>0.84921875</v>
      </c>
      <c r="J275" s="82">
        <f t="shared" si="2"/>
        <v>0.5407689058</v>
      </c>
    </row>
    <row r="276">
      <c r="A276" s="83">
        <v>44663.0</v>
      </c>
      <c r="B276" s="66">
        <v>2347.0</v>
      </c>
      <c r="C276" s="66">
        <v>2.0</v>
      </c>
      <c r="D276" s="66" t="s">
        <v>228</v>
      </c>
      <c r="E276" s="66">
        <v>0.0</v>
      </c>
      <c r="F276" s="66">
        <v>0.1452</v>
      </c>
      <c r="G276" s="66">
        <v>0.0785</v>
      </c>
      <c r="I276" s="82">
        <f t="shared" si="1"/>
        <v>0.8496815287</v>
      </c>
      <c r="J276" s="82">
        <f t="shared" si="2"/>
        <v>0.5406336088</v>
      </c>
    </row>
    <row r="277">
      <c r="A277" s="83">
        <v>44663.0</v>
      </c>
      <c r="B277" s="66">
        <v>2347.0</v>
      </c>
      <c r="C277" s="66">
        <v>2.0</v>
      </c>
      <c r="D277" s="66" t="s">
        <v>227</v>
      </c>
      <c r="E277" s="66">
        <v>0.0</v>
      </c>
      <c r="F277" s="66">
        <v>6.191</v>
      </c>
      <c r="G277" s="66">
        <v>3.347</v>
      </c>
      <c r="H277" s="66" t="s">
        <v>278</v>
      </c>
      <c r="I277" s="82">
        <f t="shared" si="1"/>
        <v>0.8497161637</v>
      </c>
      <c r="J277" s="82">
        <f t="shared" si="2"/>
        <v>0.5406234857</v>
      </c>
    </row>
    <row r="278">
      <c r="A278" s="83">
        <v>44663.0</v>
      </c>
      <c r="B278" s="66">
        <v>2347.0</v>
      </c>
      <c r="C278" s="66">
        <v>3.0</v>
      </c>
      <c r="D278" s="66" t="s">
        <v>228</v>
      </c>
      <c r="E278" s="66">
        <v>0.0</v>
      </c>
      <c r="F278" s="66">
        <v>1.2636</v>
      </c>
      <c r="G278" s="66">
        <v>0.683</v>
      </c>
      <c r="I278" s="82">
        <f t="shared" si="1"/>
        <v>0.8500732064</v>
      </c>
      <c r="J278" s="82">
        <f t="shared" si="2"/>
        <v>0.5405191516</v>
      </c>
    </row>
    <row r="279">
      <c r="A279" s="83">
        <v>44663.0</v>
      </c>
      <c r="B279" s="66">
        <v>2347.0</v>
      </c>
      <c r="C279" s="66">
        <v>3.0</v>
      </c>
      <c r="D279" s="66" t="s">
        <v>227</v>
      </c>
      <c r="E279" s="66">
        <v>0.0</v>
      </c>
      <c r="F279" s="66">
        <v>0.853</v>
      </c>
      <c r="G279" s="66">
        <v>0.461</v>
      </c>
      <c r="I279" s="82">
        <f t="shared" si="1"/>
        <v>0.8503253796</v>
      </c>
      <c r="J279" s="82">
        <f t="shared" si="2"/>
        <v>0.5404454865</v>
      </c>
    </row>
    <row r="280">
      <c r="A280" s="83">
        <v>44663.0</v>
      </c>
      <c r="B280" s="66">
        <v>2348.0</v>
      </c>
      <c r="C280" s="66">
        <v>1.0</v>
      </c>
      <c r="D280" s="66" t="s">
        <v>228</v>
      </c>
      <c r="E280" s="66">
        <v>0.0</v>
      </c>
      <c r="F280" s="66">
        <v>1.1251</v>
      </c>
      <c r="G280" s="66">
        <v>0.608</v>
      </c>
      <c r="H280" s="66" t="s">
        <v>277</v>
      </c>
      <c r="I280" s="82">
        <f t="shared" si="1"/>
        <v>0.8504934211</v>
      </c>
      <c r="J280" s="82">
        <f t="shared" si="2"/>
        <v>0.5403964092</v>
      </c>
    </row>
    <row r="281">
      <c r="A281" s="83">
        <v>44663.0</v>
      </c>
      <c r="B281" s="66">
        <v>2348.0</v>
      </c>
      <c r="C281" s="66">
        <v>1.0</v>
      </c>
      <c r="D281" s="66" t="s">
        <v>227</v>
      </c>
      <c r="E281" s="66">
        <v>0.0</v>
      </c>
      <c r="F281" s="66">
        <v>0.5237</v>
      </c>
      <c r="G281" s="66">
        <v>0.283</v>
      </c>
      <c r="I281" s="82">
        <f t="shared" si="1"/>
        <v>0.8505300353</v>
      </c>
      <c r="J281" s="82">
        <f t="shared" si="2"/>
        <v>0.540385717</v>
      </c>
    </row>
    <row r="282">
      <c r="A282" s="83">
        <v>44663.0</v>
      </c>
      <c r="B282" s="66">
        <v>2348.0</v>
      </c>
      <c r="C282" s="66">
        <v>2.0</v>
      </c>
      <c r="D282" s="66" t="s">
        <v>228</v>
      </c>
      <c r="E282" s="66">
        <v>0.0</v>
      </c>
      <c r="F282" s="66">
        <v>1.3244</v>
      </c>
      <c r="G282" s="66">
        <v>0.7156</v>
      </c>
      <c r="I282" s="82">
        <f t="shared" si="1"/>
        <v>0.8507546115</v>
      </c>
      <c r="J282" s="82">
        <f t="shared" si="2"/>
        <v>0.540320145</v>
      </c>
    </row>
    <row r="283">
      <c r="A283" s="83">
        <v>44663.0</v>
      </c>
      <c r="B283" s="66">
        <v>2348.0</v>
      </c>
      <c r="C283" s="66">
        <v>2.0</v>
      </c>
      <c r="D283" s="66" t="s">
        <v>227</v>
      </c>
      <c r="E283" s="66">
        <v>0.0</v>
      </c>
      <c r="F283" s="66">
        <v>1.451</v>
      </c>
      <c r="G283" s="66">
        <v>0.784</v>
      </c>
      <c r="H283" s="66" t="s">
        <v>277</v>
      </c>
      <c r="I283" s="82">
        <f t="shared" si="1"/>
        <v>0.8507653061</v>
      </c>
      <c r="J283" s="82">
        <f t="shared" si="2"/>
        <v>0.5403170227</v>
      </c>
    </row>
    <row r="284">
      <c r="A284" s="83">
        <v>44663.0</v>
      </c>
      <c r="B284" s="66">
        <v>2348.0</v>
      </c>
      <c r="C284" s="66">
        <v>3.0</v>
      </c>
      <c r="D284" s="66" t="s">
        <v>228</v>
      </c>
      <c r="E284" s="66">
        <v>0.0</v>
      </c>
      <c r="F284" s="66">
        <v>0.5868</v>
      </c>
      <c r="G284" s="66">
        <v>0.317</v>
      </c>
      <c r="I284" s="82">
        <f t="shared" si="1"/>
        <v>0.8511041009</v>
      </c>
      <c r="J284" s="82">
        <f t="shared" si="2"/>
        <v>0.5402181322</v>
      </c>
    </row>
    <row r="285">
      <c r="A285" s="83">
        <v>44663.0</v>
      </c>
      <c r="B285" s="66">
        <v>2348.0</v>
      </c>
      <c r="C285" s="66">
        <v>3.0</v>
      </c>
      <c r="D285" s="66" t="s">
        <v>227</v>
      </c>
      <c r="E285" s="66">
        <v>0.0</v>
      </c>
      <c r="F285" s="66">
        <v>0.1272</v>
      </c>
      <c r="G285" s="66">
        <v>0.0687</v>
      </c>
      <c r="I285" s="82">
        <f t="shared" si="1"/>
        <v>0.8515283843</v>
      </c>
      <c r="J285" s="82">
        <f t="shared" si="2"/>
        <v>0.5400943396</v>
      </c>
    </row>
    <row r="286">
      <c r="A286" s="83">
        <v>44663.0</v>
      </c>
      <c r="B286" s="66">
        <v>2349.0</v>
      </c>
      <c r="C286" s="66">
        <v>1.0</v>
      </c>
      <c r="D286" s="66" t="s">
        <v>228</v>
      </c>
      <c r="E286" s="66">
        <v>0.0</v>
      </c>
      <c r="F286" s="66">
        <v>0.6109</v>
      </c>
      <c r="G286" s="66">
        <v>0.3299</v>
      </c>
      <c r="I286" s="82">
        <f t="shared" si="1"/>
        <v>0.8517732646</v>
      </c>
      <c r="J286" s="82">
        <f t="shared" si="2"/>
        <v>0.540022917</v>
      </c>
    </row>
    <row r="287">
      <c r="A287" s="83">
        <v>44663.0</v>
      </c>
      <c r="B287" s="66">
        <v>2349.0</v>
      </c>
      <c r="C287" s="66">
        <v>1.0</v>
      </c>
      <c r="D287" s="66" t="s">
        <v>227</v>
      </c>
      <c r="E287" s="66">
        <v>0.0</v>
      </c>
      <c r="F287" s="66">
        <v>0.3596</v>
      </c>
      <c r="G287" s="66">
        <v>0.194</v>
      </c>
      <c r="H287" s="66" t="s">
        <v>277</v>
      </c>
      <c r="I287" s="82">
        <f t="shared" si="1"/>
        <v>0.8536082474</v>
      </c>
      <c r="J287" s="82">
        <f t="shared" si="2"/>
        <v>0.5394883204</v>
      </c>
    </row>
    <row r="288">
      <c r="A288" s="83">
        <v>44663.0</v>
      </c>
      <c r="B288" s="66">
        <v>2349.0</v>
      </c>
      <c r="C288" s="66">
        <v>2.0</v>
      </c>
      <c r="D288" s="66" t="s">
        <v>228</v>
      </c>
      <c r="E288" s="66">
        <v>0.0</v>
      </c>
      <c r="F288" s="66">
        <v>0.547</v>
      </c>
      <c r="G288" s="66">
        <v>0.295</v>
      </c>
      <c r="H288" s="66" t="s">
        <v>277</v>
      </c>
      <c r="I288" s="82">
        <f t="shared" si="1"/>
        <v>0.8542372881</v>
      </c>
      <c r="J288" s="82">
        <f t="shared" si="2"/>
        <v>0.5393053016</v>
      </c>
    </row>
    <row r="289">
      <c r="A289" s="83">
        <v>44663.0</v>
      </c>
      <c r="B289" s="66">
        <v>2349.0</v>
      </c>
      <c r="C289" s="66">
        <v>2.0</v>
      </c>
      <c r="D289" s="66" t="s">
        <v>227</v>
      </c>
      <c r="E289" s="66">
        <v>0.0</v>
      </c>
      <c r="F289" s="66">
        <v>0.5694</v>
      </c>
      <c r="G289" s="66">
        <v>0.307</v>
      </c>
      <c r="H289" s="66" t="s">
        <v>277</v>
      </c>
      <c r="I289" s="82">
        <f t="shared" si="1"/>
        <v>0.854723127</v>
      </c>
      <c r="J289" s="82">
        <f t="shared" si="2"/>
        <v>0.5391640323</v>
      </c>
    </row>
    <row r="290">
      <c r="A290" s="83">
        <v>44663.0</v>
      </c>
      <c r="B290" s="66">
        <v>2349.0</v>
      </c>
      <c r="C290" s="66">
        <v>3.0</v>
      </c>
      <c r="D290" s="66" t="s">
        <v>228</v>
      </c>
      <c r="E290" s="66">
        <v>0.0</v>
      </c>
      <c r="F290" s="66">
        <v>0.4188</v>
      </c>
      <c r="G290" s="66">
        <v>0.2257</v>
      </c>
      <c r="H290" s="66" t="s">
        <v>276</v>
      </c>
      <c r="I290" s="82">
        <f t="shared" si="1"/>
        <v>0.8555604785</v>
      </c>
      <c r="J290" s="82">
        <f t="shared" si="2"/>
        <v>0.5389207259</v>
      </c>
    </row>
    <row r="291">
      <c r="A291" s="83">
        <v>44663.0</v>
      </c>
      <c r="B291" s="66">
        <v>2349.0</v>
      </c>
      <c r="C291" s="66">
        <v>3.0</v>
      </c>
      <c r="D291" s="66" t="s">
        <v>227</v>
      </c>
      <c r="E291" s="66">
        <v>0.0</v>
      </c>
      <c r="F291" s="66">
        <v>0.505</v>
      </c>
      <c r="G291" s="66">
        <v>0.272</v>
      </c>
      <c r="H291" s="66" t="s">
        <v>277</v>
      </c>
      <c r="I291" s="82">
        <f t="shared" si="1"/>
        <v>0.8566176471</v>
      </c>
      <c r="J291" s="82">
        <f t="shared" si="2"/>
        <v>0.5386138614</v>
      </c>
    </row>
    <row r="292">
      <c r="A292" s="83">
        <v>44663.0</v>
      </c>
      <c r="B292" s="66">
        <v>2351.0</v>
      </c>
      <c r="C292" s="66">
        <v>1.0</v>
      </c>
      <c r="D292" s="66" t="s">
        <v>228</v>
      </c>
      <c r="E292" s="66">
        <v>0.0</v>
      </c>
      <c r="F292" s="66">
        <v>0.9165</v>
      </c>
      <c r="G292" s="66">
        <v>0.493</v>
      </c>
      <c r="I292" s="82">
        <f t="shared" si="1"/>
        <v>0.8590263692</v>
      </c>
      <c r="J292" s="82">
        <f t="shared" si="2"/>
        <v>0.5379159847</v>
      </c>
    </row>
    <row r="293">
      <c r="A293" s="83">
        <v>44663.0</v>
      </c>
      <c r="B293" s="66">
        <v>2351.0</v>
      </c>
      <c r="C293" s="66">
        <v>1.0</v>
      </c>
      <c r="D293" s="66" t="s">
        <v>227</v>
      </c>
      <c r="E293" s="66">
        <v>0.0</v>
      </c>
      <c r="F293" s="66">
        <v>0.4276</v>
      </c>
      <c r="G293" s="66">
        <v>0.23</v>
      </c>
      <c r="H293" s="66" t="s">
        <v>277</v>
      </c>
      <c r="I293" s="82">
        <f t="shared" si="1"/>
        <v>0.8591304348</v>
      </c>
      <c r="J293" s="82">
        <f t="shared" si="2"/>
        <v>0.5378858746</v>
      </c>
    </row>
    <row r="294">
      <c r="A294" s="83">
        <v>44663.0</v>
      </c>
      <c r="B294" s="66">
        <v>2351.0</v>
      </c>
      <c r="C294" s="66">
        <v>2.0</v>
      </c>
      <c r="D294" s="66" t="s">
        <v>228</v>
      </c>
      <c r="E294" s="66">
        <v>0.0</v>
      </c>
      <c r="F294" s="66">
        <v>0.1283</v>
      </c>
      <c r="G294" s="66">
        <v>0.069</v>
      </c>
      <c r="I294" s="82">
        <f t="shared" si="1"/>
        <v>0.8594202899</v>
      </c>
      <c r="J294" s="82">
        <f t="shared" si="2"/>
        <v>0.5378020265</v>
      </c>
    </row>
    <row r="295">
      <c r="A295" s="83">
        <v>44663.0</v>
      </c>
      <c r="B295" s="66">
        <v>2351.0</v>
      </c>
      <c r="C295" s="66">
        <v>2.0</v>
      </c>
      <c r="D295" s="66" t="s">
        <v>227</v>
      </c>
      <c r="E295" s="66">
        <v>0.0</v>
      </c>
      <c r="F295" s="66">
        <v>1.312</v>
      </c>
      <c r="G295" s="66">
        <v>0.7051</v>
      </c>
      <c r="I295" s="82">
        <f t="shared" si="1"/>
        <v>0.8607289746</v>
      </c>
      <c r="J295" s="82">
        <f t="shared" si="2"/>
        <v>0.5374237805</v>
      </c>
    </row>
    <row r="296">
      <c r="A296" s="83">
        <v>44663.0</v>
      </c>
      <c r="B296" s="66">
        <v>2351.0</v>
      </c>
      <c r="C296" s="66">
        <v>3.0</v>
      </c>
      <c r="D296" s="66" t="s">
        <v>228</v>
      </c>
      <c r="E296" s="66">
        <v>0.0</v>
      </c>
      <c r="F296" s="66">
        <v>1.6147</v>
      </c>
      <c r="G296" s="66">
        <v>0.8674</v>
      </c>
      <c r="H296" s="66" t="s">
        <v>280</v>
      </c>
      <c r="I296" s="82">
        <f t="shared" si="1"/>
        <v>0.8615402352</v>
      </c>
      <c r="J296" s="82">
        <f t="shared" si="2"/>
        <v>0.5371895708</v>
      </c>
    </row>
    <row r="297">
      <c r="A297" s="83">
        <v>44663.0</v>
      </c>
      <c r="B297" s="66">
        <v>2351.0</v>
      </c>
      <c r="C297" s="66">
        <v>3.0</v>
      </c>
      <c r="D297" s="66" t="s">
        <v>227</v>
      </c>
      <c r="E297" s="66">
        <v>0.0</v>
      </c>
      <c r="F297" s="66">
        <v>0.514</v>
      </c>
      <c r="G297" s="66">
        <v>0.276</v>
      </c>
      <c r="I297" s="82">
        <f t="shared" si="1"/>
        <v>0.8623188406</v>
      </c>
      <c r="J297" s="82">
        <f t="shared" si="2"/>
        <v>0.5369649805</v>
      </c>
    </row>
    <row r="298">
      <c r="A298" s="83">
        <v>44663.0</v>
      </c>
      <c r="B298" s="66">
        <v>2352.0</v>
      </c>
      <c r="C298" s="66">
        <v>1.0</v>
      </c>
      <c r="D298" s="66" t="s">
        <v>228</v>
      </c>
      <c r="E298" s="66">
        <v>1.0</v>
      </c>
      <c r="F298" s="66">
        <v>0.1505</v>
      </c>
      <c r="G298" s="66">
        <v>0.0808</v>
      </c>
      <c r="I298" s="82">
        <f t="shared" si="1"/>
        <v>0.8626237624</v>
      </c>
      <c r="J298" s="82">
        <f t="shared" si="2"/>
        <v>0.5368770764</v>
      </c>
    </row>
    <row r="299">
      <c r="A299" s="83">
        <v>44663.0</v>
      </c>
      <c r="B299" s="66">
        <v>2352.0</v>
      </c>
      <c r="C299" s="66">
        <v>1.0</v>
      </c>
      <c r="D299" s="66" t="s">
        <v>227</v>
      </c>
      <c r="E299" s="66">
        <v>1.0</v>
      </c>
      <c r="F299" s="66">
        <v>0.4117</v>
      </c>
      <c r="G299" s="66">
        <v>0.221</v>
      </c>
      <c r="H299" s="66" t="s">
        <v>277</v>
      </c>
      <c r="I299" s="82">
        <f t="shared" si="1"/>
        <v>0.8628959276</v>
      </c>
      <c r="J299" s="82">
        <f t="shared" si="2"/>
        <v>0.5367986398</v>
      </c>
    </row>
    <row r="300">
      <c r="A300" s="83">
        <v>44663.0</v>
      </c>
      <c r="B300" s="66">
        <v>2352.0</v>
      </c>
      <c r="C300" s="66">
        <v>2.0</v>
      </c>
      <c r="D300" s="66" t="s">
        <v>228</v>
      </c>
      <c r="E300" s="66">
        <v>1.0</v>
      </c>
      <c r="F300" s="66">
        <v>0.3633</v>
      </c>
      <c r="G300" s="66">
        <v>0.195</v>
      </c>
      <c r="I300" s="82">
        <f t="shared" si="1"/>
        <v>0.8630769231</v>
      </c>
      <c r="J300" s="82">
        <f t="shared" si="2"/>
        <v>0.5367464905</v>
      </c>
    </row>
    <row r="301">
      <c r="A301" s="83">
        <v>44663.0</v>
      </c>
      <c r="B301" s="66">
        <v>2352.0</v>
      </c>
      <c r="C301" s="66">
        <v>2.0</v>
      </c>
      <c r="D301" s="66" t="s">
        <v>227</v>
      </c>
      <c r="E301" s="66">
        <v>1.0</v>
      </c>
      <c r="F301" s="66">
        <v>0.7042</v>
      </c>
      <c r="G301" s="66">
        <v>0.3779</v>
      </c>
      <c r="H301" s="66" t="s">
        <v>280</v>
      </c>
      <c r="I301" s="82">
        <f t="shared" si="1"/>
        <v>0.8634559407</v>
      </c>
      <c r="J301" s="82">
        <f t="shared" si="2"/>
        <v>0.5366373189</v>
      </c>
    </row>
    <row r="302">
      <c r="A302" s="83">
        <v>44663.0</v>
      </c>
      <c r="B302" s="66">
        <v>2354.0</v>
      </c>
      <c r="C302" s="66">
        <v>1.0</v>
      </c>
      <c r="D302" s="66" t="s">
        <v>228</v>
      </c>
      <c r="E302" s="66">
        <v>0.0</v>
      </c>
      <c r="F302" s="66">
        <v>0.2143</v>
      </c>
      <c r="G302" s="66">
        <v>0.115</v>
      </c>
      <c r="I302" s="82">
        <f t="shared" si="1"/>
        <v>0.8634782609</v>
      </c>
      <c r="J302" s="82">
        <f t="shared" si="2"/>
        <v>0.5366308913</v>
      </c>
    </row>
    <row r="303">
      <c r="A303" s="83">
        <v>44663.0</v>
      </c>
      <c r="B303" s="66">
        <v>2354.0</v>
      </c>
      <c r="C303" s="66">
        <v>1.0</v>
      </c>
      <c r="D303" s="66" t="s">
        <v>228</v>
      </c>
      <c r="E303" s="66">
        <v>1.0</v>
      </c>
      <c r="F303" s="66">
        <v>1.3598</v>
      </c>
      <c r="G303" s="66">
        <v>0.7297</v>
      </c>
      <c r="I303" s="82">
        <f t="shared" si="1"/>
        <v>0.8635055502</v>
      </c>
      <c r="J303" s="82">
        <f t="shared" si="2"/>
        <v>0.5366230328</v>
      </c>
    </row>
    <row r="304">
      <c r="A304" s="83">
        <v>44663.0</v>
      </c>
      <c r="B304" s="66">
        <v>2354.0</v>
      </c>
      <c r="C304" s="66">
        <v>1.0</v>
      </c>
      <c r="D304" s="66" t="s">
        <v>227</v>
      </c>
      <c r="E304" s="66">
        <v>0.0</v>
      </c>
      <c r="F304" s="66">
        <v>0.5368</v>
      </c>
      <c r="G304" s="66">
        <v>0.288</v>
      </c>
      <c r="I304" s="82">
        <f t="shared" si="1"/>
        <v>0.8638888889</v>
      </c>
      <c r="J304" s="82">
        <f t="shared" si="2"/>
        <v>0.5365126677</v>
      </c>
    </row>
    <row r="305">
      <c r="A305" s="83">
        <v>44663.0</v>
      </c>
      <c r="B305" s="66">
        <v>2354.0</v>
      </c>
      <c r="C305" s="66">
        <v>1.0</v>
      </c>
      <c r="D305" s="66" t="s">
        <v>227</v>
      </c>
      <c r="E305" s="66">
        <v>1.0</v>
      </c>
      <c r="F305" s="66">
        <v>0.468</v>
      </c>
      <c r="G305" s="66">
        <v>0.251</v>
      </c>
      <c r="H305" s="66" t="s">
        <v>277</v>
      </c>
      <c r="I305" s="82">
        <f t="shared" si="1"/>
        <v>0.8645418327</v>
      </c>
      <c r="J305" s="82">
        <f t="shared" si="2"/>
        <v>0.5363247863</v>
      </c>
    </row>
    <row r="306">
      <c r="A306" s="83">
        <v>44663.0</v>
      </c>
      <c r="B306" s="66">
        <v>2354.0</v>
      </c>
      <c r="C306" s="66">
        <v>2.0</v>
      </c>
      <c r="D306" s="66" t="s">
        <v>228</v>
      </c>
      <c r="E306" s="66">
        <v>0.0</v>
      </c>
      <c r="F306" s="66">
        <v>1.0341</v>
      </c>
      <c r="G306" s="66">
        <v>0.5544</v>
      </c>
      <c r="I306" s="82">
        <f t="shared" si="1"/>
        <v>0.8652597403</v>
      </c>
      <c r="J306" s="82">
        <f t="shared" si="2"/>
        <v>0.5361183638</v>
      </c>
    </row>
    <row r="307">
      <c r="A307" s="83">
        <v>44663.0</v>
      </c>
      <c r="B307" s="66">
        <v>2354.0</v>
      </c>
      <c r="C307" s="66">
        <v>2.0</v>
      </c>
      <c r="D307" s="66" t="s">
        <v>227</v>
      </c>
      <c r="E307" s="66">
        <v>0.0</v>
      </c>
      <c r="F307" s="66">
        <v>0.222</v>
      </c>
      <c r="G307" s="66">
        <v>0.119</v>
      </c>
      <c r="H307" s="66" t="s">
        <v>277</v>
      </c>
      <c r="I307" s="82">
        <f t="shared" si="1"/>
        <v>0.8655462185</v>
      </c>
      <c r="J307" s="82">
        <f t="shared" si="2"/>
        <v>0.536036036</v>
      </c>
    </row>
    <row r="308">
      <c r="A308" s="83">
        <v>44663.0</v>
      </c>
      <c r="B308" s="66">
        <v>2354.0</v>
      </c>
      <c r="C308" s="66">
        <v>3.0</v>
      </c>
      <c r="D308" s="66" t="s">
        <v>228</v>
      </c>
      <c r="E308" s="66">
        <v>0.0</v>
      </c>
      <c r="F308" s="66">
        <v>0.4702</v>
      </c>
      <c r="G308" s="66">
        <v>0.252</v>
      </c>
      <c r="I308" s="82">
        <f t="shared" si="1"/>
        <v>0.8658730159</v>
      </c>
      <c r="J308" s="82">
        <f t="shared" si="2"/>
        <v>0.5359421523</v>
      </c>
    </row>
    <row r="309">
      <c r="A309" s="83">
        <v>44663.0</v>
      </c>
      <c r="B309" s="66">
        <v>2354.0</v>
      </c>
      <c r="C309" s="66">
        <v>3.0</v>
      </c>
      <c r="D309" s="66" t="s">
        <v>228</v>
      </c>
      <c r="E309" s="66">
        <v>1.0</v>
      </c>
      <c r="F309" s="66">
        <v>0.1499</v>
      </c>
      <c r="G309" s="66">
        <v>0.0803</v>
      </c>
      <c r="I309" s="82">
        <f t="shared" si="1"/>
        <v>0.8667496887</v>
      </c>
      <c r="J309" s="82">
        <f t="shared" si="2"/>
        <v>0.5356904603</v>
      </c>
    </row>
    <row r="310">
      <c r="A310" s="83">
        <v>44663.0</v>
      </c>
      <c r="B310" s="66">
        <v>2354.0</v>
      </c>
      <c r="C310" s="66">
        <v>3.0</v>
      </c>
      <c r="D310" s="66" t="s">
        <v>227</v>
      </c>
      <c r="E310" s="66">
        <v>0.0</v>
      </c>
      <c r="F310" s="66">
        <v>0.9894</v>
      </c>
      <c r="G310" s="66">
        <v>0.53</v>
      </c>
      <c r="H310" s="66" t="s">
        <v>277</v>
      </c>
      <c r="I310" s="82">
        <f t="shared" si="1"/>
        <v>0.8667924528</v>
      </c>
      <c r="J310" s="82">
        <f t="shared" si="2"/>
        <v>0.5356781888</v>
      </c>
    </row>
    <row r="311">
      <c r="A311" s="83">
        <v>44663.0</v>
      </c>
      <c r="B311" s="66">
        <v>2354.0</v>
      </c>
      <c r="C311" s="66">
        <v>3.0</v>
      </c>
      <c r="D311" s="66" t="s">
        <v>227</v>
      </c>
      <c r="E311" s="66">
        <v>1.0</v>
      </c>
      <c r="F311" s="66">
        <v>0.2539</v>
      </c>
      <c r="G311" s="66">
        <v>0.136</v>
      </c>
      <c r="H311" s="66" t="s">
        <v>277</v>
      </c>
      <c r="I311" s="82">
        <f t="shared" si="1"/>
        <v>0.8669117647</v>
      </c>
      <c r="J311" s="82">
        <f t="shared" si="2"/>
        <v>0.5356439543</v>
      </c>
    </row>
    <row r="312">
      <c r="A312" s="83">
        <v>44663.0</v>
      </c>
      <c r="B312" s="66">
        <v>2370.0</v>
      </c>
      <c r="C312" s="66">
        <v>1.0</v>
      </c>
      <c r="D312" s="66" t="s">
        <v>228</v>
      </c>
      <c r="E312" s="66">
        <v>0.0</v>
      </c>
      <c r="F312" s="66">
        <v>0.7805</v>
      </c>
      <c r="G312" s="66">
        <v>0.418</v>
      </c>
      <c r="I312" s="82">
        <f t="shared" si="1"/>
        <v>0.8672248804</v>
      </c>
      <c r="J312" s="82">
        <f t="shared" si="2"/>
        <v>0.535554132</v>
      </c>
    </row>
    <row r="313">
      <c r="A313" s="83">
        <v>44663.0</v>
      </c>
      <c r="B313" s="66">
        <v>2370.0</v>
      </c>
      <c r="C313" s="66">
        <v>1.0</v>
      </c>
      <c r="D313" s="66" t="s">
        <v>227</v>
      </c>
      <c r="E313" s="66">
        <v>0.0</v>
      </c>
      <c r="F313" s="66">
        <v>1.5629</v>
      </c>
      <c r="G313" s="66">
        <v>0.837</v>
      </c>
      <c r="I313" s="82">
        <f t="shared" si="1"/>
        <v>0.8672640382</v>
      </c>
      <c r="J313" s="82">
        <f t="shared" si="2"/>
        <v>0.535542901</v>
      </c>
    </row>
    <row r="314">
      <c r="A314" s="83">
        <v>44663.0</v>
      </c>
      <c r="B314" s="66">
        <v>2370.0</v>
      </c>
      <c r="C314" s="66">
        <v>2.0</v>
      </c>
      <c r="D314" s="66" t="s">
        <v>228</v>
      </c>
      <c r="E314" s="66">
        <v>0.0</v>
      </c>
      <c r="F314" s="66">
        <v>0.4889</v>
      </c>
      <c r="G314" s="66">
        <v>0.2618</v>
      </c>
      <c r="I314" s="82">
        <f t="shared" si="1"/>
        <v>0.8674560733</v>
      </c>
      <c r="J314" s="82">
        <f t="shared" si="2"/>
        <v>0.5354878298</v>
      </c>
    </row>
    <row r="315">
      <c r="A315" s="83">
        <v>44663.0</v>
      </c>
      <c r="B315" s="66">
        <v>2370.0</v>
      </c>
      <c r="C315" s="66">
        <v>2.0</v>
      </c>
      <c r="D315" s="66" t="s">
        <v>227</v>
      </c>
      <c r="E315" s="66">
        <v>0.0</v>
      </c>
      <c r="F315" s="66">
        <v>2.706</v>
      </c>
      <c r="G315" s="66">
        <v>1.449</v>
      </c>
      <c r="H315" s="66" t="s">
        <v>277</v>
      </c>
      <c r="I315" s="82">
        <f t="shared" si="1"/>
        <v>0.867494824</v>
      </c>
      <c r="J315" s="82">
        <f t="shared" si="2"/>
        <v>0.5354767184</v>
      </c>
    </row>
    <row r="316">
      <c r="A316" s="83">
        <v>44663.0</v>
      </c>
      <c r="B316" s="66">
        <v>2370.0</v>
      </c>
      <c r="C316" s="66">
        <v>3.0</v>
      </c>
      <c r="D316" s="66" t="s">
        <v>228</v>
      </c>
      <c r="E316" s="66">
        <v>0.0</v>
      </c>
      <c r="F316" s="66">
        <v>2.6489</v>
      </c>
      <c r="G316" s="66">
        <v>1.4181</v>
      </c>
      <c r="I316" s="82">
        <f t="shared" si="1"/>
        <v>0.8679218673</v>
      </c>
      <c r="J316" s="82">
        <f t="shared" si="2"/>
        <v>0.535354298</v>
      </c>
    </row>
    <row r="317">
      <c r="A317" s="83">
        <v>44663.0</v>
      </c>
      <c r="B317" s="66">
        <v>2370.0</v>
      </c>
      <c r="C317" s="66">
        <v>3.0</v>
      </c>
      <c r="D317" s="66" t="s">
        <v>227</v>
      </c>
      <c r="E317" s="66">
        <v>0.0</v>
      </c>
      <c r="F317" s="66">
        <v>0.309</v>
      </c>
      <c r="G317" s="66">
        <v>0.1654</v>
      </c>
      <c r="H317" s="66" t="s">
        <v>280</v>
      </c>
      <c r="I317" s="82">
        <f t="shared" si="1"/>
        <v>0.8681983071</v>
      </c>
      <c r="J317" s="82">
        <f t="shared" si="2"/>
        <v>0.5352750809</v>
      </c>
    </row>
    <row r="318">
      <c r="A318" s="83">
        <v>44663.0</v>
      </c>
      <c r="B318" s="66">
        <v>2371.0</v>
      </c>
      <c r="C318" s="66">
        <v>1.0</v>
      </c>
      <c r="D318" s="66" t="s">
        <v>228</v>
      </c>
      <c r="E318" s="66">
        <v>0.0</v>
      </c>
      <c r="F318" s="66">
        <v>0.6048</v>
      </c>
      <c r="G318" s="66">
        <v>0.3237</v>
      </c>
      <c r="H318" s="66" t="s">
        <v>280</v>
      </c>
      <c r="I318" s="82">
        <f t="shared" si="1"/>
        <v>0.8683966636</v>
      </c>
      <c r="J318" s="82">
        <f t="shared" si="2"/>
        <v>0.535218254</v>
      </c>
    </row>
    <row r="319">
      <c r="A319" s="83">
        <v>44663.0</v>
      </c>
      <c r="B319" s="66">
        <v>2371.0</v>
      </c>
      <c r="C319" s="66">
        <v>1.0</v>
      </c>
      <c r="D319" s="66" t="s">
        <v>227</v>
      </c>
      <c r="E319" s="66">
        <v>0.0</v>
      </c>
      <c r="F319" s="66">
        <v>0.772</v>
      </c>
      <c r="G319" s="66">
        <v>0.4129</v>
      </c>
      <c r="H319" s="66" t="s">
        <v>280</v>
      </c>
      <c r="I319" s="82">
        <f t="shared" si="1"/>
        <v>0.869702107</v>
      </c>
      <c r="J319" s="82">
        <f t="shared" si="2"/>
        <v>0.5348445596</v>
      </c>
    </row>
    <row r="320">
      <c r="A320" s="83">
        <v>44663.0</v>
      </c>
      <c r="B320" s="66">
        <v>2371.0</v>
      </c>
      <c r="C320" s="66">
        <v>2.0</v>
      </c>
      <c r="D320" s="66" t="s">
        <v>228</v>
      </c>
      <c r="E320" s="66">
        <v>0.0</v>
      </c>
      <c r="F320" s="66">
        <v>0.2038</v>
      </c>
      <c r="G320" s="66">
        <v>0.109</v>
      </c>
      <c r="H320" s="66" t="s">
        <v>276</v>
      </c>
      <c r="I320" s="82">
        <f t="shared" si="1"/>
        <v>0.8697247706</v>
      </c>
      <c r="J320" s="82">
        <f t="shared" si="2"/>
        <v>0.5348380765</v>
      </c>
    </row>
    <row r="321">
      <c r="A321" s="83">
        <v>44663.0</v>
      </c>
      <c r="B321" s="66">
        <v>2371.0</v>
      </c>
      <c r="C321" s="66">
        <v>2.0</v>
      </c>
      <c r="D321" s="66" t="s">
        <v>227</v>
      </c>
      <c r="E321" s="66">
        <v>0.0</v>
      </c>
      <c r="F321" s="66">
        <v>0.907</v>
      </c>
      <c r="G321" s="66">
        <v>0.485</v>
      </c>
      <c r="H321" s="66" t="s">
        <v>277</v>
      </c>
      <c r="I321" s="82">
        <f t="shared" si="1"/>
        <v>0.8701030928</v>
      </c>
      <c r="J321" s="82">
        <f t="shared" si="2"/>
        <v>0.5347298787</v>
      </c>
    </row>
    <row r="322">
      <c r="A322" s="83">
        <v>44663.0</v>
      </c>
      <c r="B322" s="66">
        <v>2372.0</v>
      </c>
      <c r="C322" s="66">
        <v>1.0</v>
      </c>
      <c r="D322" s="66" t="s">
        <v>228</v>
      </c>
      <c r="E322" s="66">
        <v>0.0</v>
      </c>
      <c r="F322" s="66">
        <v>0.1685</v>
      </c>
      <c r="G322" s="66">
        <v>0.0901</v>
      </c>
      <c r="H322" s="66" t="s">
        <v>276</v>
      </c>
      <c r="I322" s="82">
        <f t="shared" si="1"/>
        <v>0.8701442841</v>
      </c>
      <c r="J322" s="82">
        <f t="shared" si="2"/>
        <v>0.5347181009</v>
      </c>
    </row>
    <row r="323">
      <c r="A323" s="83">
        <v>44663.0</v>
      </c>
      <c r="B323" s="66">
        <v>2372.0</v>
      </c>
      <c r="C323" s="66">
        <v>1.0</v>
      </c>
      <c r="D323" s="66" t="s">
        <v>227</v>
      </c>
      <c r="E323" s="66">
        <v>0.0</v>
      </c>
      <c r="F323" s="66">
        <v>0.563</v>
      </c>
      <c r="G323" s="66">
        <v>0.301</v>
      </c>
      <c r="H323" s="66" t="s">
        <v>277</v>
      </c>
      <c r="I323" s="82">
        <f t="shared" si="1"/>
        <v>0.8704318937</v>
      </c>
      <c r="J323" s="82">
        <f t="shared" si="2"/>
        <v>0.5346358792</v>
      </c>
    </row>
    <row r="324">
      <c r="A324" s="83">
        <v>44663.0</v>
      </c>
      <c r="B324" s="66">
        <v>2372.0</v>
      </c>
      <c r="C324" s="66">
        <v>2.0</v>
      </c>
      <c r="D324" s="66" t="s">
        <v>228</v>
      </c>
      <c r="E324" s="66">
        <v>0.0</v>
      </c>
      <c r="F324" s="66">
        <v>0.9334</v>
      </c>
      <c r="G324" s="66">
        <v>0.4988</v>
      </c>
      <c r="I324" s="82">
        <f t="shared" si="1"/>
        <v>0.8712910986</v>
      </c>
      <c r="J324" s="82">
        <f t="shared" si="2"/>
        <v>0.5343904007</v>
      </c>
    </row>
    <row r="325">
      <c r="A325" s="83">
        <v>44663.0</v>
      </c>
      <c r="B325" s="66">
        <v>2372.0</v>
      </c>
      <c r="C325" s="66">
        <v>2.0</v>
      </c>
      <c r="D325" s="66" t="s">
        <v>227</v>
      </c>
      <c r="E325" s="66">
        <v>0.0</v>
      </c>
      <c r="F325" s="66">
        <v>1.3081</v>
      </c>
      <c r="G325" s="66">
        <v>0.6988</v>
      </c>
      <c r="I325" s="82">
        <f t="shared" si="1"/>
        <v>0.8719232971</v>
      </c>
      <c r="J325" s="82">
        <f t="shared" si="2"/>
        <v>0.5342099228</v>
      </c>
    </row>
    <row r="326">
      <c r="A326" s="83">
        <v>44665.0</v>
      </c>
      <c r="B326" s="66">
        <v>1478.0</v>
      </c>
      <c r="C326" s="66">
        <v>1.0</v>
      </c>
      <c r="D326" s="66" t="s">
        <v>228</v>
      </c>
      <c r="E326" s="66">
        <v>0.0</v>
      </c>
      <c r="F326" s="66">
        <v>0.0936</v>
      </c>
      <c r="G326" s="66">
        <v>0.05</v>
      </c>
      <c r="H326" s="66" t="s">
        <v>281</v>
      </c>
      <c r="I326" s="82">
        <f t="shared" si="1"/>
        <v>0.872</v>
      </c>
      <c r="J326" s="82">
        <f t="shared" si="2"/>
        <v>0.5341880342</v>
      </c>
    </row>
    <row r="327">
      <c r="A327" s="83">
        <v>44665.0</v>
      </c>
      <c r="B327" s="66">
        <v>1478.0</v>
      </c>
      <c r="C327" s="66">
        <v>1.0</v>
      </c>
      <c r="D327" s="66" t="s">
        <v>227</v>
      </c>
      <c r="E327" s="66">
        <v>0.0</v>
      </c>
      <c r="F327" s="66">
        <v>0.3408</v>
      </c>
      <c r="G327" s="66">
        <v>0.182</v>
      </c>
      <c r="H327" s="66" t="s">
        <v>276</v>
      </c>
      <c r="I327" s="82">
        <f t="shared" si="1"/>
        <v>0.8725274725</v>
      </c>
      <c r="J327" s="82">
        <f t="shared" si="2"/>
        <v>0.5340375587</v>
      </c>
    </row>
    <row r="328">
      <c r="A328" s="83">
        <v>44665.0</v>
      </c>
      <c r="B328" s="66">
        <v>1478.0</v>
      </c>
      <c r="C328" s="66">
        <v>1.0</v>
      </c>
      <c r="D328" s="66" t="s">
        <v>227</v>
      </c>
      <c r="E328" s="66">
        <v>1.0</v>
      </c>
      <c r="F328" s="66">
        <v>0.4458</v>
      </c>
      <c r="G328" s="66">
        <v>0.238</v>
      </c>
      <c r="I328" s="82">
        <f t="shared" si="1"/>
        <v>0.8731092437</v>
      </c>
      <c r="J328" s="82">
        <f t="shared" si="2"/>
        <v>0.5338716913</v>
      </c>
    </row>
    <row r="329">
      <c r="A329" s="83">
        <v>44665.0</v>
      </c>
      <c r="B329" s="66">
        <v>2004.0</v>
      </c>
      <c r="C329" s="66">
        <v>1.0</v>
      </c>
      <c r="D329" s="66" t="s">
        <v>228</v>
      </c>
      <c r="E329" s="66">
        <v>0.0</v>
      </c>
      <c r="F329" s="66">
        <v>0.3383</v>
      </c>
      <c r="G329" s="66">
        <v>0.1805</v>
      </c>
      <c r="H329" s="66" t="s">
        <v>280</v>
      </c>
      <c r="I329" s="82">
        <f t="shared" si="1"/>
        <v>0.8742382271</v>
      </c>
      <c r="J329" s="82">
        <f t="shared" si="2"/>
        <v>0.5335501035</v>
      </c>
    </row>
    <row r="330">
      <c r="A330" s="83">
        <v>44665.0</v>
      </c>
      <c r="B330" s="66">
        <v>2004.0</v>
      </c>
      <c r="C330" s="66">
        <v>1.0</v>
      </c>
      <c r="D330" s="66" t="s">
        <v>228</v>
      </c>
      <c r="E330" s="66">
        <v>0.0</v>
      </c>
      <c r="F330" s="66">
        <v>0.975</v>
      </c>
      <c r="G330" s="66">
        <v>0.5202</v>
      </c>
      <c r="H330" s="66" t="s">
        <v>280</v>
      </c>
      <c r="I330" s="82">
        <f t="shared" si="1"/>
        <v>0.8742791234</v>
      </c>
      <c r="J330" s="82">
        <f t="shared" si="2"/>
        <v>0.5335384615</v>
      </c>
    </row>
    <row r="331">
      <c r="A331" s="83">
        <v>44665.0</v>
      </c>
      <c r="B331" s="66">
        <v>2004.0</v>
      </c>
      <c r="C331" s="66">
        <v>1.0</v>
      </c>
      <c r="D331" s="66" t="s">
        <v>227</v>
      </c>
      <c r="E331" s="66">
        <v>0.0</v>
      </c>
      <c r="F331" s="66">
        <v>0.686</v>
      </c>
      <c r="G331" s="66">
        <v>0.366</v>
      </c>
      <c r="I331" s="82">
        <f t="shared" si="1"/>
        <v>0.8743169399</v>
      </c>
      <c r="J331" s="82">
        <f t="shared" si="2"/>
        <v>0.5335276968</v>
      </c>
    </row>
    <row r="332">
      <c r="A332" s="83">
        <v>44665.0</v>
      </c>
      <c r="B332" s="66">
        <v>2004.0</v>
      </c>
      <c r="C332" s="66">
        <v>1.0</v>
      </c>
      <c r="D332" s="66" t="s">
        <v>227</v>
      </c>
      <c r="E332" s="66">
        <v>1.0</v>
      </c>
      <c r="F332" s="66">
        <v>2.4629</v>
      </c>
      <c r="G332" s="66">
        <v>1.314</v>
      </c>
      <c r="I332" s="82">
        <f t="shared" si="1"/>
        <v>0.8743531202</v>
      </c>
      <c r="J332" s="82">
        <f t="shared" si="2"/>
        <v>0.5335173982</v>
      </c>
    </row>
    <row r="333">
      <c r="A333" s="83">
        <v>44665.0</v>
      </c>
      <c r="B333" s="66">
        <v>2004.0</v>
      </c>
      <c r="C333" s="66">
        <v>2.0</v>
      </c>
      <c r="D333" s="66" t="s">
        <v>227</v>
      </c>
      <c r="E333" s="66">
        <v>0.0</v>
      </c>
      <c r="F333" s="66">
        <v>0.1106</v>
      </c>
      <c r="G333" s="66">
        <v>0.059</v>
      </c>
      <c r="I333" s="82">
        <f t="shared" si="1"/>
        <v>0.8745762712</v>
      </c>
      <c r="J333" s="82">
        <f t="shared" si="2"/>
        <v>0.5334538879</v>
      </c>
    </row>
    <row r="334">
      <c r="A334" s="83">
        <v>44665.0</v>
      </c>
      <c r="B334" s="66">
        <v>2004.0</v>
      </c>
      <c r="C334" s="66">
        <v>2.0</v>
      </c>
      <c r="D334" s="66" t="s">
        <v>227</v>
      </c>
      <c r="E334" s="66">
        <v>1.0</v>
      </c>
      <c r="F334" s="66">
        <v>2.5116</v>
      </c>
      <c r="G334" s="66">
        <v>1.3398</v>
      </c>
      <c r="I334" s="82">
        <f t="shared" si="1"/>
        <v>0.8746081505</v>
      </c>
      <c r="J334" s="82">
        <f t="shared" si="2"/>
        <v>0.5334448161</v>
      </c>
    </row>
    <row r="335">
      <c r="A335" s="83">
        <v>44665.0</v>
      </c>
      <c r="B335" s="66">
        <v>2005.0</v>
      </c>
      <c r="C335" s="66">
        <v>1.0</v>
      </c>
      <c r="D335" s="66" t="s">
        <v>228</v>
      </c>
      <c r="E335" s="66">
        <v>0.0</v>
      </c>
      <c r="F335" s="66">
        <v>0.4009</v>
      </c>
      <c r="G335" s="66">
        <v>0.2138</v>
      </c>
      <c r="H335" s="66" t="s">
        <v>276</v>
      </c>
      <c r="I335" s="82">
        <f t="shared" si="1"/>
        <v>0.8751169317</v>
      </c>
      <c r="J335" s="82">
        <f t="shared" si="2"/>
        <v>0.5333000748</v>
      </c>
    </row>
    <row r="336">
      <c r="A336" s="83">
        <v>44665.0</v>
      </c>
      <c r="B336" s="66">
        <v>2005.0</v>
      </c>
      <c r="C336" s="66">
        <v>1.0</v>
      </c>
      <c r="D336" s="66" t="s">
        <v>227</v>
      </c>
      <c r="E336" s="66">
        <v>0.0</v>
      </c>
      <c r="F336" s="66">
        <v>1.4545</v>
      </c>
      <c r="G336" s="66">
        <v>0.775</v>
      </c>
      <c r="H336" s="66" t="s">
        <v>277</v>
      </c>
      <c r="I336" s="82">
        <f t="shared" si="1"/>
        <v>0.8767741935</v>
      </c>
      <c r="J336" s="82">
        <f t="shared" si="2"/>
        <v>0.5328291509</v>
      </c>
    </row>
    <row r="337">
      <c r="A337" s="83">
        <v>44665.0</v>
      </c>
      <c r="B337" s="66">
        <v>2005.0</v>
      </c>
      <c r="C337" s="66">
        <v>1.0</v>
      </c>
      <c r="D337" s="66" t="s">
        <v>227</v>
      </c>
      <c r="E337" s="66">
        <v>1.0</v>
      </c>
      <c r="F337" s="66">
        <v>0.4449</v>
      </c>
      <c r="G337" s="66">
        <v>0.237</v>
      </c>
      <c r="I337" s="82">
        <f t="shared" si="1"/>
        <v>0.8772151899</v>
      </c>
      <c r="J337" s="82">
        <f t="shared" si="2"/>
        <v>0.5327039784</v>
      </c>
    </row>
    <row r="338">
      <c r="A338" s="83">
        <v>44665.0</v>
      </c>
      <c r="B338" s="66">
        <v>2007.0</v>
      </c>
      <c r="C338" s="66">
        <v>1.0</v>
      </c>
      <c r="D338" s="66" t="s">
        <v>228</v>
      </c>
      <c r="E338" s="66">
        <v>0.0</v>
      </c>
      <c r="F338" s="66">
        <v>0.2855</v>
      </c>
      <c r="G338" s="66">
        <v>0.152</v>
      </c>
      <c r="H338" s="66" t="s">
        <v>276</v>
      </c>
      <c r="I338" s="82">
        <f t="shared" si="1"/>
        <v>0.8782894737</v>
      </c>
      <c r="J338" s="82">
        <f t="shared" si="2"/>
        <v>0.5323992995</v>
      </c>
    </row>
    <row r="339">
      <c r="A339" s="83">
        <v>44665.0</v>
      </c>
      <c r="B339" s="66">
        <v>2007.0</v>
      </c>
      <c r="C339" s="66">
        <v>1.0</v>
      </c>
      <c r="D339" s="66" t="s">
        <v>227</v>
      </c>
      <c r="E339" s="66">
        <v>0.0</v>
      </c>
      <c r="F339" s="66">
        <v>0.062</v>
      </c>
      <c r="G339" s="66">
        <v>0.033</v>
      </c>
      <c r="H339" s="66" t="s">
        <v>277</v>
      </c>
      <c r="I339" s="82">
        <f t="shared" si="1"/>
        <v>0.8787878788</v>
      </c>
      <c r="J339" s="82">
        <f t="shared" si="2"/>
        <v>0.5322580645</v>
      </c>
    </row>
    <row r="340">
      <c r="A340" s="83">
        <v>44665.0</v>
      </c>
      <c r="B340" s="66">
        <v>2007.0</v>
      </c>
      <c r="C340" s="66">
        <v>1.0</v>
      </c>
      <c r="D340" s="66" t="s">
        <v>227</v>
      </c>
      <c r="E340" s="66">
        <v>1.0</v>
      </c>
      <c r="F340" s="66">
        <v>0.2161</v>
      </c>
      <c r="G340" s="66">
        <v>0.115</v>
      </c>
      <c r="I340" s="82">
        <f t="shared" si="1"/>
        <v>0.8791304348</v>
      </c>
      <c r="J340" s="82">
        <f t="shared" si="2"/>
        <v>0.5321610366</v>
      </c>
    </row>
    <row r="341">
      <c r="A341" s="83">
        <v>44665.0</v>
      </c>
      <c r="B341" s="66">
        <v>2007.0</v>
      </c>
      <c r="C341" s="66">
        <v>2.0</v>
      </c>
      <c r="D341" s="66" t="s">
        <v>228</v>
      </c>
      <c r="E341" s="66">
        <v>0.0</v>
      </c>
      <c r="F341" s="66">
        <v>0.1996</v>
      </c>
      <c r="G341" s="66">
        <v>0.1062</v>
      </c>
      <c r="H341" s="66" t="s">
        <v>276</v>
      </c>
      <c r="I341" s="82">
        <f t="shared" si="1"/>
        <v>0.879472693</v>
      </c>
      <c r="J341" s="82">
        <f t="shared" si="2"/>
        <v>0.5320641283</v>
      </c>
    </row>
    <row r="342">
      <c r="A342" s="83">
        <v>44665.0</v>
      </c>
      <c r="B342" s="66">
        <v>2007.0</v>
      </c>
      <c r="C342" s="66">
        <v>2.0</v>
      </c>
      <c r="D342" s="66" t="s">
        <v>227</v>
      </c>
      <c r="E342" s="66">
        <v>0.0</v>
      </c>
      <c r="F342" s="66">
        <v>0.0733</v>
      </c>
      <c r="G342" s="66">
        <v>0.039</v>
      </c>
      <c r="I342" s="82">
        <f t="shared" si="1"/>
        <v>0.8794871795</v>
      </c>
      <c r="J342" s="82">
        <f t="shared" si="2"/>
        <v>0.5320600273</v>
      </c>
    </row>
    <row r="343">
      <c r="A343" s="83">
        <v>44665.0</v>
      </c>
      <c r="B343" s="66">
        <v>2007.0</v>
      </c>
      <c r="C343" s="66">
        <v>2.0</v>
      </c>
      <c r="D343" s="66" t="s">
        <v>227</v>
      </c>
      <c r="E343" s="66">
        <v>1.0</v>
      </c>
      <c r="F343" s="66">
        <v>0.6992</v>
      </c>
      <c r="G343" s="66">
        <v>0.3719</v>
      </c>
      <c r="I343" s="82">
        <f t="shared" si="1"/>
        <v>0.8800752891</v>
      </c>
      <c r="J343" s="82">
        <f t="shared" si="2"/>
        <v>0.5318935927</v>
      </c>
    </row>
    <row r="344">
      <c r="A344" s="83">
        <v>44665.0</v>
      </c>
      <c r="B344" s="66">
        <v>2009.0</v>
      </c>
      <c r="C344" s="66">
        <v>1.0</v>
      </c>
      <c r="D344" s="66" t="s">
        <v>228</v>
      </c>
      <c r="E344" s="66">
        <v>0.0</v>
      </c>
      <c r="F344" s="66">
        <v>0.4851</v>
      </c>
      <c r="G344" s="66">
        <v>0.258</v>
      </c>
      <c r="H344" s="66" t="s">
        <v>277</v>
      </c>
      <c r="I344" s="82">
        <f t="shared" si="1"/>
        <v>0.8802325581</v>
      </c>
      <c r="J344" s="82">
        <f t="shared" si="2"/>
        <v>0.5318491033</v>
      </c>
    </row>
    <row r="345">
      <c r="A345" s="83">
        <v>44665.0</v>
      </c>
      <c r="B345" s="66">
        <v>2009.0</v>
      </c>
      <c r="C345" s="66">
        <v>1.0</v>
      </c>
      <c r="D345" s="66" t="s">
        <v>227</v>
      </c>
      <c r="E345" s="66">
        <v>0.0</v>
      </c>
      <c r="F345" s="66">
        <v>0.284</v>
      </c>
      <c r="G345" s="66">
        <v>0.151</v>
      </c>
      <c r="H345" s="66" t="s">
        <v>277</v>
      </c>
      <c r="I345" s="82">
        <f t="shared" si="1"/>
        <v>0.880794702</v>
      </c>
      <c r="J345" s="82">
        <f t="shared" si="2"/>
        <v>0.5316901408</v>
      </c>
    </row>
    <row r="346">
      <c r="A346" s="83">
        <v>44665.0</v>
      </c>
      <c r="B346" s="66">
        <v>2010.0</v>
      </c>
      <c r="C346" s="66">
        <v>1.0</v>
      </c>
      <c r="D346" s="66" t="s">
        <v>228</v>
      </c>
      <c r="E346" s="66">
        <v>0.0</v>
      </c>
      <c r="F346" s="66">
        <v>0.365</v>
      </c>
      <c r="G346" s="66">
        <v>0.194</v>
      </c>
      <c r="H346" s="66" t="s">
        <v>277</v>
      </c>
      <c r="I346" s="82">
        <f t="shared" si="1"/>
        <v>0.881443299</v>
      </c>
      <c r="J346" s="82">
        <f t="shared" si="2"/>
        <v>0.5315068493</v>
      </c>
    </row>
    <row r="347">
      <c r="A347" s="83">
        <v>44665.0</v>
      </c>
      <c r="B347" s="66">
        <v>2010.0</v>
      </c>
      <c r="C347" s="66">
        <v>1.0</v>
      </c>
      <c r="D347" s="66" t="s">
        <v>227</v>
      </c>
      <c r="E347" s="66">
        <v>0.0</v>
      </c>
      <c r="F347" s="66">
        <v>0.1613</v>
      </c>
      <c r="G347" s="66">
        <v>0.0857</v>
      </c>
      <c r="H347" s="66" t="s">
        <v>280</v>
      </c>
      <c r="I347" s="82">
        <f t="shared" si="1"/>
        <v>0.8821470245</v>
      </c>
      <c r="J347" s="82">
        <f t="shared" si="2"/>
        <v>0.5313081215</v>
      </c>
    </row>
    <row r="348">
      <c r="A348" s="83">
        <v>44665.0</v>
      </c>
      <c r="B348" s="66">
        <v>2010.0</v>
      </c>
      <c r="C348" s="66">
        <v>1.0</v>
      </c>
      <c r="D348" s="66" t="s">
        <v>227</v>
      </c>
      <c r="E348" s="66">
        <v>1.0</v>
      </c>
      <c r="F348" s="66">
        <v>0.064</v>
      </c>
      <c r="G348" s="66">
        <v>0.034</v>
      </c>
      <c r="H348" s="66" t="s">
        <v>277</v>
      </c>
      <c r="I348" s="82">
        <f t="shared" si="1"/>
        <v>0.8823529412</v>
      </c>
      <c r="J348" s="82">
        <f t="shared" si="2"/>
        <v>0.53125</v>
      </c>
    </row>
    <row r="349">
      <c r="A349" s="83">
        <v>44665.0</v>
      </c>
      <c r="B349" s="66">
        <v>2010.0</v>
      </c>
      <c r="C349" s="66">
        <v>2.0</v>
      </c>
      <c r="D349" s="66" t="s">
        <v>228</v>
      </c>
      <c r="E349" s="66">
        <v>0.0</v>
      </c>
      <c r="F349" s="66">
        <v>0.3521</v>
      </c>
      <c r="G349" s="66">
        <v>0.187</v>
      </c>
      <c r="H349" s="66" t="s">
        <v>277</v>
      </c>
      <c r="I349" s="82">
        <f t="shared" si="1"/>
        <v>0.8828877005</v>
      </c>
      <c r="J349" s="82">
        <f t="shared" si="2"/>
        <v>0.5310991196</v>
      </c>
    </row>
    <row r="350">
      <c r="A350" s="83">
        <v>44665.0</v>
      </c>
      <c r="B350" s="66">
        <v>2010.0</v>
      </c>
      <c r="C350" s="66">
        <v>2.0</v>
      </c>
      <c r="D350" s="66" t="s">
        <v>227</v>
      </c>
      <c r="E350" s="66">
        <v>0.0</v>
      </c>
      <c r="F350" s="66">
        <v>0.1356</v>
      </c>
      <c r="G350" s="66">
        <v>0.072</v>
      </c>
      <c r="H350" s="66" t="s">
        <v>280</v>
      </c>
      <c r="I350" s="82">
        <f t="shared" si="1"/>
        <v>0.8833333333</v>
      </c>
      <c r="J350" s="82">
        <f t="shared" si="2"/>
        <v>0.5309734513</v>
      </c>
    </row>
    <row r="351">
      <c r="A351" s="83">
        <v>44665.0</v>
      </c>
      <c r="B351" s="66">
        <v>2010.0</v>
      </c>
      <c r="C351" s="66">
        <v>2.0</v>
      </c>
      <c r="D351" s="66" t="s">
        <v>227</v>
      </c>
      <c r="E351" s="66">
        <v>1.0</v>
      </c>
      <c r="F351" s="66">
        <v>0.275</v>
      </c>
      <c r="G351" s="66">
        <v>0.146</v>
      </c>
      <c r="I351" s="82">
        <f t="shared" si="1"/>
        <v>0.8835616438</v>
      </c>
      <c r="J351" s="82">
        <f t="shared" si="2"/>
        <v>0.5309090909</v>
      </c>
    </row>
    <row r="352">
      <c r="A352" s="83">
        <v>44665.0</v>
      </c>
      <c r="B352" s="66">
        <v>2011.0</v>
      </c>
      <c r="C352" s="66">
        <v>1.0</v>
      </c>
      <c r="D352" s="66" t="s">
        <v>228</v>
      </c>
      <c r="E352" s="66">
        <v>0.0</v>
      </c>
      <c r="F352" s="66">
        <v>1.8934</v>
      </c>
      <c r="G352" s="66">
        <v>1.0049</v>
      </c>
      <c r="I352" s="82">
        <f t="shared" si="1"/>
        <v>0.8841675789</v>
      </c>
      <c r="J352" s="82">
        <f t="shared" si="2"/>
        <v>0.5307383543</v>
      </c>
    </row>
    <row r="353">
      <c r="A353" s="83">
        <v>44665.0</v>
      </c>
      <c r="B353" s="66">
        <v>2011.0</v>
      </c>
      <c r="C353" s="66">
        <v>1.0</v>
      </c>
      <c r="D353" s="66" t="s">
        <v>227</v>
      </c>
      <c r="E353" s="66">
        <v>0.0</v>
      </c>
      <c r="F353" s="66">
        <v>0.3379</v>
      </c>
      <c r="G353" s="66">
        <v>0.1793</v>
      </c>
      <c r="I353" s="82">
        <f t="shared" si="1"/>
        <v>0.8845510318</v>
      </c>
      <c r="J353" s="82">
        <f t="shared" si="2"/>
        <v>0.530630364</v>
      </c>
    </row>
    <row r="354">
      <c r="A354" s="83">
        <v>44665.0</v>
      </c>
      <c r="B354" s="66">
        <v>2011.0</v>
      </c>
      <c r="C354" s="66">
        <v>1.0</v>
      </c>
      <c r="D354" s="66" t="s">
        <v>227</v>
      </c>
      <c r="E354" s="66">
        <v>1.0</v>
      </c>
      <c r="F354" s="66">
        <v>1.361</v>
      </c>
      <c r="G354" s="66">
        <v>0.722</v>
      </c>
      <c r="H354" s="66" t="s">
        <v>277</v>
      </c>
      <c r="I354" s="82">
        <f t="shared" si="1"/>
        <v>0.8850415512</v>
      </c>
      <c r="J354" s="82">
        <f t="shared" si="2"/>
        <v>0.5304922851</v>
      </c>
    </row>
    <row r="355">
      <c r="A355" s="83">
        <v>44665.0</v>
      </c>
      <c r="B355" s="66">
        <v>2012.0</v>
      </c>
      <c r="C355" s="66">
        <v>1.0</v>
      </c>
      <c r="D355" s="66" t="s">
        <v>228</v>
      </c>
      <c r="E355" s="66">
        <v>0.0</v>
      </c>
      <c r="F355" s="66">
        <v>0.0509</v>
      </c>
      <c r="G355" s="66">
        <v>0.027</v>
      </c>
      <c r="I355" s="82">
        <f t="shared" si="1"/>
        <v>0.8851851852</v>
      </c>
      <c r="J355" s="82">
        <f t="shared" si="2"/>
        <v>0.5304518664</v>
      </c>
    </row>
    <row r="356">
      <c r="A356" s="83">
        <v>44665.0</v>
      </c>
      <c r="B356" s="66">
        <v>2012.0</v>
      </c>
      <c r="C356" s="66">
        <v>1.0</v>
      </c>
      <c r="D356" s="66" t="s">
        <v>227</v>
      </c>
      <c r="E356" s="66">
        <v>0.0</v>
      </c>
      <c r="F356" s="66">
        <v>0.2319</v>
      </c>
      <c r="G356" s="66">
        <v>0.123</v>
      </c>
      <c r="I356" s="82">
        <f t="shared" si="1"/>
        <v>0.8853658537</v>
      </c>
      <c r="J356" s="82">
        <f t="shared" si="2"/>
        <v>0.5304010349</v>
      </c>
    </row>
    <row r="357">
      <c r="A357" s="83">
        <v>44665.0</v>
      </c>
      <c r="B357" s="66">
        <v>2012.0</v>
      </c>
      <c r="C357" s="66">
        <v>1.0</v>
      </c>
      <c r="D357" s="66" t="s">
        <v>227</v>
      </c>
      <c r="E357" s="66">
        <v>1.0</v>
      </c>
      <c r="F357" s="66">
        <v>1.12</v>
      </c>
      <c r="G357" s="66">
        <v>0.594</v>
      </c>
      <c r="H357" s="66" t="s">
        <v>277</v>
      </c>
      <c r="I357" s="82">
        <f t="shared" si="1"/>
        <v>0.8855218855</v>
      </c>
      <c r="J357" s="82">
        <f t="shared" si="2"/>
        <v>0.5303571429</v>
      </c>
    </row>
    <row r="358">
      <c r="A358" s="83">
        <v>44665.0</v>
      </c>
      <c r="B358" s="66">
        <v>2012.0</v>
      </c>
      <c r="C358" s="66">
        <v>2.0</v>
      </c>
      <c r="D358" s="66" t="s">
        <v>228</v>
      </c>
      <c r="E358" s="66">
        <v>0.0</v>
      </c>
      <c r="F358" s="66">
        <v>0.3715</v>
      </c>
      <c r="G358" s="66">
        <v>0.197</v>
      </c>
      <c r="H358" s="66" t="s">
        <v>277</v>
      </c>
      <c r="I358" s="82">
        <f t="shared" si="1"/>
        <v>0.885786802</v>
      </c>
      <c r="J358" s="82">
        <f t="shared" si="2"/>
        <v>0.530282638</v>
      </c>
    </row>
    <row r="359">
      <c r="A359" s="83">
        <v>44665.0</v>
      </c>
      <c r="B359" s="66">
        <v>2012.0</v>
      </c>
      <c r="C359" s="66">
        <v>2.0</v>
      </c>
      <c r="D359" s="66" t="s">
        <v>227</v>
      </c>
      <c r="E359" s="66">
        <v>0.0</v>
      </c>
      <c r="F359" s="66">
        <v>0.1752</v>
      </c>
      <c r="G359" s="66">
        <v>0.0929</v>
      </c>
      <c r="I359" s="82">
        <f t="shared" si="1"/>
        <v>0.8858988159</v>
      </c>
      <c r="J359" s="82">
        <f t="shared" si="2"/>
        <v>0.5302511416</v>
      </c>
    </row>
    <row r="360">
      <c r="A360" s="83">
        <v>44665.0</v>
      </c>
      <c r="B360" s="66">
        <v>2012.0</v>
      </c>
      <c r="C360" s="66">
        <v>2.0</v>
      </c>
      <c r="D360" s="66" t="s">
        <v>227</v>
      </c>
      <c r="E360" s="66">
        <v>1.0</v>
      </c>
      <c r="F360" s="66">
        <v>1.2975</v>
      </c>
      <c r="G360" s="66">
        <v>0.688</v>
      </c>
      <c r="I360" s="82">
        <f t="shared" si="1"/>
        <v>0.8859011628</v>
      </c>
      <c r="J360" s="82">
        <f t="shared" si="2"/>
        <v>0.5302504817</v>
      </c>
    </row>
    <row r="361">
      <c r="A361" s="83">
        <v>44665.0</v>
      </c>
      <c r="B361" s="66">
        <v>2012.0</v>
      </c>
      <c r="C361" s="66">
        <v>3.0</v>
      </c>
      <c r="D361" s="66" t="s">
        <v>228</v>
      </c>
      <c r="E361" s="66">
        <v>0.0</v>
      </c>
      <c r="F361" s="66">
        <v>0.0943</v>
      </c>
      <c r="G361" s="66">
        <v>0.05</v>
      </c>
      <c r="I361" s="82">
        <f t="shared" si="1"/>
        <v>0.886</v>
      </c>
      <c r="J361" s="82">
        <f t="shared" si="2"/>
        <v>0.5302226935</v>
      </c>
    </row>
    <row r="362">
      <c r="A362" s="83">
        <v>44665.0</v>
      </c>
      <c r="B362" s="66">
        <v>2012.0</v>
      </c>
      <c r="C362" s="66">
        <v>3.0</v>
      </c>
      <c r="D362" s="66" t="s">
        <v>227</v>
      </c>
      <c r="E362" s="66">
        <v>0.0</v>
      </c>
      <c r="F362" s="66">
        <v>0.715</v>
      </c>
      <c r="G362" s="66">
        <v>0.3791</v>
      </c>
      <c r="I362" s="82">
        <f t="shared" si="1"/>
        <v>0.8860458982</v>
      </c>
      <c r="J362" s="82">
        <f t="shared" si="2"/>
        <v>0.5302097902</v>
      </c>
    </row>
    <row r="363">
      <c r="A363" s="83">
        <v>44665.0</v>
      </c>
      <c r="B363" s="66">
        <v>2012.0</v>
      </c>
      <c r="C363" s="66">
        <v>3.0</v>
      </c>
      <c r="D363" s="66" t="s">
        <v>227</v>
      </c>
      <c r="E363" s="66">
        <v>1.0</v>
      </c>
      <c r="F363" s="66">
        <v>0.1292</v>
      </c>
      <c r="G363" s="66">
        <v>0.0685</v>
      </c>
      <c r="I363" s="82">
        <f t="shared" si="1"/>
        <v>0.8861313869</v>
      </c>
      <c r="J363" s="82">
        <f t="shared" si="2"/>
        <v>0.5301857585</v>
      </c>
    </row>
    <row r="364">
      <c r="A364" s="83">
        <v>44665.0</v>
      </c>
      <c r="B364" s="66">
        <v>2013.0</v>
      </c>
      <c r="C364" s="66">
        <v>1.0</v>
      </c>
      <c r="D364" s="66" t="s">
        <v>228</v>
      </c>
      <c r="E364" s="66">
        <v>0.0</v>
      </c>
      <c r="F364" s="66">
        <v>0.5338</v>
      </c>
      <c r="G364" s="66">
        <v>0.283</v>
      </c>
      <c r="H364" s="66" t="s">
        <v>277</v>
      </c>
      <c r="I364" s="82">
        <f t="shared" si="1"/>
        <v>0.8862190813</v>
      </c>
      <c r="J364" s="82">
        <f t="shared" si="2"/>
        <v>0.530161109</v>
      </c>
    </row>
    <row r="365">
      <c r="A365" s="83">
        <v>44665.0</v>
      </c>
      <c r="B365" s="66">
        <v>2013.0</v>
      </c>
      <c r="C365" s="66">
        <v>1.0</v>
      </c>
      <c r="D365" s="66" t="s">
        <v>227</v>
      </c>
      <c r="E365" s="66">
        <v>0.0</v>
      </c>
      <c r="F365" s="66">
        <v>0.302</v>
      </c>
      <c r="G365" s="66">
        <v>0.1601</v>
      </c>
      <c r="H365" s="66" t="s">
        <v>280</v>
      </c>
      <c r="I365" s="82">
        <f t="shared" si="1"/>
        <v>0.8863210493</v>
      </c>
      <c r="J365" s="82">
        <f t="shared" si="2"/>
        <v>0.5301324503</v>
      </c>
    </row>
    <row r="366">
      <c r="A366" s="83">
        <v>44665.0</v>
      </c>
      <c r="B366" s="66">
        <v>2013.0</v>
      </c>
      <c r="C366" s="66">
        <v>1.0</v>
      </c>
      <c r="D366" s="66" t="s">
        <v>227</v>
      </c>
      <c r="E366" s="66">
        <v>1.0</v>
      </c>
      <c r="F366" s="66">
        <v>0.3454</v>
      </c>
      <c r="G366" s="66">
        <v>0.183</v>
      </c>
      <c r="H366" s="66" t="s">
        <v>276</v>
      </c>
      <c r="I366" s="82">
        <f t="shared" si="1"/>
        <v>0.887431694</v>
      </c>
      <c r="J366" s="82">
        <f t="shared" si="2"/>
        <v>0.529820498</v>
      </c>
    </row>
    <row r="367">
      <c r="A367" s="83">
        <v>44665.0</v>
      </c>
      <c r="B367" s="66">
        <v>2013.0</v>
      </c>
      <c r="C367" s="66">
        <v>2.0</v>
      </c>
      <c r="D367" s="66" t="s">
        <v>228</v>
      </c>
      <c r="E367" s="66">
        <v>1.0</v>
      </c>
      <c r="F367" s="66">
        <v>0.1148</v>
      </c>
      <c r="G367" s="66">
        <v>0.0608</v>
      </c>
      <c r="H367" s="66" t="s">
        <v>280</v>
      </c>
      <c r="I367" s="82">
        <f t="shared" si="1"/>
        <v>0.8881578947</v>
      </c>
      <c r="J367" s="82">
        <f t="shared" si="2"/>
        <v>0.5296167247</v>
      </c>
    </row>
    <row r="368">
      <c r="A368" s="83">
        <v>44665.0</v>
      </c>
      <c r="B368" s="66">
        <v>2013.0</v>
      </c>
      <c r="C368" s="66">
        <v>2.0</v>
      </c>
      <c r="D368" s="66" t="s">
        <v>227</v>
      </c>
      <c r="E368" s="66">
        <v>0.0</v>
      </c>
      <c r="F368" s="66">
        <v>1.4549</v>
      </c>
      <c r="G368" s="66">
        <v>0.7705</v>
      </c>
      <c r="H368" s="66" t="s">
        <v>280</v>
      </c>
      <c r="I368" s="82">
        <f t="shared" si="1"/>
        <v>0.8882543803</v>
      </c>
      <c r="J368" s="82">
        <f t="shared" si="2"/>
        <v>0.5295896625</v>
      </c>
    </row>
    <row r="369">
      <c r="A369" s="83">
        <v>44665.0</v>
      </c>
      <c r="B369" s="66">
        <v>2020.0</v>
      </c>
      <c r="C369" s="66">
        <v>1.0</v>
      </c>
      <c r="D369" s="66" t="s">
        <v>228</v>
      </c>
      <c r="E369" s="66">
        <v>1.0</v>
      </c>
      <c r="F369" s="66">
        <v>0.1322</v>
      </c>
      <c r="G369" s="66">
        <v>0.07</v>
      </c>
      <c r="H369" s="66" t="s">
        <v>276</v>
      </c>
      <c r="I369" s="82">
        <f t="shared" si="1"/>
        <v>0.8885714286</v>
      </c>
      <c r="J369" s="82">
        <f t="shared" si="2"/>
        <v>0.5295007564</v>
      </c>
    </row>
    <row r="370">
      <c r="A370" s="83">
        <v>44665.0</v>
      </c>
      <c r="B370" s="66">
        <v>2020.0</v>
      </c>
      <c r="C370" s="66">
        <v>1.0</v>
      </c>
      <c r="D370" s="66" t="s">
        <v>227</v>
      </c>
      <c r="E370" s="66">
        <v>0.0</v>
      </c>
      <c r="F370" s="66">
        <v>1.6911</v>
      </c>
      <c r="G370" s="66">
        <v>0.895</v>
      </c>
      <c r="I370" s="82">
        <f t="shared" si="1"/>
        <v>0.8894972067</v>
      </c>
      <c r="J370" s="82">
        <f t="shared" si="2"/>
        <v>0.5292413222</v>
      </c>
    </row>
    <row r="371">
      <c r="A371" s="83">
        <v>44665.0</v>
      </c>
      <c r="B371" s="66">
        <v>2020.0</v>
      </c>
      <c r="C371" s="66">
        <v>1.0</v>
      </c>
      <c r="D371" s="66" t="s">
        <v>227</v>
      </c>
      <c r="E371" s="66">
        <v>1.0</v>
      </c>
      <c r="F371" s="66">
        <v>1.1546</v>
      </c>
      <c r="G371" s="66">
        <v>0.611</v>
      </c>
      <c r="H371" s="66" t="s">
        <v>277</v>
      </c>
      <c r="I371" s="82">
        <f t="shared" si="1"/>
        <v>0.8896890344</v>
      </c>
      <c r="J371" s="82">
        <f t="shared" si="2"/>
        <v>0.5291875974</v>
      </c>
    </row>
    <row r="372">
      <c r="A372" s="83">
        <v>44665.0</v>
      </c>
      <c r="B372" s="66">
        <v>2020.0</v>
      </c>
      <c r="C372" s="66">
        <v>2.0</v>
      </c>
      <c r="D372" s="66" t="s">
        <v>228</v>
      </c>
      <c r="E372" s="66">
        <v>0.0</v>
      </c>
      <c r="F372" s="66">
        <v>0.1565</v>
      </c>
      <c r="G372" s="66">
        <v>0.0828</v>
      </c>
      <c r="I372" s="82">
        <f t="shared" si="1"/>
        <v>0.8900966184</v>
      </c>
      <c r="J372" s="82">
        <f t="shared" si="2"/>
        <v>0.5290734824</v>
      </c>
    </row>
    <row r="373">
      <c r="A373" s="83">
        <v>44665.0</v>
      </c>
      <c r="B373" s="66">
        <v>2020.0</v>
      </c>
      <c r="C373" s="66">
        <v>2.0</v>
      </c>
      <c r="D373" s="66" t="s">
        <v>227</v>
      </c>
      <c r="E373" s="66">
        <v>0.0</v>
      </c>
      <c r="F373" s="66">
        <v>0.2666</v>
      </c>
      <c r="G373" s="66">
        <v>0.141</v>
      </c>
      <c r="H373" s="66" t="s">
        <v>277</v>
      </c>
      <c r="I373" s="82">
        <f t="shared" si="1"/>
        <v>0.8907801418</v>
      </c>
      <c r="J373" s="82">
        <f t="shared" si="2"/>
        <v>0.5288822206</v>
      </c>
    </row>
    <row r="374">
      <c r="A374" s="83">
        <v>44665.0</v>
      </c>
      <c r="B374" s="66">
        <v>2020.0</v>
      </c>
      <c r="C374" s="66">
        <v>2.0</v>
      </c>
      <c r="D374" s="66" t="s">
        <v>227</v>
      </c>
      <c r="E374" s="66">
        <v>1.0</v>
      </c>
      <c r="F374" s="66">
        <v>1.1453</v>
      </c>
      <c r="G374" s="66">
        <v>0.6056</v>
      </c>
      <c r="H374" s="66" t="s">
        <v>280</v>
      </c>
      <c r="I374" s="82">
        <f t="shared" si="1"/>
        <v>0.8911822985</v>
      </c>
      <c r="J374" s="82">
        <f t="shared" si="2"/>
        <v>0.5287697546</v>
      </c>
    </row>
    <row r="375">
      <c r="A375" s="83">
        <v>44665.0</v>
      </c>
      <c r="B375" s="66">
        <v>2021.0</v>
      </c>
      <c r="C375" s="66">
        <v>1.0</v>
      </c>
      <c r="D375" s="66" t="s">
        <v>228</v>
      </c>
      <c r="E375" s="66">
        <v>0.0</v>
      </c>
      <c r="F375" s="66">
        <v>0.1937</v>
      </c>
      <c r="G375" s="66">
        <v>0.1024</v>
      </c>
      <c r="H375" s="66" t="s">
        <v>280</v>
      </c>
      <c r="I375" s="82">
        <f t="shared" si="1"/>
        <v>0.8916015625</v>
      </c>
      <c r="J375" s="82">
        <f t="shared" si="2"/>
        <v>0.5286525555</v>
      </c>
    </row>
    <row r="376">
      <c r="A376" s="83">
        <v>44665.0</v>
      </c>
      <c r="B376" s="66">
        <v>2021.0</v>
      </c>
      <c r="C376" s="66">
        <v>1.0</v>
      </c>
      <c r="D376" s="66" t="s">
        <v>227</v>
      </c>
      <c r="E376" s="66">
        <v>0.0</v>
      </c>
      <c r="F376" s="66">
        <v>0.384</v>
      </c>
      <c r="G376" s="66">
        <v>0.203</v>
      </c>
      <c r="I376" s="82">
        <f t="shared" si="1"/>
        <v>0.8916256158</v>
      </c>
      <c r="J376" s="82">
        <f t="shared" si="2"/>
        <v>0.5286458333</v>
      </c>
    </row>
    <row r="377">
      <c r="A377" s="83">
        <v>44665.0</v>
      </c>
      <c r="B377" s="66">
        <v>2021.0</v>
      </c>
      <c r="C377" s="66">
        <v>1.0</v>
      </c>
      <c r="D377" s="66" t="s">
        <v>227</v>
      </c>
      <c r="E377" s="66">
        <v>1.0</v>
      </c>
      <c r="F377" s="66">
        <v>0.2036</v>
      </c>
      <c r="G377" s="66">
        <v>0.1076</v>
      </c>
      <c r="H377" s="66" t="s">
        <v>277</v>
      </c>
      <c r="I377" s="82">
        <f t="shared" si="1"/>
        <v>0.8921933086</v>
      </c>
      <c r="J377" s="82">
        <f t="shared" si="2"/>
        <v>0.5284872299</v>
      </c>
    </row>
    <row r="378">
      <c r="A378" s="83">
        <v>44665.0</v>
      </c>
      <c r="B378" s="66">
        <v>2025.0</v>
      </c>
      <c r="C378" s="66">
        <v>1.0</v>
      </c>
      <c r="D378" s="66" t="s">
        <v>228</v>
      </c>
      <c r="E378" s="66">
        <v>0.0</v>
      </c>
      <c r="F378" s="66">
        <v>0.2059</v>
      </c>
      <c r="G378" s="66">
        <v>0.1088</v>
      </c>
      <c r="I378" s="82">
        <f t="shared" si="1"/>
        <v>0.8924632353</v>
      </c>
      <c r="J378" s="82">
        <f t="shared" si="2"/>
        <v>0.5284118504</v>
      </c>
    </row>
    <row r="379">
      <c r="A379" s="83">
        <v>44665.0</v>
      </c>
      <c r="B379" s="66">
        <v>2025.0</v>
      </c>
      <c r="C379" s="66">
        <v>1.0</v>
      </c>
      <c r="D379" s="66" t="s">
        <v>227</v>
      </c>
      <c r="E379" s="66">
        <v>0.0</v>
      </c>
      <c r="F379" s="66">
        <v>0.3074</v>
      </c>
      <c r="G379" s="66">
        <v>0.1624</v>
      </c>
      <c r="H379" s="66" t="s">
        <v>280</v>
      </c>
      <c r="I379" s="82">
        <f t="shared" si="1"/>
        <v>0.8928571429</v>
      </c>
      <c r="J379" s="82">
        <f t="shared" si="2"/>
        <v>0.5283018868</v>
      </c>
    </row>
    <row r="380">
      <c r="A380" s="83">
        <v>44665.0</v>
      </c>
      <c r="B380" s="66">
        <v>2025.0</v>
      </c>
      <c r="C380" s="66">
        <v>2.0</v>
      </c>
      <c r="D380" s="66" t="s">
        <v>228</v>
      </c>
      <c r="E380" s="66">
        <v>0.0</v>
      </c>
      <c r="F380" s="66">
        <v>0.1988</v>
      </c>
      <c r="G380" s="66">
        <v>0.105</v>
      </c>
      <c r="I380" s="82">
        <f t="shared" si="1"/>
        <v>0.8933333333</v>
      </c>
      <c r="J380" s="82">
        <f t="shared" si="2"/>
        <v>0.5281690141</v>
      </c>
    </row>
    <row r="381">
      <c r="A381" s="83">
        <v>44665.0</v>
      </c>
      <c r="B381" s="66">
        <v>2025.0</v>
      </c>
      <c r="C381" s="66">
        <v>2.0</v>
      </c>
      <c r="D381" s="66" t="s">
        <v>227</v>
      </c>
      <c r="E381" s="66">
        <v>0.0</v>
      </c>
      <c r="F381" s="66">
        <v>0.464</v>
      </c>
      <c r="G381" s="66">
        <v>0.245</v>
      </c>
      <c r="H381" s="66" t="s">
        <v>277</v>
      </c>
      <c r="I381" s="82">
        <f t="shared" si="1"/>
        <v>0.893877551</v>
      </c>
      <c r="J381" s="82">
        <f t="shared" si="2"/>
        <v>0.5280172414</v>
      </c>
    </row>
    <row r="382">
      <c r="A382" s="83">
        <v>44665.0</v>
      </c>
      <c r="B382" s="66">
        <v>2025.0</v>
      </c>
      <c r="C382" s="66">
        <v>2.0</v>
      </c>
      <c r="D382" s="66" t="s">
        <v>227</v>
      </c>
      <c r="E382" s="66">
        <v>1.0</v>
      </c>
      <c r="F382" s="66">
        <v>1.589</v>
      </c>
      <c r="G382" s="66">
        <v>0.839</v>
      </c>
      <c r="H382" s="66" t="s">
        <v>277</v>
      </c>
      <c r="I382" s="82">
        <f t="shared" si="1"/>
        <v>0.8939213349</v>
      </c>
      <c r="J382" s="82">
        <f t="shared" si="2"/>
        <v>0.5280050346</v>
      </c>
    </row>
    <row r="383">
      <c r="A383" s="83">
        <v>44665.0</v>
      </c>
      <c r="B383" s="66">
        <v>2026.0</v>
      </c>
      <c r="C383" s="66">
        <v>1.0</v>
      </c>
      <c r="D383" s="66" t="s">
        <v>228</v>
      </c>
      <c r="E383" s="66">
        <v>1.0</v>
      </c>
      <c r="F383" s="66">
        <v>0.358</v>
      </c>
      <c r="G383" s="66">
        <v>0.189</v>
      </c>
      <c r="H383" s="66" t="s">
        <v>277</v>
      </c>
      <c r="I383" s="82">
        <f t="shared" si="1"/>
        <v>0.8941798942</v>
      </c>
      <c r="J383" s="82">
        <f t="shared" si="2"/>
        <v>0.5279329609</v>
      </c>
    </row>
    <row r="384">
      <c r="A384" s="83">
        <v>44665.0</v>
      </c>
      <c r="B384" s="66">
        <v>2026.0</v>
      </c>
      <c r="C384" s="66">
        <v>1.0</v>
      </c>
      <c r="D384" s="66" t="s">
        <v>227</v>
      </c>
      <c r="E384" s="66">
        <v>0.0</v>
      </c>
      <c r="F384" s="66">
        <v>0.6782</v>
      </c>
      <c r="G384" s="66">
        <v>0.358</v>
      </c>
      <c r="H384" s="66" t="s">
        <v>277</v>
      </c>
      <c r="I384" s="82">
        <f t="shared" si="1"/>
        <v>0.8944134078</v>
      </c>
      <c r="J384" s="82">
        <f t="shared" si="2"/>
        <v>0.5278678856</v>
      </c>
    </row>
    <row r="385">
      <c r="A385" s="83">
        <v>44665.0</v>
      </c>
      <c r="B385" s="66">
        <v>2026.0</v>
      </c>
      <c r="C385" s="66">
        <v>1.0</v>
      </c>
      <c r="D385" s="66" t="s">
        <v>227</v>
      </c>
      <c r="E385" s="66">
        <v>1.0</v>
      </c>
      <c r="F385" s="66">
        <v>0.2915</v>
      </c>
      <c r="G385" s="66">
        <v>0.1538</v>
      </c>
      <c r="H385" s="66" t="s">
        <v>280</v>
      </c>
      <c r="I385" s="82">
        <f t="shared" si="1"/>
        <v>0.8953185956</v>
      </c>
      <c r="J385" s="82">
        <f t="shared" si="2"/>
        <v>0.5276157804</v>
      </c>
    </row>
    <row r="386">
      <c r="A386" s="83">
        <v>44665.0</v>
      </c>
      <c r="B386" s="66">
        <v>2026.0</v>
      </c>
      <c r="C386" s="66">
        <v>2.0</v>
      </c>
      <c r="D386" s="66" t="s">
        <v>228</v>
      </c>
      <c r="E386" s="66">
        <v>0.0</v>
      </c>
      <c r="F386" s="66">
        <v>1.0995</v>
      </c>
      <c r="G386" s="66">
        <v>0.58</v>
      </c>
      <c r="H386" s="66" t="s">
        <v>277</v>
      </c>
      <c r="I386" s="82">
        <f t="shared" si="1"/>
        <v>0.8956896552</v>
      </c>
      <c r="J386" s="82">
        <f t="shared" si="2"/>
        <v>0.5275125057</v>
      </c>
    </row>
    <row r="387">
      <c r="A387" s="83">
        <v>44665.0</v>
      </c>
      <c r="B387" s="66">
        <v>2026.0</v>
      </c>
      <c r="C387" s="66">
        <v>2.0</v>
      </c>
      <c r="D387" s="66" t="s">
        <v>227</v>
      </c>
      <c r="E387" s="66">
        <v>0.0</v>
      </c>
      <c r="F387" s="66">
        <v>0.3545</v>
      </c>
      <c r="G387" s="66">
        <v>0.187</v>
      </c>
      <c r="I387" s="82">
        <f t="shared" si="1"/>
        <v>0.8957219251</v>
      </c>
      <c r="J387" s="82">
        <f t="shared" si="2"/>
        <v>0.5275035261</v>
      </c>
    </row>
    <row r="388">
      <c r="A388" s="83">
        <v>44665.0</v>
      </c>
      <c r="B388" s="66">
        <v>2026.0</v>
      </c>
      <c r="C388" s="66">
        <v>2.0</v>
      </c>
      <c r="D388" s="66" t="s">
        <v>227</v>
      </c>
      <c r="E388" s="66">
        <v>1.0</v>
      </c>
      <c r="F388" s="66">
        <v>0.7527</v>
      </c>
      <c r="G388" s="66">
        <v>0.397</v>
      </c>
      <c r="I388" s="82">
        <f t="shared" si="1"/>
        <v>0.8959697733</v>
      </c>
      <c r="J388" s="82">
        <f t="shared" si="2"/>
        <v>0.5274345689</v>
      </c>
    </row>
    <row r="389">
      <c r="A389" s="83">
        <v>44665.0</v>
      </c>
      <c r="B389" s="66">
        <v>2027.0</v>
      </c>
      <c r="C389" s="66">
        <v>1.0</v>
      </c>
      <c r="D389" s="66" t="s">
        <v>228</v>
      </c>
      <c r="E389" s="66">
        <v>0.0</v>
      </c>
      <c r="F389" s="66">
        <v>0.2522</v>
      </c>
      <c r="G389" s="66">
        <v>0.133</v>
      </c>
      <c r="I389" s="82">
        <f t="shared" si="1"/>
        <v>0.8962406015</v>
      </c>
      <c r="J389" s="82">
        <f t="shared" si="2"/>
        <v>0.5273592387</v>
      </c>
    </row>
    <row r="390">
      <c r="A390" s="83">
        <v>44665.0</v>
      </c>
      <c r="B390" s="66">
        <v>2027.0</v>
      </c>
      <c r="C390" s="66">
        <v>1.0</v>
      </c>
      <c r="D390" s="66" t="s">
        <v>227</v>
      </c>
      <c r="E390" s="66">
        <v>0.0</v>
      </c>
      <c r="F390" s="66">
        <v>0.1024</v>
      </c>
      <c r="G390" s="66">
        <v>0.054</v>
      </c>
      <c r="I390" s="82">
        <f t="shared" si="1"/>
        <v>0.8962962963</v>
      </c>
      <c r="J390" s="82">
        <f t="shared" si="2"/>
        <v>0.52734375</v>
      </c>
    </row>
    <row r="391">
      <c r="A391" s="83">
        <v>44665.0</v>
      </c>
      <c r="B391" s="66">
        <v>2027.0</v>
      </c>
      <c r="C391" s="66">
        <v>1.0</v>
      </c>
      <c r="D391" s="66" t="s">
        <v>227</v>
      </c>
      <c r="E391" s="66">
        <v>1.0</v>
      </c>
      <c r="F391" s="66">
        <v>0.3423</v>
      </c>
      <c r="G391" s="66">
        <v>0.1805</v>
      </c>
      <c r="I391" s="82">
        <f t="shared" si="1"/>
        <v>0.896398892</v>
      </c>
      <c r="J391" s="82">
        <f t="shared" si="2"/>
        <v>0.5273152206</v>
      </c>
    </row>
    <row r="392">
      <c r="A392" s="83">
        <v>44665.0</v>
      </c>
      <c r="B392" s="66">
        <v>2028.0</v>
      </c>
      <c r="C392" s="66">
        <v>1.0</v>
      </c>
      <c r="D392" s="66" t="s">
        <v>228</v>
      </c>
      <c r="E392" s="66">
        <v>0.0</v>
      </c>
      <c r="F392" s="66">
        <v>1.7126</v>
      </c>
      <c r="G392" s="66">
        <v>0.903</v>
      </c>
      <c r="H392" s="66" t="s">
        <v>277</v>
      </c>
      <c r="I392" s="82">
        <f t="shared" si="1"/>
        <v>0.8965669989</v>
      </c>
      <c r="J392" s="82">
        <f t="shared" si="2"/>
        <v>0.5272684807</v>
      </c>
    </row>
    <row r="393">
      <c r="A393" s="83">
        <v>44665.0</v>
      </c>
      <c r="B393" s="66">
        <v>2028.0</v>
      </c>
      <c r="C393" s="66">
        <v>1.0</v>
      </c>
      <c r="D393" s="66" t="s">
        <v>228</v>
      </c>
      <c r="E393" s="66">
        <v>0.0</v>
      </c>
      <c r="F393" s="66">
        <v>1.021</v>
      </c>
      <c r="G393" s="66">
        <v>0.5379</v>
      </c>
      <c r="I393" s="82">
        <f t="shared" si="1"/>
        <v>0.8981223276</v>
      </c>
      <c r="J393" s="82">
        <f t="shared" si="2"/>
        <v>0.5268364349</v>
      </c>
    </row>
    <row r="394">
      <c r="A394" s="83">
        <v>44665.0</v>
      </c>
      <c r="B394" s="66">
        <v>2028.0</v>
      </c>
      <c r="C394" s="66">
        <v>1.0</v>
      </c>
      <c r="D394" s="66" t="s">
        <v>228</v>
      </c>
      <c r="E394" s="66">
        <v>0.0</v>
      </c>
      <c r="F394" s="66">
        <v>0.0467</v>
      </c>
      <c r="G394" s="66">
        <v>0.0246</v>
      </c>
      <c r="H394" s="66" t="s">
        <v>276</v>
      </c>
      <c r="I394" s="82">
        <f t="shared" si="1"/>
        <v>0.8983739837</v>
      </c>
      <c r="J394" s="82">
        <f t="shared" si="2"/>
        <v>0.5267665953</v>
      </c>
    </row>
    <row r="395">
      <c r="A395" s="83">
        <v>44665.0</v>
      </c>
      <c r="B395" s="66">
        <v>2028.0</v>
      </c>
      <c r="C395" s="66">
        <v>1.0</v>
      </c>
      <c r="D395" s="66" t="s">
        <v>227</v>
      </c>
      <c r="E395" s="66">
        <v>0.0</v>
      </c>
      <c r="F395" s="66">
        <v>0.169</v>
      </c>
      <c r="G395" s="66">
        <v>0.089</v>
      </c>
      <c r="H395" s="66" t="s">
        <v>276</v>
      </c>
      <c r="I395" s="82">
        <f t="shared" si="1"/>
        <v>0.8988764045</v>
      </c>
      <c r="J395" s="82">
        <f t="shared" si="2"/>
        <v>0.5266272189</v>
      </c>
    </row>
    <row r="396">
      <c r="A396" s="83">
        <v>44665.0</v>
      </c>
      <c r="B396" s="66">
        <v>2028.0</v>
      </c>
      <c r="C396" s="66">
        <v>1.0</v>
      </c>
      <c r="D396" s="66" t="s">
        <v>227</v>
      </c>
      <c r="E396" s="66">
        <v>1.0</v>
      </c>
      <c r="F396" s="66">
        <v>0.5862</v>
      </c>
      <c r="G396" s="66">
        <v>0.3087</v>
      </c>
      <c r="I396" s="82">
        <f t="shared" si="1"/>
        <v>0.898931001</v>
      </c>
      <c r="J396" s="82">
        <f t="shared" si="2"/>
        <v>0.5266120778</v>
      </c>
    </row>
    <row r="397">
      <c r="A397" s="83">
        <v>44665.0</v>
      </c>
      <c r="B397" s="66">
        <v>2028.0</v>
      </c>
      <c r="C397" s="66">
        <v>2.0</v>
      </c>
      <c r="D397" s="66" t="s">
        <v>228</v>
      </c>
      <c r="E397" s="66">
        <v>0.0</v>
      </c>
      <c r="F397" s="66">
        <v>0.1926</v>
      </c>
      <c r="G397" s="66">
        <v>0.1014</v>
      </c>
      <c r="I397" s="82">
        <f t="shared" si="1"/>
        <v>0.899408284</v>
      </c>
      <c r="J397" s="82">
        <f t="shared" si="2"/>
        <v>0.5264797508</v>
      </c>
    </row>
    <row r="398">
      <c r="A398" s="83">
        <v>44665.0</v>
      </c>
      <c r="B398" s="66">
        <v>2028.0</v>
      </c>
      <c r="C398" s="66">
        <v>2.0</v>
      </c>
      <c r="D398" s="66" t="s">
        <v>227</v>
      </c>
      <c r="E398" s="66">
        <v>1.0</v>
      </c>
      <c r="F398" s="66">
        <v>0.3305</v>
      </c>
      <c r="G398" s="66">
        <v>0.174</v>
      </c>
      <c r="I398" s="82">
        <f t="shared" si="1"/>
        <v>0.8994252874</v>
      </c>
      <c r="J398" s="82">
        <f t="shared" si="2"/>
        <v>0.5264750378</v>
      </c>
    </row>
    <row r="399">
      <c r="A399" s="83">
        <v>44665.0</v>
      </c>
      <c r="B399" s="66">
        <v>2031.0</v>
      </c>
      <c r="C399" s="66">
        <v>1.0</v>
      </c>
      <c r="D399" s="66" t="s">
        <v>228</v>
      </c>
      <c r="E399" s="66">
        <v>0.0</v>
      </c>
      <c r="F399" s="66">
        <v>1.0829</v>
      </c>
      <c r="G399" s="66">
        <v>0.57</v>
      </c>
      <c r="H399" s="66" t="s">
        <v>277</v>
      </c>
      <c r="I399" s="82">
        <f t="shared" si="1"/>
        <v>0.8998245614</v>
      </c>
      <c r="J399" s="82">
        <f t="shared" si="2"/>
        <v>0.5263643919</v>
      </c>
    </row>
    <row r="400">
      <c r="A400" s="83">
        <v>44665.0</v>
      </c>
      <c r="B400" s="66">
        <v>2031.0</v>
      </c>
      <c r="C400" s="66">
        <v>1.0</v>
      </c>
      <c r="D400" s="66" t="s">
        <v>227</v>
      </c>
      <c r="E400" s="66">
        <v>0.0</v>
      </c>
      <c r="F400" s="66">
        <v>0.057</v>
      </c>
      <c r="G400" s="66">
        <v>0.03</v>
      </c>
      <c r="H400" s="66" t="s">
        <v>277</v>
      </c>
      <c r="I400" s="82">
        <f t="shared" si="1"/>
        <v>0.9</v>
      </c>
      <c r="J400" s="82">
        <f t="shared" si="2"/>
        <v>0.5263157895</v>
      </c>
    </row>
    <row r="401">
      <c r="A401" s="83">
        <v>44665.0</v>
      </c>
      <c r="B401" s="66">
        <v>2031.0</v>
      </c>
      <c r="C401" s="66">
        <v>1.0</v>
      </c>
      <c r="D401" s="66" t="s">
        <v>227</v>
      </c>
      <c r="E401" s="66">
        <v>1.0</v>
      </c>
      <c r="F401" s="66">
        <v>1.7319</v>
      </c>
      <c r="G401" s="66">
        <v>0.911</v>
      </c>
      <c r="H401" s="66" t="s">
        <v>277</v>
      </c>
      <c r="I401" s="82">
        <f t="shared" si="1"/>
        <v>0.9010976948</v>
      </c>
      <c r="J401" s="82">
        <f t="shared" si="2"/>
        <v>0.5260118945</v>
      </c>
    </row>
    <row r="402">
      <c r="A402" s="83">
        <v>44665.0</v>
      </c>
      <c r="B402" s="66">
        <v>2078.0</v>
      </c>
      <c r="C402" s="66">
        <v>1.0</v>
      </c>
      <c r="D402" s="66" t="s">
        <v>228</v>
      </c>
      <c r="E402" s="66">
        <v>0.0</v>
      </c>
      <c r="F402" s="66">
        <v>0.3289</v>
      </c>
      <c r="G402" s="66">
        <v>0.173</v>
      </c>
      <c r="I402" s="82">
        <f t="shared" si="1"/>
        <v>0.9011560694</v>
      </c>
      <c r="J402" s="82">
        <f t="shared" si="2"/>
        <v>0.5259957434</v>
      </c>
    </row>
    <row r="403">
      <c r="A403" s="83">
        <v>44665.0</v>
      </c>
      <c r="B403" s="66">
        <v>2078.0</v>
      </c>
      <c r="C403" s="66">
        <v>1.0</v>
      </c>
      <c r="D403" s="66" t="s">
        <v>227</v>
      </c>
      <c r="E403" s="66">
        <v>0.0</v>
      </c>
      <c r="F403" s="66">
        <v>0.1504</v>
      </c>
      <c r="G403" s="66">
        <v>0.0791</v>
      </c>
      <c r="H403" s="66" t="s">
        <v>280</v>
      </c>
      <c r="I403" s="82">
        <f t="shared" si="1"/>
        <v>0.9013906448</v>
      </c>
      <c r="J403" s="82">
        <f t="shared" si="2"/>
        <v>0.5259308511</v>
      </c>
    </row>
    <row r="404">
      <c r="A404" s="83">
        <v>44665.0</v>
      </c>
      <c r="B404" s="66">
        <v>2301.0</v>
      </c>
      <c r="C404" s="66">
        <v>1.0</v>
      </c>
      <c r="D404" s="66" t="s">
        <v>228</v>
      </c>
      <c r="E404" s="66">
        <v>0.0</v>
      </c>
      <c r="F404" s="66">
        <v>0.2073</v>
      </c>
      <c r="G404" s="66">
        <v>0.109</v>
      </c>
      <c r="I404" s="82">
        <f t="shared" si="1"/>
        <v>0.9018348624</v>
      </c>
      <c r="J404" s="82">
        <f t="shared" si="2"/>
        <v>0.5258080077</v>
      </c>
    </row>
    <row r="405">
      <c r="A405" s="83">
        <v>44665.0</v>
      </c>
      <c r="B405" s="66">
        <v>2301.0</v>
      </c>
      <c r="C405" s="66">
        <v>1.0</v>
      </c>
      <c r="D405" s="66" t="s">
        <v>227</v>
      </c>
      <c r="E405" s="66">
        <v>1.0</v>
      </c>
      <c r="F405" s="66">
        <v>0.6679</v>
      </c>
      <c r="G405" s="66">
        <v>0.351</v>
      </c>
      <c r="I405" s="82">
        <f t="shared" si="1"/>
        <v>0.9028490028</v>
      </c>
      <c r="J405" s="82">
        <f t="shared" si="2"/>
        <v>0.5255277736</v>
      </c>
    </row>
    <row r="406">
      <c r="A406" s="83">
        <v>44665.0</v>
      </c>
      <c r="B406" s="66">
        <v>2345.0</v>
      </c>
      <c r="C406" s="66">
        <v>1.0</v>
      </c>
      <c r="D406" s="66" t="s">
        <v>228</v>
      </c>
      <c r="E406" s="66">
        <v>0.0</v>
      </c>
      <c r="F406" s="66">
        <v>0.7461</v>
      </c>
      <c r="G406" s="66">
        <v>0.392</v>
      </c>
      <c r="H406" s="66" t="s">
        <v>276</v>
      </c>
      <c r="I406" s="82">
        <f t="shared" si="1"/>
        <v>0.9033163265</v>
      </c>
      <c r="J406" s="82">
        <f t="shared" si="2"/>
        <v>0.5253987401</v>
      </c>
    </row>
    <row r="407">
      <c r="A407" s="83">
        <v>44665.0</v>
      </c>
      <c r="B407" s="66">
        <v>2345.0</v>
      </c>
      <c r="C407" s="66">
        <v>1.0</v>
      </c>
      <c r="D407" s="66" t="s">
        <v>227</v>
      </c>
      <c r="E407" s="66">
        <v>1.0</v>
      </c>
      <c r="F407" s="66">
        <v>0.3078</v>
      </c>
      <c r="G407" s="66">
        <v>0.1617</v>
      </c>
      <c r="I407" s="82">
        <f t="shared" si="1"/>
        <v>0.9035250464</v>
      </c>
      <c r="J407" s="82">
        <f t="shared" si="2"/>
        <v>0.5253411306</v>
      </c>
    </row>
    <row r="408">
      <c r="A408" s="83">
        <v>44665.0</v>
      </c>
      <c r="B408" s="66">
        <v>2345.0</v>
      </c>
      <c r="C408" s="66">
        <v>2.0</v>
      </c>
      <c r="D408" s="66" t="s">
        <v>228</v>
      </c>
      <c r="E408" s="66">
        <v>1.0</v>
      </c>
      <c r="F408" s="66">
        <v>0.415</v>
      </c>
      <c r="G408" s="66">
        <v>0.218</v>
      </c>
      <c r="H408" s="66" t="s">
        <v>277</v>
      </c>
      <c r="I408" s="82">
        <f t="shared" si="1"/>
        <v>0.9036697248</v>
      </c>
      <c r="J408" s="82">
        <f t="shared" si="2"/>
        <v>0.5253012048</v>
      </c>
    </row>
    <row r="409">
      <c r="A409" s="83">
        <v>44665.0</v>
      </c>
      <c r="B409" s="66">
        <v>2345.0</v>
      </c>
      <c r="C409" s="66">
        <v>2.0</v>
      </c>
      <c r="D409" s="66" t="s">
        <v>227</v>
      </c>
      <c r="E409" s="66">
        <v>1.0</v>
      </c>
      <c r="F409" s="66">
        <v>0.3103</v>
      </c>
      <c r="G409" s="66">
        <v>0.163</v>
      </c>
      <c r="H409" s="66" t="s">
        <v>277</v>
      </c>
      <c r="I409" s="82">
        <f t="shared" si="1"/>
        <v>0.9036809816</v>
      </c>
      <c r="J409" s="82">
        <f t="shared" si="2"/>
        <v>0.5252980986</v>
      </c>
    </row>
    <row r="410">
      <c r="A410" s="83">
        <v>44665.0</v>
      </c>
      <c r="B410" s="66">
        <v>2350.0</v>
      </c>
      <c r="C410" s="66">
        <v>1.0</v>
      </c>
      <c r="D410" s="66" t="s">
        <v>228</v>
      </c>
      <c r="E410" s="66">
        <v>0.0</v>
      </c>
      <c r="F410" s="66">
        <v>0.4209</v>
      </c>
      <c r="G410" s="66">
        <v>0.221</v>
      </c>
      <c r="H410" s="66" t="s">
        <v>277</v>
      </c>
      <c r="I410" s="82">
        <f t="shared" si="1"/>
        <v>0.9045248869</v>
      </c>
      <c r="J410" s="82">
        <f t="shared" si="2"/>
        <v>0.5250653362</v>
      </c>
    </row>
    <row r="411">
      <c r="A411" s="83">
        <v>44665.0</v>
      </c>
      <c r="B411" s="66">
        <v>2350.0</v>
      </c>
      <c r="C411" s="66">
        <v>1.0</v>
      </c>
      <c r="D411" s="66" t="s">
        <v>227</v>
      </c>
      <c r="E411" s="66">
        <v>0.0</v>
      </c>
      <c r="F411" s="66">
        <v>1.0952</v>
      </c>
      <c r="G411" s="66">
        <v>0.575</v>
      </c>
      <c r="H411" s="66" t="s">
        <v>277</v>
      </c>
      <c r="I411" s="82">
        <f t="shared" si="1"/>
        <v>0.9046956522</v>
      </c>
      <c r="J411" s="82">
        <f t="shared" si="2"/>
        <v>0.5250182615</v>
      </c>
    </row>
    <row r="412">
      <c r="A412" s="83">
        <v>44665.0</v>
      </c>
      <c r="B412" s="66">
        <v>2350.0</v>
      </c>
      <c r="C412" s="66">
        <v>1.0</v>
      </c>
      <c r="D412" s="66" t="s">
        <v>227</v>
      </c>
      <c r="E412" s="66">
        <v>1.0</v>
      </c>
      <c r="F412" s="66">
        <v>0.1819</v>
      </c>
      <c r="G412" s="66">
        <v>0.0955</v>
      </c>
      <c r="H412" s="66" t="s">
        <v>280</v>
      </c>
      <c r="I412" s="82">
        <f t="shared" si="1"/>
        <v>0.9047120419</v>
      </c>
      <c r="J412" s="82">
        <f t="shared" si="2"/>
        <v>0.5250137438</v>
      </c>
    </row>
    <row r="413">
      <c r="A413" s="83">
        <v>44665.0</v>
      </c>
      <c r="B413" s="66">
        <v>2351.0</v>
      </c>
      <c r="C413" s="66">
        <v>1.0</v>
      </c>
      <c r="D413" s="66" t="s">
        <v>228</v>
      </c>
      <c r="E413" s="66">
        <v>0.0</v>
      </c>
      <c r="F413" s="66">
        <v>0.3063</v>
      </c>
      <c r="G413" s="66">
        <v>0.1608</v>
      </c>
      <c r="H413" s="66" t="s">
        <v>276</v>
      </c>
      <c r="I413" s="82">
        <f t="shared" si="1"/>
        <v>0.9048507463</v>
      </c>
      <c r="J413" s="82">
        <f t="shared" si="2"/>
        <v>0.5249755142</v>
      </c>
    </row>
    <row r="414">
      <c r="A414" s="83">
        <v>44665.0</v>
      </c>
      <c r="B414" s="66">
        <v>2351.0</v>
      </c>
      <c r="C414" s="66">
        <v>1.0</v>
      </c>
      <c r="D414" s="66" t="s">
        <v>228</v>
      </c>
      <c r="E414" s="66">
        <v>0.0</v>
      </c>
      <c r="F414" s="66">
        <v>0.4117</v>
      </c>
      <c r="G414" s="66">
        <v>0.216</v>
      </c>
      <c r="H414" s="66" t="s">
        <v>276</v>
      </c>
      <c r="I414" s="82">
        <f t="shared" si="1"/>
        <v>0.9060185185</v>
      </c>
      <c r="J414" s="82">
        <f t="shared" si="2"/>
        <v>0.5246538742</v>
      </c>
    </row>
    <row r="415">
      <c r="A415" s="83">
        <v>44665.0</v>
      </c>
      <c r="B415" s="66">
        <v>2351.0</v>
      </c>
      <c r="C415" s="66">
        <v>1.0</v>
      </c>
      <c r="D415" s="66" t="s">
        <v>227</v>
      </c>
      <c r="E415" s="66">
        <v>0.0</v>
      </c>
      <c r="F415" s="66">
        <v>0.467</v>
      </c>
      <c r="G415" s="66">
        <v>0.245</v>
      </c>
      <c r="I415" s="82">
        <f t="shared" si="1"/>
        <v>0.906122449</v>
      </c>
      <c r="J415" s="82">
        <f t="shared" si="2"/>
        <v>0.5246252677</v>
      </c>
    </row>
    <row r="416">
      <c r="A416" s="83">
        <v>44665.0</v>
      </c>
      <c r="B416" s="66">
        <v>2351.0</v>
      </c>
      <c r="C416" s="66">
        <v>1.0</v>
      </c>
      <c r="D416" s="66" t="s">
        <v>227</v>
      </c>
      <c r="E416" s="66">
        <v>0.0</v>
      </c>
      <c r="F416" s="66">
        <v>1.0808</v>
      </c>
      <c r="G416" s="66">
        <v>0.567</v>
      </c>
      <c r="I416" s="82">
        <f t="shared" si="1"/>
        <v>0.9061728395</v>
      </c>
      <c r="J416" s="82">
        <f t="shared" si="2"/>
        <v>0.524611399</v>
      </c>
    </row>
    <row r="417">
      <c r="A417" s="83">
        <v>44665.0</v>
      </c>
      <c r="B417" s="66">
        <v>2351.0</v>
      </c>
      <c r="C417" s="66">
        <v>1.0</v>
      </c>
      <c r="D417" s="66" t="s">
        <v>227</v>
      </c>
      <c r="E417" s="66">
        <v>1.0</v>
      </c>
      <c r="F417" s="66">
        <v>1.4773</v>
      </c>
      <c r="G417" s="66">
        <v>0.775</v>
      </c>
      <c r="I417" s="82">
        <f t="shared" si="1"/>
        <v>0.9061935484</v>
      </c>
      <c r="J417" s="82">
        <f t="shared" si="2"/>
        <v>0.5246056996</v>
      </c>
    </row>
    <row r="418">
      <c r="A418" s="83">
        <v>44665.0</v>
      </c>
      <c r="B418" s="66">
        <v>2351.0</v>
      </c>
      <c r="C418" s="66">
        <v>1.0</v>
      </c>
      <c r="D418" s="66" t="s">
        <v>227</v>
      </c>
      <c r="E418" s="66">
        <v>1.0</v>
      </c>
      <c r="F418" s="66">
        <v>2.4119</v>
      </c>
      <c r="G418" s="66">
        <v>1.265</v>
      </c>
      <c r="H418" s="66" t="s">
        <v>280</v>
      </c>
      <c r="I418" s="82">
        <f t="shared" si="1"/>
        <v>0.9066403162</v>
      </c>
      <c r="J418" s="82">
        <f t="shared" si="2"/>
        <v>0.5244827729</v>
      </c>
    </row>
    <row r="419">
      <c r="A419" s="83">
        <v>44665.0</v>
      </c>
      <c r="B419" s="66">
        <v>2351.0</v>
      </c>
      <c r="C419" s="66">
        <v>1.0</v>
      </c>
      <c r="D419" s="66" t="s">
        <v>227</v>
      </c>
      <c r="E419" s="66">
        <v>1.0</v>
      </c>
      <c r="F419" s="66">
        <v>0.7628</v>
      </c>
      <c r="G419" s="66">
        <v>0.4</v>
      </c>
      <c r="I419" s="82">
        <f t="shared" si="1"/>
        <v>0.907</v>
      </c>
      <c r="J419" s="82">
        <f t="shared" si="2"/>
        <v>0.524383849</v>
      </c>
    </row>
    <row r="420">
      <c r="A420" s="83">
        <v>44665.0</v>
      </c>
      <c r="B420" s="66">
        <v>2351.0</v>
      </c>
      <c r="C420" s="66">
        <v>2.0</v>
      </c>
      <c r="D420" s="66" t="s">
        <v>228</v>
      </c>
      <c r="E420" s="66">
        <v>1.0</v>
      </c>
      <c r="F420" s="66">
        <v>0.0229</v>
      </c>
      <c r="G420" s="66">
        <v>0.012</v>
      </c>
      <c r="H420" s="66" t="s">
        <v>277</v>
      </c>
      <c r="I420" s="82">
        <f t="shared" si="1"/>
        <v>0.9083333333</v>
      </c>
      <c r="J420" s="82">
        <f t="shared" si="2"/>
        <v>0.5240174672</v>
      </c>
    </row>
    <row r="421">
      <c r="A421" s="83">
        <v>44665.0</v>
      </c>
      <c r="B421" s="66">
        <v>2351.0</v>
      </c>
      <c r="C421" s="66">
        <v>2.0</v>
      </c>
      <c r="D421" s="66" t="s">
        <v>227</v>
      </c>
      <c r="E421" s="66">
        <v>0.0</v>
      </c>
      <c r="F421" s="66">
        <v>0.6215</v>
      </c>
      <c r="G421" s="66">
        <v>0.3256</v>
      </c>
      <c r="H421" s="66" t="s">
        <v>276</v>
      </c>
      <c r="I421" s="82">
        <f t="shared" si="1"/>
        <v>0.9087837838</v>
      </c>
      <c r="J421" s="82">
        <f t="shared" si="2"/>
        <v>0.5238938053</v>
      </c>
    </row>
    <row r="422">
      <c r="A422" s="83">
        <v>44665.0</v>
      </c>
      <c r="B422" s="66">
        <v>2351.0</v>
      </c>
      <c r="C422" s="66">
        <v>3.0</v>
      </c>
      <c r="D422" s="66" t="s">
        <v>228</v>
      </c>
      <c r="E422" s="66">
        <v>0.0</v>
      </c>
      <c r="F422" s="66">
        <v>1.258</v>
      </c>
      <c r="G422" s="66">
        <v>0.659</v>
      </c>
      <c r="H422" s="66" t="s">
        <v>277</v>
      </c>
      <c r="I422" s="82">
        <f t="shared" si="1"/>
        <v>0.908952959</v>
      </c>
      <c r="J422" s="82">
        <f t="shared" si="2"/>
        <v>0.5238473768</v>
      </c>
    </row>
    <row r="423">
      <c r="A423" s="83">
        <v>44665.0</v>
      </c>
      <c r="B423" s="66">
        <v>2351.0</v>
      </c>
      <c r="C423" s="66">
        <v>3.0</v>
      </c>
      <c r="D423" s="66" t="s">
        <v>227</v>
      </c>
      <c r="E423" s="66">
        <v>0.0</v>
      </c>
      <c r="F423" s="66">
        <v>1.22</v>
      </c>
      <c r="G423" s="66">
        <v>0.639</v>
      </c>
      <c r="H423" s="66" t="s">
        <v>277</v>
      </c>
      <c r="I423" s="82">
        <f t="shared" si="1"/>
        <v>0.9092331768</v>
      </c>
      <c r="J423" s="82">
        <f t="shared" si="2"/>
        <v>0.5237704918</v>
      </c>
    </row>
    <row r="424">
      <c r="A424" s="83">
        <v>44665.0</v>
      </c>
      <c r="B424" s="66">
        <v>2360.0</v>
      </c>
      <c r="C424" s="66">
        <v>1.0</v>
      </c>
      <c r="D424" s="66" t="s">
        <v>228</v>
      </c>
      <c r="E424" s="66">
        <v>0.0</v>
      </c>
      <c r="F424" s="66">
        <v>0.4468</v>
      </c>
      <c r="G424" s="66">
        <v>0.234</v>
      </c>
      <c r="H424" s="66" t="s">
        <v>277</v>
      </c>
      <c r="I424" s="82">
        <f t="shared" si="1"/>
        <v>0.9094017094</v>
      </c>
      <c r="J424" s="82">
        <f t="shared" si="2"/>
        <v>0.5237242614</v>
      </c>
    </row>
    <row r="425">
      <c r="A425" s="83">
        <v>44665.0</v>
      </c>
      <c r="B425" s="66">
        <v>2360.0</v>
      </c>
      <c r="C425" s="66">
        <v>1.0</v>
      </c>
      <c r="D425" s="66" t="s">
        <v>227</v>
      </c>
      <c r="E425" s="66">
        <v>0.0</v>
      </c>
      <c r="F425" s="66">
        <v>0.2645</v>
      </c>
      <c r="G425" s="66">
        <v>0.1385</v>
      </c>
      <c r="H425" s="66" t="s">
        <v>276</v>
      </c>
      <c r="I425" s="82">
        <f t="shared" si="1"/>
        <v>0.9097472924</v>
      </c>
      <c r="J425" s="82">
        <f t="shared" si="2"/>
        <v>0.5236294896</v>
      </c>
    </row>
    <row r="426">
      <c r="A426" s="83">
        <v>44665.0</v>
      </c>
      <c r="B426" s="66">
        <v>2360.0</v>
      </c>
      <c r="C426" s="66">
        <v>1.0</v>
      </c>
      <c r="D426" s="66" t="s">
        <v>227</v>
      </c>
      <c r="E426" s="66">
        <v>1.0</v>
      </c>
      <c r="F426" s="66">
        <v>0.1261</v>
      </c>
      <c r="G426" s="66">
        <v>0.066</v>
      </c>
      <c r="I426" s="82">
        <f t="shared" si="1"/>
        <v>0.9106060606</v>
      </c>
      <c r="J426" s="82">
        <f t="shared" si="2"/>
        <v>0.5233941316</v>
      </c>
    </row>
    <row r="427">
      <c r="A427" s="83">
        <v>44665.0</v>
      </c>
      <c r="B427" s="66">
        <v>2365.0</v>
      </c>
      <c r="C427" s="66">
        <v>1.0</v>
      </c>
      <c r="D427" s="66" t="s">
        <v>228</v>
      </c>
      <c r="E427" s="66">
        <v>0.0</v>
      </c>
      <c r="F427" s="66">
        <v>0.0898</v>
      </c>
      <c r="G427" s="66">
        <v>0.047</v>
      </c>
      <c r="I427" s="82">
        <f t="shared" si="1"/>
        <v>0.9106382979</v>
      </c>
      <c r="J427" s="82">
        <f t="shared" si="2"/>
        <v>0.5233853007</v>
      </c>
    </row>
    <row r="428">
      <c r="A428" s="83">
        <v>44665.0</v>
      </c>
      <c r="B428" s="66">
        <v>2365.0</v>
      </c>
      <c r="C428" s="66">
        <v>1.0</v>
      </c>
      <c r="D428" s="66" t="s">
        <v>227</v>
      </c>
      <c r="E428" s="66">
        <v>1.0</v>
      </c>
      <c r="F428" s="66">
        <v>1.3846</v>
      </c>
      <c r="G428" s="66">
        <v>0.7246</v>
      </c>
      <c r="H428" s="66" t="s">
        <v>280</v>
      </c>
      <c r="I428" s="82">
        <f t="shared" si="1"/>
        <v>0.9108473641</v>
      </c>
      <c r="J428" s="82">
        <f t="shared" si="2"/>
        <v>0.523328037</v>
      </c>
    </row>
    <row r="429">
      <c r="A429" s="83">
        <v>44665.0</v>
      </c>
      <c r="B429" s="66">
        <v>2367.0</v>
      </c>
      <c r="C429" s="66">
        <v>1.0</v>
      </c>
      <c r="D429" s="66" t="s">
        <v>228</v>
      </c>
      <c r="E429" s="66">
        <v>0.0</v>
      </c>
      <c r="F429" s="66">
        <v>0.4013</v>
      </c>
      <c r="G429" s="66">
        <v>0.21</v>
      </c>
      <c r="H429" s="66" t="s">
        <v>277</v>
      </c>
      <c r="I429" s="82">
        <f t="shared" si="1"/>
        <v>0.910952381</v>
      </c>
      <c r="J429" s="82">
        <f t="shared" si="2"/>
        <v>0.5232992773</v>
      </c>
    </row>
    <row r="430">
      <c r="A430" s="83">
        <v>44665.0</v>
      </c>
      <c r="B430" s="66">
        <v>2367.0</v>
      </c>
      <c r="C430" s="66">
        <v>1.0</v>
      </c>
      <c r="D430" s="66" t="s">
        <v>227</v>
      </c>
      <c r="E430" s="66">
        <v>0.0</v>
      </c>
      <c r="F430" s="66">
        <v>0.1739</v>
      </c>
      <c r="G430" s="66">
        <v>0.091</v>
      </c>
      <c r="I430" s="82">
        <f t="shared" si="1"/>
        <v>0.910989011</v>
      </c>
      <c r="J430" s="82">
        <f t="shared" si="2"/>
        <v>0.5232892467</v>
      </c>
    </row>
    <row r="431">
      <c r="A431" s="83">
        <v>44665.0</v>
      </c>
      <c r="B431" s="66">
        <v>2367.0</v>
      </c>
      <c r="C431" s="66">
        <v>1.0</v>
      </c>
      <c r="D431" s="66" t="s">
        <v>227</v>
      </c>
      <c r="E431" s="66">
        <v>1.0</v>
      </c>
      <c r="F431" s="66">
        <v>1.0264</v>
      </c>
      <c r="G431" s="66">
        <v>0.537</v>
      </c>
      <c r="I431" s="82">
        <f t="shared" si="1"/>
        <v>0.9113594041</v>
      </c>
      <c r="J431" s="82">
        <f t="shared" si="2"/>
        <v>0.523187841</v>
      </c>
    </row>
    <row r="432">
      <c r="A432" s="83">
        <v>44665.0</v>
      </c>
      <c r="B432" s="66">
        <v>2367.0</v>
      </c>
      <c r="C432" s="66">
        <v>2.0</v>
      </c>
      <c r="D432" s="66" t="s">
        <v>228</v>
      </c>
      <c r="E432" s="66">
        <v>0.0</v>
      </c>
      <c r="F432" s="66">
        <v>0.52</v>
      </c>
      <c r="G432" s="66">
        <v>0.272</v>
      </c>
      <c r="H432" s="66" t="s">
        <v>277</v>
      </c>
      <c r="I432" s="82">
        <f t="shared" si="1"/>
        <v>0.9117647059</v>
      </c>
      <c r="J432" s="82">
        <f t="shared" si="2"/>
        <v>0.5230769231</v>
      </c>
    </row>
    <row r="433">
      <c r="A433" s="83">
        <v>44665.0</v>
      </c>
      <c r="B433" s="66">
        <v>2367.0</v>
      </c>
      <c r="C433" s="66">
        <v>2.0</v>
      </c>
      <c r="D433" s="66" t="s">
        <v>227</v>
      </c>
      <c r="E433" s="66">
        <v>0.0</v>
      </c>
      <c r="F433" s="66">
        <v>0.1818</v>
      </c>
      <c r="G433" s="66">
        <v>0.095</v>
      </c>
      <c r="H433" s="66" t="s">
        <v>277</v>
      </c>
      <c r="I433" s="82">
        <f t="shared" si="1"/>
        <v>0.9136842105</v>
      </c>
      <c r="J433" s="82">
        <f t="shared" si="2"/>
        <v>0.5225522552</v>
      </c>
    </row>
    <row r="434">
      <c r="A434" s="83">
        <v>44665.0</v>
      </c>
      <c r="B434" s="66">
        <v>2367.0</v>
      </c>
      <c r="C434" s="66">
        <v>2.0</v>
      </c>
      <c r="D434" s="66" t="s">
        <v>227</v>
      </c>
      <c r="E434" s="66">
        <v>1.0</v>
      </c>
      <c r="F434" s="66">
        <v>0.1225</v>
      </c>
      <c r="G434" s="66">
        <v>0.064</v>
      </c>
      <c r="I434" s="82">
        <f t="shared" si="1"/>
        <v>0.9140625</v>
      </c>
      <c r="J434" s="82">
        <f t="shared" si="2"/>
        <v>0.5224489796</v>
      </c>
    </row>
    <row r="435">
      <c r="A435" s="83">
        <v>44665.0</v>
      </c>
      <c r="B435" s="66">
        <v>2369.0</v>
      </c>
      <c r="C435" s="66">
        <v>1.0</v>
      </c>
      <c r="D435" s="66" t="s">
        <v>228</v>
      </c>
      <c r="E435" s="66">
        <v>0.0</v>
      </c>
      <c r="F435" s="66">
        <v>1.382</v>
      </c>
      <c r="G435" s="66">
        <v>0.722</v>
      </c>
      <c r="H435" s="66" t="s">
        <v>277</v>
      </c>
      <c r="I435" s="82">
        <f t="shared" si="1"/>
        <v>0.9141274238</v>
      </c>
      <c r="J435" s="82">
        <f t="shared" si="2"/>
        <v>0.522431259</v>
      </c>
    </row>
    <row r="436">
      <c r="A436" s="83">
        <v>44665.0</v>
      </c>
      <c r="B436" s="66">
        <v>2369.0</v>
      </c>
      <c r="C436" s="66">
        <v>2.0</v>
      </c>
      <c r="D436" s="66" t="s">
        <v>228</v>
      </c>
      <c r="E436" s="66">
        <v>0.0</v>
      </c>
      <c r="F436" s="66">
        <v>0.1608</v>
      </c>
      <c r="G436" s="66">
        <v>0.084</v>
      </c>
      <c r="H436" s="66" t="s">
        <v>280</v>
      </c>
      <c r="I436" s="82">
        <f t="shared" si="1"/>
        <v>0.9142857143</v>
      </c>
      <c r="J436" s="82">
        <f t="shared" si="2"/>
        <v>0.5223880597</v>
      </c>
    </row>
    <row r="437">
      <c r="A437" s="83">
        <v>44665.0</v>
      </c>
      <c r="B437" s="66">
        <v>2369.0</v>
      </c>
      <c r="C437" s="66">
        <v>2.0</v>
      </c>
      <c r="D437" s="66" t="s">
        <v>227</v>
      </c>
      <c r="E437" s="66">
        <v>0.0</v>
      </c>
      <c r="F437" s="66">
        <v>0.3465</v>
      </c>
      <c r="G437" s="66">
        <v>0.181</v>
      </c>
      <c r="H437" s="66" t="s">
        <v>276</v>
      </c>
      <c r="I437" s="82">
        <f t="shared" si="1"/>
        <v>0.9143646409</v>
      </c>
      <c r="J437" s="82">
        <f t="shared" si="2"/>
        <v>0.5223665224</v>
      </c>
    </row>
    <row r="438">
      <c r="A438" s="83">
        <v>44665.0</v>
      </c>
      <c r="B438" s="66">
        <v>2369.0</v>
      </c>
      <c r="C438" s="66">
        <v>2.0</v>
      </c>
      <c r="D438" s="66" t="s">
        <v>227</v>
      </c>
      <c r="E438" s="66">
        <v>1.0</v>
      </c>
      <c r="F438" s="66">
        <v>0.4384</v>
      </c>
      <c r="G438" s="66">
        <v>0.229</v>
      </c>
      <c r="I438" s="82">
        <f t="shared" si="1"/>
        <v>0.9144104803</v>
      </c>
      <c r="J438" s="82">
        <f t="shared" si="2"/>
        <v>0.5223540146</v>
      </c>
    </row>
    <row r="439">
      <c r="A439" s="83">
        <v>44665.0</v>
      </c>
      <c r="B439" s="66">
        <v>2375.0</v>
      </c>
      <c r="C439" s="66">
        <v>1.0</v>
      </c>
      <c r="D439" s="66" t="s">
        <v>228</v>
      </c>
      <c r="E439" s="66">
        <v>0.0</v>
      </c>
      <c r="F439" s="66">
        <v>0.385</v>
      </c>
      <c r="G439" s="66">
        <v>0.201</v>
      </c>
      <c r="H439" s="66" t="s">
        <v>277</v>
      </c>
      <c r="I439" s="82">
        <f t="shared" si="1"/>
        <v>0.9154228856</v>
      </c>
      <c r="J439" s="82">
        <f t="shared" si="2"/>
        <v>0.5220779221</v>
      </c>
    </row>
    <row r="440">
      <c r="A440" s="83">
        <v>44665.0</v>
      </c>
      <c r="B440" s="66">
        <v>2375.0</v>
      </c>
      <c r="C440" s="66">
        <v>1.0</v>
      </c>
      <c r="D440" s="66" t="s">
        <v>227</v>
      </c>
      <c r="E440" s="66">
        <v>0.0</v>
      </c>
      <c r="F440" s="66">
        <v>2.4425</v>
      </c>
      <c r="G440" s="66">
        <v>1.275</v>
      </c>
      <c r="I440" s="82">
        <f t="shared" si="1"/>
        <v>0.9156862745</v>
      </c>
      <c r="J440" s="82">
        <f t="shared" si="2"/>
        <v>0.5220061412</v>
      </c>
    </row>
    <row r="441">
      <c r="A441" s="83">
        <v>44665.0</v>
      </c>
      <c r="B441" s="66">
        <v>2375.0</v>
      </c>
      <c r="C441" s="66">
        <v>1.0</v>
      </c>
      <c r="D441" s="66" t="s">
        <v>227</v>
      </c>
      <c r="E441" s="66">
        <v>1.0</v>
      </c>
      <c r="F441" s="66">
        <v>0.5154</v>
      </c>
      <c r="G441" s="66">
        <v>0.269</v>
      </c>
      <c r="H441" s="66" t="s">
        <v>276</v>
      </c>
      <c r="I441" s="82">
        <f t="shared" si="1"/>
        <v>0.9159851301</v>
      </c>
      <c r="J441" s="82">
        <f t="shared" si="2"/>
        <v>0.5219247187</v>
      </c>
    </row>
    <row r="442">
      <c r="A442" s="83">
        <v>44665.0</v>
      </c>
      <c r="B442" s="66">
        <v>2377.0</v>
      </c>
      <c r="C442" s="66">
        <v>1.0</v>
      </c>
      <c r="D442" s="66" t="s">
        <v>228</v>
      </c>
      <c r="E442" s="66">
        <v>0.0</v>
      </c>
      <c r="F442" s="66">
        <v>0.3085</v>
      </c>
      <c r="G442" s="66">
        <v>0.161</v>
      </c>
      <c r="I442" s="82">
        <f t="shared" si="1"/>
        <v>0.9161490683</v>
      </c>
      <c r="J442" s="82">
        <f t="shared" si="2"/>
        <v>0.5218800648</v>
      </c>
    </row>
    <row r="443">
      <c r="A443" s="83">
        <v>44665.0</v>
      </c>
      <c r="B443" s="66">
        <v>2377.0</v>
      </c>
      <c r="C443" s="66">
        <v>1.0</v>
      </c>
      <c r="D443" s="66" t="s">
        <v>228</v>
      </c>
      <c r="E443" s="66">
        <v>1.0</v>
      </c>
      <c r="F443" s="66">
        <v>0.5175</v>
      </c>
      <c r="G443" s="66">
        <v>0.27</v>
      </c>
      <c r="I443" s="82">
        <f t="shared" si="1"/>
        <v>0.9166666667</v>
      </c>
      <c r="J443" s="82">
        <f t="shared" si="2"/>
        <v>0.5217391304</v>
      </c>
    </row>
    <row r="444">
      <c r="A444" s="83">
        <v>44665.0</v>
      </c>
      <c r="B444" s="66">
        <v>2377.0</v>
      </c>
      <c r="C444" s="66">
        <v>1.0</v>
      </c>
      <c r="D444" s="66" t="s">
        <v>227</v>
      </c>
      <c r="E444" s="66">
        <v>0.0</v>
      </c>
      <c r="F444" s="66">
        <v>0.092</v>
      </c>
      <c r="G444" s="66">
        <v>0.048</v>
      </c>
      <c r="H444" s="66" t="s">
        <v>277</v>
      </c>
      <c r="I444" s="82">
        <f t="shared" si="1"/>
        <v>0.9166666667</v>
      </c>
      <c r="J444" s="82">
        <f t="shared" si="2"/>
        <v>0.5217391304</v>
      </c>
    </row>
    <row r="445">
      <c r="A445" s="83">
        <v>44665.0</v>
      </c>
      <c r="B445" s="66">
        <v>2377.0</v>
      </c>
      <c r="C445" s="66">
        <v>1.0</v>
      </c>
      <c r="D445" s="66" t="s">
        <v>227</v>
      </c>
      <c r="E445" s="66">
        <v>1.0</v>
      </c>
      <c r="F445" s="66">
        <v>0.9136</v>
      </c>
      <c r="G445" s="66">
        <v>0.4766</v>
      </c>
      <c r="H445" s="66" t="s">
        <v>280</v>
      </c>
      <c r="I445" s="82">
        <f t="shared" si="1"/>
        <v>0.9169114561</v>
      </c>
      <c r="J445" s="82">
        <f t="shared" si="2"/>
        <v>0.5216725044</v>
      </c>
    </row>
    <row r="446">
      <c r="A446" s="83">
        <v>44665.0</v>
      </c>
      <c r="B446" s="66">
        <v>2377.0</v>
      </c>
      <c r="C446" s="66">
        <v>2.0</v>
      </c>
      <c r="D446" s="66" t="s">
        <v>228</v>
      </c>
      <c r="E446" s="66">
        <v>1.0</v>
      </c>
      <c r="F446" s="66">
        <v>0.0786</v>
      </c>
      <c r="G446" s="66">
        <v>0.041</v>
      </c>
      <c r="I446" s="82">
        <f t="shared" si="1"/>
        <v>0.9170731707</v>
      </c>
      <c r="J446" s="82">
        <f t="shared" si="2"/>
        <v>0.5216284987</v>
      </c>
    </row>
    <row r="447">
      <c r="A447" s="83">
        <v>44665.0</v>
      </c>
      <c r="B447" s="66">
        <v>2377.0</v>
      </c>
      <c r="C447" s="66">
        <v>2.0</v>
      </c>
      <c r="D447" s="66" t="s">
        <v>227</v>
      </c>
      <c r="E447" s="66">
        <v>1.0</v>
      </c>
      <c r="F447" s="66">
        <v>0.2953</v>
      </c>
      <c r="G447" s="66">
        <v>0.154</v>
      </c>
      <c r="H447" s="66" t="s">
        <v>277</v>
      </c>
      <c r="I447" s="82">
        <f t="shared" si="1"/>
        <v>0.9175324675</v>
      </c>
      <c r="J447" s="82">
        <f t="shared" si="2"/>
        <v>0.5215035557</v>
      </c>
    </row>
    <row r="448">
      <c r="A448" s="83">
        <v>44665.0</v>
      </c>
      <c r="B448" s="66">
        <v>2377.0</v>
      </c>
      <c r="C448" s="66">
        <v>3.0</v>
      </c>
      <c r="D448" s="66" t="s">
        <v>228</v>
      </c>
      <c r="E448" s="66">
        <v>1.0</v>
      </c>
      <c r="F448" s="66">
        <v>0.1956</v>
      </c>
      <c r="G448" s="66">
        <v>0.102</v>
      </c>
      <c r="H448" s="66" t="s">
        <v>277</v>
      </c>
      <c r="I448" s="82">
        <f t="shared" si="1"/>
        <v>0.9176470588</v>
      </c>
      <c r="J448" s="82">
        <f t="shared" si="2"/>
        <v>0.5214723926</v>
      </c>
    </row>
    <row r="449">
      <c r="A449" s="83">
        <v>44665.0</v>
      </c>
      <c r="B449" s="66">
        <v>2377.0</v>
      </c>
      <c r="C449" s="66">
        <v>3.0</v>
      </c>
      <c r="D449" s="66" t="s">
        <v>227</v>
      </c>
      <c r="E449" s="66">
        <v>1.0</v>
      </c>
      <c r="F449" s="66">
        <v>0.1515</v>
      </c>
      <c r="G449" s="66">
        <v>0.079</v>
      </c>
      <c r="I449" s="82">
        <f t="shared" si="1"/>
        <v>0.917721519</v>
      </c>
      <c r="J449" s="82">
        <f t="shared" si="2"/>
        <v>0.5214521452</v>
      </c>
    </row>
    <row r="450">
      <c r="A450" s="83">
        <v>44665.0</v>
      </c>
      <c r="B450" s="66">
        <v>2378.0</v>
      </c>
      <c r="C450" s="66">
        <v>2.0</v>
      </c>
      <c r="D450" s="66" t="s">
        <v>228</v>
      </c>
      <c r="E450" s="66">
        <v>0.0</v>
      </c>
      <c r="F450" s="66">
        <v>0.1189</v>
      </c>
      <c r="G450" s="66">
        <v>0.062</v>
      </c>
      <c r="I450" s="82">
        <f t="shared" si="1"/>
        <v>0.9177419355</v>
      </c>
      <c r="J450" s="82">
        <f t="shared" si="2"/>
        <v>0.5214465938</v>
      </c>
    </row>
    <row r="451">
      <c r="A451" s="83">
        <v>44665.0</v>
      </c>
      <c r="B451" s="66">
        <v>2378.0</v>
      </c>
      <c r="C451" s="66">
        <v>2.0</v>
      </c>
      <c r="D451" s="66" t="s">
        <v>227</v>
      </c>
      <c r="E451" s="66">
        <v>1.0</v>
      </c>
      <c r="F451" s="66">
        <v>0.1822</v>
      </c>
      <c r="G451" s="66">
        <v>0.095</v>
      </c>
      <c r="H451" s="66" t="s">
        <v>277</v>
      </c>
      <c r="I451" s="82">
        <f t="shared" si="1"/>
        <v>0.9178947368</v>
      </c>
      <c r="J451" s="82">
        <f t="shared" si="2"/>
        <v>0.5214050494</v>
      </c>
    </row>
    <row r="452">
      <c r="A452" s="83">
        <v>44665.0</v>
      </c>
      <c r="B452" s="66">
        <v>2379.0</v>
      </c>
      <c r="C452" s="66">
        <v>1.0</v>
      </c>
      <c r="D452" s="66" t="s">
        <v>228</v>
      </c>
      <c r="E452" s="66">
        <v>0.0</v>
      </c>
      <c r="F452" s="66">
        <v>1.1069</v>
      </c>
      <c r="G452" s="66">
        <v>0.5771</v>
      </c>
      <c r="I452" s="82">
        <f t="shared" si="1"/>
        <v>0.9180384682</v>
      </c>
      <c r="J452" s="82">
        <f t="shared" si="2"/>
        <v>0.5213659771</v>
      </c>
    </row>
    <row r="453">
      <c r="A453" s="83">
        <v>44665.0</v>
      </c>
      <c r="B453" s="66">
        <v>2379.0</v>
      </c>
      <c r="C453" s="66">
        <v>1.0</v>
      </c>
      <c r="D453" s="66" t="s">
        <v>227</v>
      </c>
      <c r="E453" s="66">
        <v>0.0</v>
      </c>
      <c r="F453" s="66">
        <v>1.2727</v>
      </c>
      <c r="G453" s="66">
        <v>0.6634</v>
      </c>
      <c r="H453" s="66" t="s">
        <v>276</v>
      </c>
      <c r="I453" s="82">
        <f t="shared" si="1"/>
        <v>0.918450407</v>
      </c>
      <c r="J453" s="82">
        <f t="shared" si="2"/>
        <v>0.5212540269</v>
      </c>
    </row>
    <row r="454">
      <c r="A454" s="83">
        <v>44665.0</v>
      </c>
      <c r="B454" s="66">
        <v>2379.0</v>
      </c>
      <c r="C454" s="66">
        <v>1.0</v>
      </c>
      <c r="D454" s="66" t="s">
        <v>227</v>
      </c>
      <c r="E454" s="66">
        <v>1.0</v>
      </c>
      <c r="F454" s="66">
        <v>0.2725</v>
      </c>
      <c r="G454" s="66">
        <v>0.142</v>
      </c>
      <c r="I454" s="82">
        <f t="shared" si="1"/>
        <v>0.9190140845</v>
      </c>
      <c r="J454" s="82">
        <f t="shared" si="2"/>
        <v>0.5211009174</v>
      </c>
    </row>
    <row r="455">
      <c r="A455" s="83">
        <v>44665.0</v>
      </c>
      <c r="B455" s="66">
        <v>2379.0</v>
      </c>
      <c r="C455" s="66">
        <v>2.0</v>
      </c>
      <c r="D455" s="66" t="s">
        <v>228</v>
      </c>
      <c r="E455" s="66">
        <v>0.0</v>
      </c>
      <c r="F455" s="66">
        <v>0.0735</v>
      </c>
      <c r="G455" s="66">
        <v>0.0383</v>
      </c>
      <c r="H455" s="66" t="s">
        <v>277</v>
      </c>
      <c r="I455" s="82">
        <f t="shared" si="1"/>
        <v>0.9190600522</v>
      </c>
      <c r="J455" s="82">
        <f t="shared" si="2"/>
        <v>0.5210884354</v>
      </c>
    </row>
    <row r="456">
      <c r="A456" s="83">
        <v>44665.0</v>
      </c>
      <c r="B456" s="66">
        <v>2379.0</v>
      </c>
      <c r="C456" s="66">
        <v>2.0</v>
      </c>
      <c r="D456" s="66" t="s">
        <v>227</v>
      </c>
      <c r="E456" s="66">
        <v>0.0</v>
      </c>
      <c r="F456" s="66">
        <v>0.8216</v>
      </c>
      <c r="G456" s="66">
        <v>0.428</v>
      </c>
      <c r="I456" s="82">
        <f t="shared" si="1"/>
        <v>0.9196261682</v>
      </c>
      <c r="J456" s="82">
        <f t="shared" si="2"/>
        <v>0.5209347614</v>
      </c>
    </row>
    <row r="457">
      <c r="A457" s="83">
        <v>44665.0</v>
      </c>
      <c r="B457" s="66">
        <v>2379.0</v>
      </c>
      <c r="C457" s="66">
        <v>2.0</v>
      </c>
      <c r="D457" s="66" t="s">
        <v>227</v>
      </c>
      <c r="E457" s="66">
        <v>1.0</v>
      </c>
      <c r="F457" s="66">
        <v>0.2156</v>
      </c>
      <c r="G457" s="66">
        <v>0.1123</v>
      </c>
      <c r="H457" s="66" t="s">
        <v>276</v>
      </c>
      <c r="I457" s="82">
        <f t="shared" si="1"/>
        <v>0.9198575245</v>
      </c>
      <c r="J457" s="82">
        <f t="shared" si="2"/>
        <v>0.5208719852</v>
      </c>
    </row>
    <row r="458">
      <c r="A458" s="83">
        <v>44665.0</v>
      </c>
      <c r="B458" s="66">
        <v>2379.0</v>
      </c>
      <c r="C458" s="66">
        <v>3.0</v>
      </c>
      <c r="D458" s="66" t="s">
        <v>228</v>
      </c>
      <c r="E458" s="66">
        <v>0.0</v>
      </c>
      <c r="F458" s="66">
        <v>0.2304</v>
      </c>
      <c r="G458" s="66">
        <v>0.12</v>
      </c>
      <c r="H458" s="66" t="s">
        <v>277</v>
      </c>
      <c r="I458" s="82">
        <f t="shared" si="1"/>
        <v>0.92</v>
      </c>
      <c r="J458" s="82">
        <f t="shared" si="2"/>
        <v>0.5208333333</v>
      </c>
    </row>
    <row r="459">
      <c r="A459" s="83">
        <v>44665.0</v>
      </c>
      <c r="B459" s="66">
        <v>2379.0</v>
      </c>
      <c r="C459" s="66">
        <v>3.0</v>
      </c>
      <c r="D459" s="66" t="s">
        <v>227</v>
      </c>
      <c r="E459" s="66">
        <v>0.0</v>
      </c>
      <c r="F459" s="66">
        <v>0.1037</v>
      </c>
      <c r="G459" s="66">
        <v>0.054</v>
      </c>
      <c r="I459" s="82">
        <f t="shared" si="1"/>
        <v>0.9203703704</v>
      </c>
      <c r="J459" s="82">
        <f t="shared" si="2"/>
        <v>0.5207328833</v>
      </c>
    </row>
    <row r="460">
      <c r="A460" s="83">
        <v>44665.0</v>
      </c>
      <c r="B460" s="66">
        <v>2379.0</v>
      </c>
      <c r="C460" s="66">
        <v>3.0</v>
      </c>
      <c r="D460" s="66" t="s">
        <v>227</v>
      </c>
      <c r="E460" s="66">
        <v>1.0</v>
      </c>
      <c r="F460" s="66">
        <v>0.5341</v>
      </c>
      <c r="G460" s="66">
        <v>0.278</v>
      </c>
      <c r="H460" s="66" t="s">
        <v>277</v>
      </c>
      <c r="I460" s="82">
        <f t="shared" si="1"/>
        <v>0.9212230216</v>
      </c>
      <c r="J460" s="82">
        <f t="shared" si="2"/>
        <v>0.5205017787</v>
      </c>
    </row>
    <row r="461">
      <c r="A461" s="83">
        <v>44665.0</v>
      </c>
      <c r="B461" s="66">
        <v>2380.0</v>
      </c>
      <c r="C461" s="66">
        <v>1.0</v>
      </c>
      <c r="D461" s="66" t="s">
        <v>228</v>
      </c>
      <c r="E461" s="66">
        <v>0.0</v>
      </c>
      <c r="F461" s="66">
        <v>1.1472</v>
      </c>
      <c r="G461" s="66">
        <v>0.597</v>
      </c>
      <c r="H461" s="66" t="s">
        <v>280</v>
      </c>
      <c r="I461" s="82">
        <f t="shared" si="1"/>
        <v>0.9216080402</v>
      </c>
      <c r="J461" s="82">
        <f t="shared" si="2"/>
        <v>0.5203974895</v>
      </c>
    </row>
    <row r="462">
      <c r="A462" s="83">
        <v>44665.0</v>
      </c>
      <c r="B462" s="66">
        <v>2380.0</v>
      </c>
      <c r="C462" s="66">
        <v>1.0</v>
      </c>
      <c r="D462" s="66" t="s">
        <v>228</v>
      </c>
      <c r="E462" s="66">
        <v>1.0</v>
      </c>
      <c r="F462" s="66">
        <v>0.2114</v>
      </c>
      <c r="G462" s="66">
        <v>0.11</v>
      </c>
      <c r="I462" s="82">
        <f t="shared" si="1"/>
        <v>0.9218181818</v>
      </c>
      <c r="J462" s="82">
        <f t="shared" si="2"/>
        <v>0.5203405866</v>
      </c>
    </row>
    <row r="463">
      <c r="A463" s="83">
        <v>44665.0</v>
      </c>
      <c r="B463" s="66">
        <v>2380.0</v>
      </c>
      <c r="C463" s="66">
        <v>1.0</v>
      </c>
      <c r="D463" s="66" t="s">
        <v>227</v>
      </c>
      <c r="E463" s="66">
        <v>0.0</v>
      </c>
      <c r="F463" s="66">
        <v>0.0817</v>
      </c>
      <c r="G463" s="66">
        <v>0.0425</v>
      </c>
      <c r="I463" s="82">
        <f t="shared" si="1"/>
        <v>0.9223529412</v>
      </c>
      <c r="J463" s="82">
        <f t="shared" si="2"/>
        <v>0.5201958384</v>
      </c>
    </row>
    <row r="464">
      <c r="A464" s="83">
        <v>44665.0</v>
      </c>
      <c r="B464" s="66">
        <v>2380.0</v>
      </c>
      <c r="C464" s="66">
        <v>1.0</v>
      </c>
      <c r="D464" s="66" t="s">
        <v>227</v>
      </c>
      <c r="E464" s="66">
        <v>1.0</v>
      </c>
      <c r="F464" s="66">
        <v>0.1461</v>
      </c>
      <c r="G464" s="66">
        <v>0.076</v>
      </c>
      <c r="I464" s="82">
        <f t="shared" si="1"/>
        <v>0.9223684211</v>
      </c>
      <c r="J464" s="82">
        <f t="shared" si="2"/>
        <v>0.5201916496</v>
      </c>
    </row>
    <row r="465">
      <c r="A465" s="83">
        <v>44665.0</v>
      </c>
      <c r="B465" s="66">
        <v>2380.0</v>
      </c>
      <c r="C465" s="66">
        <v>2.0</v>
      </c>
      <c r="D465" s="66" t="s">
        <v>228</v>
      </c>
      <c r="E465" s="66">
        <v>1.0</v>
      </c>
      <c r="F465" s="66">
        <v>0.0698</v>
      </c>
      <c r="G465" s="66">
        <v>0.0363</v>
      </c>
      <c r="I465" s="82">
        <f t="shared" si="1"/>
        <v>0.9228650138</v>
      </c>
      <c r="J465" s="82">
        <f t="shared" si="2"/>
        <v>0.5200573066</v>
      </c>
    </row>
    <row r="466">
      <c r="A466" s="83">
        <v>44665.0</v>
      </c>
      <c r="B466" s="66">
        <v>2380.0</v>
      </c>
      <c r="C466" s="66">
        <v>2.0</v>
      </c>
      <c r="D466" s="66" t="s">
        <v>227</v>
      </c>
      <c r="E466" s="66">
        <v>1.0</v>
      </c>
      <c r="F466" s="66">
        <v>0.05</v>
      </c>
      <c r="G466" s="66">
        <v>0.026</v>
      </c>
      <c r="I466" s="82">
        <f t="shared" si="1"/>
        <v>0.9230769231</v>
      </c>
      <c r="J466" s="82">
        <f t="shared" si="2"/>
        <v>0.52</v>
      </c>
    </row>
    <row r="467">
      <c r="A467" s="83">
        <v>44665.0</v>
      </c>
      <c r="B467" s="66">
        <v>2381.0</v>
      </c>
      <c r="C467" s="66">
        <v>1.0</v>
      </c>
      <c r="D467" s="66" t="s">
        <v>228</v>
      </c>
      <c r="E467" s="66">
        <v>0.0</v>
      </c>
      <c r="F467" s="66">
        <v>0.2558</v>
      </c>
      <c r="G467" s="66">
        <v>0.133</v>
      </c>
      <c r="H467" s="66" t="s">
        <v>277</v>
      </c>
      <c r="I467" s="82">
        <f t="shared" si="1"/>
        <v>0.9233082707</v>
      </c>
      <c r="J467" s="82">
        <f t="shared" si="2"/>
        <v>0.5199374511</v>
      </c>
    </row>
    <row r="468">
      <c r="A468" s="83">
        <v>44665.0</v>
      </c>
      <c r="B468" s="66">
        <v>2381.0</v>
      </c>
      <c r="C468" s="66">
        <v>1.0</v>
      </c>
      <c r="D468" s="66" t="s">
        <v>228</v>
      </c>
      <c r="E468" s="66">
        <v>1.0</v>
      </c>
      <c r="F468" s="66">
        <v>1.6221</v>
      </c>
      <c r="G468" s="66">
        <v>0.8433</v>
      </c>
      <c r="H468" s="66" t="s">
        <v>280</v>
      </c>
      <c r="I468" s="82">
        <f t="shared" si="1"/>
        <v>0.9235147634</v>
      </c>
      <c r="J468" s="82">
        <f t="shared" si="2"/>
        <v>0.5198816349</v>
      </c>
    </row>
    <row r="469">
      <c r="A469" s="83">
        <v>44665.0</v>
      </c>
      <c r="B469" s="66">
        <v>2381.0</v>
      </c>
      <c r="C469" s="66">
        <v>1.0</v>
      </c>
      <c r="D469" s="66" t="s">
        <v>227</v>
      </c>
      <c r="E469" s="66">
        <v>0.0</v>
      </c>
      <c r="F469" s="66">
        <v>0.6026</v>
      </c>
      <c r="G469" s="66">
        <v>0.3132</v>
      </c>
      <c r="I469" s="82">
        <f t="shared" si="1"/>
        <v>0.9240102171</v>
      </c>
      <c r="J469" s="82">
        <f t="shared" si="2"/>
        <v>0.5197477597</v>
      </c>
    </row>
    <row r="470">
      <c r="A470" s="83">
        <v>44665.0</v>
      </c>
      <c r="B470" s="66">
        <v>2381.0</v>
      </c>
      <c r="C470" s="66">
        <v>1.0</v>
      </c>
      <c r="D470" s="66" t="s">
        <v>227</v>
      </c>
      <c r="E470" s="66">
        <v>1.0</v>
      </c>
      <c r="F470" s="66">
        <v>0.2715</v>
      </c>
      <c r="G470" s="66">
        <v>0.1411</v>
      </c>
      <c r="I470" s="82">
        <f t="shared" si="1"/>
        <v>0.9241672573</v>
      </c>
      <c r="J470" s="82">
        <f t="shared" si="2"/>
        <v>0.5197053407</v>
      </c>
    </row>
    <row r="471">
      <c r="A471" s="83">
        <v>44665.0</v>
      </c>
      <c r="B471" s="66">
        <v>2381.0</v>
      </c>
      <c r="C471" s="66">
        <v>2.0</v>
      </c>
      <c r="D471" s="66" t="s">
        <v>228</v>
      </c>
      <c r="E471" s="66">
        <v>0.0</v>
      </c>
      <c r="F471" s="66">
        <v>1.2606</v>
      </c>
      <c r="G471" s="66">
        <v>0.655</v>
      </c>
      <c r="H471" s="66" t="s">
        <v>277</v>
      </c>
      <c r="I471" s="82">
        <f t="shared" si="1"/>
        <v>0.9245801527</v>
      </c>
      <c r="J471" s="82">
        <f t="shared" si="2"/>
        <v>0.5195938442</v>
      </c>
    </row>
    <row r="472">
      <c r="A472" s="83">
        <v>44665.0</v>
      </c>
      <c r="B472" s="66">
        <v>2381.0</v>
      </c>
      <c r="C472" s="66">
        <v>2.0</v>
      </c>
      <c r="D472" s="66" t="s">
        <v>228</v>
      </c>
      <c r="E472" s="66">
        <v>1.0</v>
      </c>
      <c r="F472" s="66">
        <v>1.813</v>
      </c>
      <c r="G472" s="66">
        <v>0.942</v>
      </c>
      <c r="H472" s="66" t="s">
        <v>277</v>
      </c>
      <c r="I472" s="82">
        <f t="shared" si="1"/>
        <v>0.9246284501</v>
      </c>
      <c r="J472" s="82">
        <f t="shared" si="2"/>
        <v>0.5195808053</v>
      </c>
    </row>
    <row r="473">
      <c r="A473" s="83">
        <v>44665.0</v>
      </c>
      <c r="B473" s="66">
        <v>2381.0</v>
      </c>
      <c r="C473" s="66">
        <v>2.0</v>
      </c>
      <c r="D473" s="66" t="s">
        <v>227</v>
      </c>
      <c r="E473" s="66">
        <v>0.0</v>
      </c>
      <c r="F473" s="66">
        <v>0.2891</v>
      </c>
      <c r="G473" s="66">
        <v>0.1502</v>
      </c>
      <c r="I473" s="82">
        <f t="shared" si="1"/>
        <v>0.9247669774</v>
      </c>
      <c r="J473" s="82">
        <f t="shared" si="2"/>
        <v>0.5195434106</v>
      </c>
    </row>
    <row r="474">
      <c r="A474" s="83">
        <v>44665.0</v>
      </c>
      <c r="B474" s="66">
        <v>2381.0</v>
      </c>
      <c r="C474" s="66">
        <v>2.0</v>
      </c>
      <c r="D474" s="66" t="s">
        <v>227</v>
      </c>
      <c r="E474" s="66">
        <v>0.0</v>
      </c>
      <c r="F474" s="66">
        <v>0.4486</v>
      </c>
      <c r="G474" s="66">
        <v>0.233</v>
      </c>
      <c r="H474" s="66" t="s">
        <v>277</v>
      </c>
      <c r="I474" s="82">
        <f t="shared" si="1"/>
        <v>0.9253218884</v>
      </c>
      <c r="J474" s="82">
        <f t="shared" si="2"/>
        <v>0.5193936692</v>
      </c>
    </row>
    <row r="475">
      <c r="A475" s="83">
        <v>44665.0</v>
      </c>
      <c r="B475" s="66">
        <v>2381.0</v>
      </c>
      <c r="C475" s="66">
        <v>2.0</v>
      </c>
      <c r="D475" s="66" t="s">
        <v>227</v>
      </c>
      <c r="E475" s="66">
        <v>1.0</v>
      </c>
      <c r="F475" s="66">
        <v>0.3031</v>
      </c>
      <c r="G475" s="66">
        <v>0.1574</v>
      </c>
      <c r="I475" s="82">
        <f t="shared" si="1"/>
        <v>0.9256670902</v>
      </c>
      <c r="J475" s="82">
        <f t="shared" si="2"/>
        <v>0.5193005609</v>
      </c>
    </row>
    <row r="476">
      <c r="A476" s="83">
        <v>44665.0</v>
      </c>
      <c r="B476" s="66">
        <v>2381.0</v>
      </c>
      <c r="C476" s="66">
        <v>3.0</v>
      </c>
      <c r="D476" s="66" t="s">
        <v>228</v>
      </c>
      <c r="E476" s="66">
        <v>0.0</v>
      </c>
      <c r="F476" s="66">
        <v>0.4911</v>
      </c>
      <c r="G476" s="66">
        <v>0.255</v>
      </c>
      <c r="H476" s="66" t="s">
        <v>277</v>
      </c>
      <c r="I476" s="82">
        <f t="shared" si="1"/>
        <v>0.9258823529</v>
      </c>
      <c r="J476" s="82">
        <f t="shared" si="2"/>
        <v>0.5192425168</v>
      </c>
    </row>
    <row r="477">
      <c r="A477" s="83">
        <v>44665.0</v>
      </c>
      <c r="B477" s="66">
        <v>2381.0</v>
      </c>
      <c r="C477" s="66">
        <v>3.0</v>
      </c>
      <c r="D477" s="66" t="s">
        <v>228</v>
      </c>
      <c r="E477" s="66">
        <v>1.0</v>
      </c>
      <c r="F477" s="66">
        <v>0.5181</v>
      </c>
      <c r="G477" s="66">
        <v>0.269</v>
      </c>
      <c r="H477" s="66" t="s">
        <v>277</v>
      </c>
      <c r="I477" s="82">
        <f t="shared" si="1"/>
        <v>0.9260223048</v>
      </c>
      <c r="J477" s="82">
        <f t="shared" si="2"/>
        <v>0.5192047867</v>
      </c>
    </row>
    <row r="478">
      <c r="A478" s="83">
        <v>44665.0</v>
      </c>
      <c r="B478" s="66">
        <v>2381.0</v>
      </c>
      <c r="C478" s="66">
        <v>3.0</v>
      </c>
      <c r="D478" s="66" t="s">
        <v>227</v>
      </c>
      <c r="E478" s="66">
        <v>0.0</v>
      </c>
      <c r="F478" s="66">
        <v>0.2138</v>
      </c>
      <c r="G478" s="66">
        <v>0.111</v>
      </c>
      <c r="H478" s="66" t="s">
        <v>277</v>
      </c>
      <c r="I478" s="82">
        <f t="shared" si="1"/>
        <v>0.9261261261</v>
      </c>
      <c r="J478" s="82">
        <f t="shared" si="2"/>
        <v>0.5191768007</v>
      </c>
    </row>
    <row r="479">
      <c r="A479" s="83">
        <v>44665.0</v>
      </c>
      <c r="B479" s="66">
        <v>2381.0</v>
      </c>
      <c r="C479" s="66">
        <v>3.0</v>
      </c>
      <c r="D479" s="66" t="s">
        <v>227</v>
      </c>
      <c r="E479" s="66">
        <v>0.0</v>
      </c>
      <c r="F479" s="66">
        <v>1.1397</v>
      </c>
      <c r="G479" s="66">
        <v>0.5917</v>
      </c>
      <c r="I479" s="82">
        <f t="shared" si="1"/>
        <v>0.9261450059</v>
      </c>
      <c r="J479" s="82">
        <f t="shared" si="2"/>
        <v>0.5191717119</v>
      </c>
    </row>
    <row r="480">
      <c r="A480" s="83">
        <v>44665.0</v>
      </c>
      <c r="B480" s="66">
        <v>2381.0</v>
      </c>
      <c r="C480" s="66">
        <v>3.0</v>
      </c>
      <c r="D480" s="66" t="s">
        <v>227</v>
      </c>
      <c r="E480" s="66">
        <v>1.0</v>
      </c>
      <c r="F480" s="66">
        <v>0.2484</v>
      </c>
      <c r="G480" s="66">
        <v>0.1289</v>
      </c>
      <c r="H480" s="66" t="s">
        <v>280</v>
      </c>
      <c r="I480" s="82">
        <f t="shared" si="1"/>
        <v>0.9270752521</v>
      </c>
      <c r="J480" s="82">
        <f t="shared" si="2"/>
        <v>0.518921095</v>
      </c>
    </row>
    <row r="481">
      <c r="A481" s="83">
        <v>44665.0</v>
      </c>
      <c r="B481" s="66">
        <v>2381.0</v>
      </c>
      <c r="C481" s="66">
        <v>3.0</v>
      </c>
      <c r="D481" s="66" t="s">
        <v>227</v>
      </c>
      <c r="E481" s="66">
        <v>1.0</v>
      </c>
      <c r="F481" s="66">
        <v>1.8793</v>
      </c>
      <c r="G481" s="66">
        <v>0.9752</v>
      </c>
      <c r="I481" s="82">
        <f t="shared" si="1"/>
        <v>0.9270918786</v>
      </c>
      <c r="J481" s="82">
        <f t="shared" si="2"/>
        <v>0.5189166179</v>
      </c>
    </row>
    <row r="482">
      <c r="A482" s="83">
        <v>44665.0</v>
      </c>
      <c r="B482" s="66">
        <v>2382.0</v>
      </c>
      <c r="C482" s="66">
        <v>1.0</v>
      </c>
      <c r="D482" s="66" t="s">
        <v>227</v>
      </c>
      <c r="E482" s="66">
        <v>0.0</v>
      </c>
      <c r="F482" s="66">
        <v>2.0579</v>
      </c>
      <c r="G482" s="66">
        <v>1.0677</v>
      </c>
      <c r="I482" s="82">
        <f t="shared" si="1"/>
        <v>0.9274140676</v>
      </c>
      <c r="J482" s="82">
        <f t="shared" si="2"/>
        <v>0.5188298751</v>
      </c>
    </row>
    <row r="483">
      <c r="A483" s="83">
        <v>44665.0</v>
      </c>
      <c r="B483" s="66">
        <v>2382.0</v>
      </c>
      <c r="C483" s="66">
        <v>2.0</v>
      </c>
      <c r="D483" s="66" t="s">
        <v>227</v>
      </c>
      <c r="E483" s="66">
        <v>1.0</v>
      </c>
      <c r="F483" s="66">
        <v>0.2988</v>
      </c>
      <c r="G483" s="66">
        <v>0.155</v>
      </c>
      <c r="I483" s="82">
        <f t="shared" si="1"/>
        <v>0.9277419355</v>
      </c>
      <c r="J483" s="82">
        <f t="shared" si="2"/>
        <v>0.5187416332</v>
      </c>
    </row>
    <row r="484">
      <c r="A484" s="83">
        <v>44665.0</v>
      </c>
      <c r="B484" s="66">
        <v>2383.0</v>
      </c>
      <c r="C484" s="66">
        <v>1.0</v>
      </c>
      <c r="D484" s="66" t="s">
        <v>227</v>
      </c>
      <c r="E484" s="66">
        <v>0.0</v>
      </c>
      <c r="F484" s="66">
        <v>0.0887</v>
      </c>
      <c r="G484" s="66">
        <v>0.046</v>
      </c>
      <c r="H484" s="66" t="s">
        <v>277</v>
      </c>
      <c r="I484" s="82">
        <f t="shared" si="1"/>
        <v>0.9282608696</v>
      </c>
      <c r="J484" s="82">
        <f t="shared" si="2"/>
        <v>0.5186020293</v>
      </c>
    </row>
    <row r="485">
      <c r="A485" s="83">
        <v>44665.0</v>
      </c>
      <c r="B485" s="66">
        <v>2383.0</v>
      </c>
      <c r="C485" s="66">
        <v>1.0</v>
      </c>
      <c r="D485" s="66" t="s">
        <v>227</v>
      </c>
      <c r="E485" s="66">
        <v>1.0</v>
      </c>
      <c r="F485" s="66">
        <v>0.1909</v>
      </c>
      <c r="G485" s="66">
        <v>0.099</v>
      </c>
      <c r="I485" s="82">
        <f t="shared" si="1"/>
        <v>0.9282828283</v>
      </c>
      <c r="J485" s="82">
        <f t="shared" si="2"/>
        <v>0.5185961236</v>
      </c>
    </row>
    <row r="486">
      <c r="A486" s="83">
        <v>44665.0</v>
      </c>
      <c r="B486" s="66">
        <v>2383.0</v>
      </c>
      <c r="C486" s="66">
        <v>2.0</v>
      </c>
      <c r="D486" s="66" t="s">
        <v>228</v>
      </c>
      <c r="E486" s="66">
        <v>0.0</v>
      </c>
      <c r="F486" s="66">
        <v>0.6116</v>
      </c>
      <c r="G486" s="66">
        <v>0.317</v>
      </c>
      <c r="H486" s="66" t="s">
        <v>277</v>
      </c>
      <c r="I486" s="82">
        <f t="shared" si="1"/>
        <v>0.9293375394</v>
      </c>
      <c r="J486" s="82">
        <f t="shared" si="2"/>
        <v>0.5183126226</v>
      </c>
    </row>
    <row r="487">
      <c r="A487" s="83">
        <v>44665.0</v>
      </c>
      <c r="B487" s="66">
        <v>2383.0</v>
      </c>
      <c r="C487" s="66">
        <v>2.0</v>
      </c>
      <c r="D487" s="66" t="s">
        <v>227</v>
      </c>
      <c r="E487" s="66">
        <v>0.0</v>
      </c>
      <c r="F487" s="66">
        <v>2.1312</v>
      </c>
      <c r="G487" s="66">
        <v>1.1045</v>
      </c>
      <c r="I487" s="82">
        <f t="shared" si="1"/>
        <v>0.9295608873</v>
      </c>
      <c r="J487" s="82">
        <f t="shared" si="2"/>
        <v>0.5182526276</v>
      </c>
    </row>
    <row r="488">
      <c r="A488" s="83">
        <v>44665.0</v>
      </c>
      <c r="B488" s="66">
        <v>2383.0</v>
      </c>
      <c r="C488" s="66">
        <v>2.0</v>
      </c>
      <c r="D488" s="66" t="s">
        <v>227</v>
      </c>
      <c r="E488" s="66">
        <v>1.0</v>
      </c>
      <c r="F488" s="66">
        <v>0.1595</v>
      </c>
      <c r="G488" s="66">
        <v>0.0826</v>
      </c>
      <c r="H488" s="66" t="s">
        <v>277</v>
      </c>
      <c r="I488" s="82">
        <f t="shared" si="1"/>
        <v>0.9309927361</v>
      </c>
      <c r="J488" s="82">
        <f t="shared" si="2"/>
        <v>0.5178683386</v>
      </c>
    </row>
    <row r="489">
      <c r="A489" s="83">
        <v>44665.0</v>
      </c>
      <c r="B489" s="66">
        <v>2383.0</v>
      </c>
      <c r="C489" s="66">
        <v>3.0</v>
      </c>
      <c r="D489" s="66" t="s">
        <v>228</v>
      </c>
      <c r="E489" s="66" t="s">
        <v>58</v>
      </c>
      <c r="F489" s="66">
        <v>0.9474</v>
      </c>
      <c r="G489" s="66">
        <v>0.4906</v>
      </c>
      <c r="I489" s="82">
        <f t="shared" si="1"/>
        <v>0.9311047697</v>
      </c>
      <c r="J489" s="82">
        <f t="shared" si="2"/>
        <v>0.5178382943</v>
      </c>
    </row>
    <row r="490">
      <c r="A490" s="83">
        <v>44665.0</v>
      </c>
      <c r="B490" s="66">
        <v>2383.0</v>
      </c>
      <c r="C490" s="66">
        <v>3.0</v>
      </c>
      <c r="D490" s="66" t="s">
        <v>227</v>
      </c>
      <c r="E490" s="66">
        <v>0.0</v>
      </c>
      <c r="F490" s="66">
        <v>0.6387</v>
      </c>
      <c r="G490" s="66">
        <v>0.3306</v>
      </c>
      <c r="I490" s="82">
        <f t="shared" si="1"/>
        <v>0.9319419238</v>
      </c>
      <c r="J490" s="82">
        <f t="shared" si="2"/>
        <v>0.5176139032</v>
      </c>
    </row>
    <row r="491">
      <c r="A491" s="83">
        <v>44665.0</v>
      </c>
      <c r="B491" s="66">
        <v>2383.0</v>
      </c>
      <c r="C491" s="66">
        <v>3.0</v>
      </c>
      <c r="D491" s="66" t="s">
        <v>227</v>
      </c>
      <c r="E491" s="66">
        <v>1.0</v>
      </c>
      <c r="F491" s="66">
        <v>0.8192</v>
      </c>
      <c r="G491" s="66">
        <v>0.424</v>
      </c>
      <c r="H491" s="66" t="s">
        <v>276</v>
      </c>
      <c r="I491" s="82">
        <f t="shared" si="1"/>
        <v>0.9320754717</v>
      </c>
      <c r="J491" s="82">
        <f t="shared" si="2"/>
        <v>0.517578125</v>
      </c>
    </row>
    <row r="492">
      <c r="A492" s="83">
        <v>44665.0</v>
      </c>
      <c r="B492" s="66">
        <v>2384.0</v>
      </c>
      <c r="C492" s="66">
        <v>1.0</v>
      </c>
      <c r="D492" s="66" t="s">
        <v>228</v>
      </c>
      <c r="E492" s="66">
        <v>0.0</v>
      </c>
      <c r="F492" s="66">
        <v>0.201</v>
      </c>
      <c r="G492" s="66">
        <v>0.104</v>
      </c>
      <c r="H492" s="66" t="s">
        <v>277</v>
      </c>
      <c r="I492" s="82">
        <f t="shared" si="1"/>
        <v>0.9326923077</v>
      </c>
      <c r="J492" s="82">
        <f t="shared" si="2"/>
        <v>0.5174129353</v>
      </c>
    </row>
    <row r="493">
      <c r="A493" s="83">
        <v>44665.0</v>
      </c>
      <c r="B493" s="66">
        <v>2384.0</v>
      </c>
      <c r="C493" s="66">
        <v>1.0</v>
      </c>
      <c r="D493" s="66" t="s">
        <v>227</v>
      </c>
      <c r="E493" s="66">
        <v>0.0</v>
      </c>
      <c r="F493" s="66">
        <v>0.092</v>
      </c>
      <c r="G493" s="66">
        <v>0.0476</v>
      </c>
      <c r="I493" s="82">
        <f t="shared" si="1"/>
        <v>0.9327731092</v>
      </c>
      <c r="J493" s="82">
        <f t="shared" si="2"/>
        <v>0.5173913043</v>
      </c>
    </row>
    <row r="494">
      <c r="A494" s="83">
        <v>44665.0</v>
      </c>
      <c r="B494" s="66">
        <v>2384.0</v>
      </c>
      <c r="C494" s="66">
        <v>1.0</v>
      </c>
      <c r="D494" s="66" t="s">
        <v>227</v>
      </c>
      <c r="E494" s="66">
        <v>1.0</v>
      </c>
      <c r="F494" s="66">
        <v>1.216</v>
      </c>
      <c r="G494" s="66">
        <v>0.629</v>
      </c>
      <c r="H494" s="66" t="s">
        <v>277</v>
      </c>
      <c r="I494" s="82">
        <f t="shared" si="1"/>
        <v>0.933227345</v>
      </c>
      <c r="J494" s="82">
        <f t="shared" si="2"/>
        <v>0.5172697368</v>
      </c>
    </row>
    <row r="495">
      <c r="A495" s="83">
        <v>44665.0</v>
      </c>
      <c r="B495" s="66">
        <v>2384.0</v>
      </c>
      <c r="C495" s="66">
        <v>2.0</v>
      </c>
      <c r="D495" s="66" t="s">
        <v>228</v>
      </c>
      <c r="E495" s="66">
        <v>0.0</v>
      </c>
      <c r="F495" s="66">
        <v>0.2978</v>
      </c>
      <c r="G495" s="107">
        <v>0.154</v>
      </c>
      <c r="I495" s="82">
        <f t="shared" si="1"/>
        <v>0.9337662338</v>
      </c>
      <c r="J495" s="82">
        <f t="shared" si="2"/>
        <v>0.5171255876</v>
      </c>
    </row>
    <row r="496">
      <c r="A496" s="83">
        <v>44665.0</v>
      </c>
      <c r="B496" s="66">
        <v>2384.0</v>
      </c>
      <c r="C496" s="66">
        <v>2.0</v>
      </c>
      <c r="D496" s="66" t="s">
        <v>227</v>
      </c>
      <c r="E496" s="66">
        <v>0.0</v>
      </c>
      <c r="F496" s="66">
        <v>0.9331</v>
      </c>
      <c r="G496" s="66">
        <v>0.4825</v>
      </c>
      <c r="H496" s="66" t="s">
        <v>280</v>
      </c>
      <c r="I496" s="82">
        <f t="shared" si="1"/>
        <v>0.9338860104</v>
      </c>
      <c r="J496" s="82">
        <f t="shared" si="2"/>
        <v>0.5170935591</v>
      </c>
    </row>
    <row r="497">
      <c r="A497" s="83">
        <v>44665.0</v>
      </c>
      <c r="B497" s="66">
        <v>2384.0</v>
      </c>
      <c r="C497" s="66">
        <v>2.0</v>
      </c>
      <c r="D497" s="66" t="s">
        <v>227</v>
      </c>
      <c r="E497" s="66">
        <v>1.0</v>
      </c>
      <c r="F497" s="66">
        <v>0.4754</v>
      </c>
      <c r="G497" s="66">
        <v>0.2458</v>
      </c>
      <c r="I497" s="82">
        <f t="shared" si="1"/>
        <v>0.9340927583</v>
      </c>
      <c r="J497" s="82">
        <f t="shared" si="2"/>
        <v>0.5170382836</v>
      </c>
    </row>
    <row r="498">
      <c r="A498" s="83">
        <v>44665.0</v>
      </c>
      <c r="B498" s="66">
        <v>2384.0</v>
      </c>
      <c r="C498" s="66">
        <v>3.0</v>
      </c>
      <c r="D498" s="66" t="s">
        <v>228</v>
      </c>
      <c r="E498" s="66">
        <v>0.0</v>
      </c>
      <c r="F498" s="66">
        <v>0.1087</v>
      </c>
      <c r="G498" s="66">
        <v>0.0562</v>
      </c>
      <c r="I498" s="82">
        <f t="shared" si="1"/>
        <v>0.9341637011</v>
      </c>
      <c r="J498" s="82">
        <f t="shared" si="2"/>
        <v>0.5170193192</v>
      </c>
    </row>
    <row r="499">
      <c r="A499" s="83">
        <v>44665.0</v>
      </c>
      <c r="B499" s="66">
        <v>2384.0</v>
      </c>
      <c r="C499" s="66">
        <v>3.0</v>
      </c>
      <c r="D499" s="66" t="s">
        <v>227</v>
      </c>
      <c r="E499" s="66">
        <v>0.0</v>
      </c>
      <c r="F499" s="66">
        <v>0.1567</v>
      </c>
      <c r="G499" s="66">
        <v>0.081</v>
      </c>
      <c r="I499" s="82">
        <f t="shared" si="1"/>
        <v>0.9345679012</v>
      </c>
      <c r="J499" s="82">
        <f t="shared" si="2"/>
        <v>0.5169112955</v>
      </c>
    </row>
    <row r="500">
      <c r="A500" s="83">
        <v>44665.0</v>
      </c>
      <c r="B500" s="66">
        <v>2384.0</v>
      </c>
      <c r="C500" s="66">
        <v>3.0</v>
      </c>
      <c r="D500" s="66" t="s">
        <v>227</v>
      </c>
      <c r="E500" s="66">
        <v>1.0</v>
      </c>
      <c r="F500" s="66">
        <v>0.7245</v>
      </c>
      <c r="G500" s="66">
        <v>0.3745</v>
      </c>
      <c r="H500" s="66" t="s">
        <v>276</v>
      </c>
      <c r="I500" s="82">
        <f t="shared" si="1"/>
        <v>0.9345794393</v>
      </c>
      <c r="J500" s="82">
        <f t="shared" si="2"/>
        <v>0.5169082126</v>
      </c>
    </row>
    <row r="501">
      <c r="A501" s="83">
        <v>44684.0</v>
      </c>
      <c r="B501" s="66">
        <v>2009.0</v>
      </c>
      <c r="C501" s="66">
        <v>1.0</v>
      </c>
      <c r="D501" s="66" t="s">
        <v>228</v>
      </c>
      <c r="E501" s="66">
        <v>0.0</v>
      </c>
      <c r="F501" s="66">
        <v>4.1228</v>
      </c>
      <c r="G501" s="66">
        <v>2.131</v>
      </c>
      <c r="H501" s="66" t="s">
        <v>280</v>
      </c>
      <c r="I501" s="82">
        <f t="shared" si="1"/>
        <v>0.9346785547</v>
      </c>
      <c r="J501" s="82">
        <f t="shared" si="2"/>
        <v>0.5168817309</v>
      </c>
    </row>
    <row r="502">
      <c r="A502" s="83">
        <v>44684.0</v>
      </c>
      <c r="B502" s="66">
        <v>2009.0</v>
      </c>
      <c r="C502" s="66">
        <v>1.0</v>
      </c>
      <c r="D502" s="66" t="s">
        <v>227</v>
      </c>
      <c r="E502" s="66">
        <v>0.0</v>
      </c>
      <c r="F502" s="66">
        <v>1.2313</v>
      </c>
      <c r="G502" s="66">
        <v>0.6363</v>
      </c>
      <c r="H502" s="66" t="s">
        <v>276</v>
      </c>
      <c r="I502" s="82">
        <f t="shared" si="1"/>
        <v>0.9350935094</v>
      </c>
      <c r="J502" s="82">
        <f t="shared" si="2"/>
        <v>0.5167708926</v>
      </c>
    </row>
    <row r="503">
      <c r="A503" s="83">
        <v>44684.0</v>
      </c>
      <c r="B503" s="66">
        <v>2009.0</v>
      </c>
      <c r="C503" s="66">
        <v>1.0</v>
      </c>
      <c r="D503" s="66" t="s">
        <v>227</v>
      </c>
      <c r="E503" s="66">
        <v>1.0</v>
      </c>
      <c r="F503" s="66">
        <v>0.2343</v>
      </c>
      <c r="G503" s="66">
        <v>0.121</v>
      </c>
      <c r="H503" s="66" t="s">
        <v>276</v>
      </c>
      <c r="I503" s="82">
        <f t="shared" si="1"/>
        <v>0.9363636364</v>
      </c>
      <c r="J503" s="82">
        <f t="shared" si="2"/>
        <v>0.5164319249</v>
      </c>
    </row>
    <row r="504">
      <c r="A504" s="83">
        <v>44684.0</v>
      </c>
      <c r="B504" s="66">
        <v>2009.0</v>
      </c>
      <c r="C504" s="66">
        <v>2.0</v>
      </c>
      <c r="D504" s="66" t="s">
        <v>228</v>
      </c>
      <c r="E504" s="66">
        <v>0.0</v>
      </c>
      <c r="F504" s="66">
        <v>0.5695</v>
      </c>
      <c r="G504" s="66">
        <v>0.2941</v>
      </c>
      <c r="I504" s="82">
        <f t="shared" si="1"/>
        <v>0.936416185</v>
      </c>
      <c r="J504" s="82">
        <f t="shared" si="2"/>
        <v>0.5164179104</v>
      </c>
    </row>
    <row r="505">
      <c r="A505" s="83">
        <v>44684.0</v>
      </c>
      <c r="B505" s="66">
        <v>2009.0</v>
      </c>
      <c r="C505" s="66">
        <v>2.0</v>
      </c>
      <c r="D505" s="66" t="s">
        <v>227</v>
      </c>
      <c r="E505" s="66">
        <v>0.0</v>
      </c>
      <c r="F505" s="66">
        <v>0.031</v>
      </c>
      <c r="G505" s="66">
        <v>0.016</v>
      </c>
      <c r="H505" s="66" t="s">
        <v>277</v>
      </c>
      <c r="I505" s="82">
        <f t="shared" si="1"/>
        <v>0.9375</v>
      </c>
      <c r="J505" s="82">
        <f t="shared" si="2"/>
        <v>0.5161290323</v>
      </c>
    </row>
    <row r="506">
      <c r="A506" s="83">
        <v>44684.0</v>
      </c>
      <c r="B506" s="66">
        <v>2009.0</v>
      </c>
      <c r="C506" s="66">
        <v>2.0</v>
      </c>
      <c r="D506" s="66" t="s">
        <v>227</v>
      </c>
      <c r="E506" s="66">
        <v>1.0</v>
      </c>
      <c r="F506" s="66">
        <v>1.3589</v>
      </c>
      <c r="G506" s="66">
        <v>0.7013</v>
      </c>
      <c r="I506" s="82">
        <f t="shared" si="1"/>
        <v>0.9376871524</v>
      </c>
      <c r="J506" s="82">
        <f t="shared" si="2"/>
        <v>0.5160791817</v>
      </c>
    </row>
    <row r="507">
      <c r="A507" s="83">
        <v>44684.0</v>
      </c>
      <c r="B507" s="66">
        <v>2009.0</v>
      </c>
      <c r="C507" s="66">
        <v>3.0</v>
      </c>
      <c r="D507" s="66" t="s">
        <v>228</v>
      </c>
      <c r="E507" s="66">
        <v>0.0</v>
      </c>
      <c r="F507" s="66">
        <v>0.4463</v>
      </c>
      <c r="G507" s="66">
        <v>0.2303</v>
      </c>
      <c r="H507" s="66" t="s">
        <v>280</v>
      </c>
      <c r="I507" s="82">
        <f t="shared" si="1"/>
        <v>0.9379070777</v>
      </c>
      <c r="J507" s="82">
        <f t="shared" si="2"/>
        <v>0.5160206139</v>
      </c>
    </row>
    <row r="508">
      <c r="A508" s="83">
        <v>44684.0</v>
      </c>
      <c r="B508" s="66">
        <v>2009.0</v>
      </c>
      <c r="C508" s="66">
        <v>3.0</v>
      </c>
      <c r="D508" s="66" t="s">
        <v>227</v>
      </c>
      <c r="E508" s="66">
        <v>0.0</v>
      </c>
      <c r="F508" s="66">
        <v>1.1733</v>
      </c>
      <c r="G508" s="66">
        <v>0.6053</v>
      </c>
      <c r="H508" s="66" t="s">
        <v>280</v>
      </c>
      <c r="I508" s="82">
        <f t="shared" si="1"/>
        <v>0.938377664</v>
      </c>
      <c r="J508" s="82">
        <f t="shared" si="2"/>
        <v>0.5158953379</v>
      </c>
    </row>
    <row r="509">
      <c r="A509" s="83">
        <v>44684.0</v>
      </c>
      <c r="B509" s="66">
        <v>2009.0</v>
      </c>
      <c r="C509" s="66">
        <v>3.0</v>
      </c>
      <c r="D509" s="66" t="s">
        <v>227</v>
      </c>
      <c r="E509" s="66">
        <v>1.0</v>
      </c>
      <c r="F509" s="66">
        <v>0.9126</v>
      </c>
      <c r="G509" s="66">
        <v>0.4707</v>
      </c>
      <c r="H509" s="66" t="s">
        <v>280</v>
      </c>
      <c r="I509" s="82">
        <f t="shared" si="1"/>
        <v>0.9388145315</v>
      </c>
      <c r="J509" s="82">
        <f t="shared" si="2"/>
        <v>0.5157790927</v>
      </c>
    </row>
    <row r="510">
      <c r="A510" s="83">
        <v>44684.0</v>
      </c>
      <c r="B510" s="66">
        <v>2010.0</v>
      </c>
      <c r="C510" s="66">
        <v>1.0</v>
      </c>
      <c r="D510" s="66" t="s">
        <v>228</v>
      </c>
      <c r="E510" s="66">
        <v>0.0</v>
      </c>
      <c r="F510" s="66">
        <v>1.8365</v>
      </c>
      <c r="G510" s="66">
        <v>0.947</v>
      </c>
      <c r="I510" s="82">
        <f t="shared" si="1"/>
        <v>0.939281943</v>
      </c>
      <c r="J510" s="82">
        <f t="shared" si="2"/>
        <v>0.5156547781</v>
      </c>
    </row>
    <row r="511">
      <c r="A511" s="83">
        <v>44684.0</v>
      </c>
      <c r="B511" s="66">
        <v>2010.0</v>
      </c>
      <c r="C511" s="66">
        <v>1.0</v>
      </c>
      <c r="D511" s="66" t="s">
        <v>227</v>
      </c>
      <c r="E511" s="66">
        <v>0.0</v>
      </c>
      <c r="F511" s="66">
        <v>0.735</v>
      </c>
      <c r="G511" s="66">
        <v>0.379</v>
      </c>
      <c r="H511" s="66" t="s">
        <v>277</v>
      </c>
      <c r="I511" s="82">
        <f t="shared" si="1"/>
        <v>0.9393139842</v>
      </c>
      <c r="J511" s="82">
        <f t="shared" si="2"/>
        <v>0.5156462585</v>
      </c>
    </row>
    <row r="512">
      <c r="A512" s="83">
        <v>44684.0</v>
      </c>
      <c r="B512" s="66">
        <v>2010.0</v>
      </c>
      <c r="C512" s="66">
        <v>2.0</v>
      </c>
      <c r="D512" s="66" t="s">
        <v>228</v>
      </c>
      <c r="E512" s="66">
        <v>0.0</v>
      </c>
      <c r="F512" s="66">
        <v>0.3452</v>
      </c>
      <c r="G512" s="66">
        <v>0.178</v>
      </c>
      <c r="I512" s="82">
        <f t="shared" si="1"/>
        <v>0.9393258427</v>
      </c>
      <c r="J512" s="82">
        <f t="shared" si="2"/>
        <v>0.5156431054</v>
      </c>
    </row>
    <row r="513">
      <c r="A513" s="83">
        <v>44684.0</v>
      </c>
      <c r="B513" s="66">
        <v>2010.0</v>
      </c>
      <c r="C513" s="66">
        <v>2.0</v>
      </c>
      <c r="D513" s="66" t="s">
        <v>227</v>
      </c>
      <c r="E513" s="66">
        <v>0.0</v>
      </c>
      <c r="F513" s="66">
        <v>0.4827</v>
      </c>
      <c r="G513" s="66">
        <v>0.2489</v>
      </c>
      <c r="I513" s="82">
        <f t="shared" si="1"/>
        <v>0.9393330655</v>
      </c>
      <c r="J513" s="82">
        <f t="shared" si="2"/>
        <v>0.515641185</v>
      </c>
    </row>
    <row r="514">
      <c r="A514" s="83">
        <v>44684.0</v>
      </c>
      <c r="B514" s="66">
        <v>2010.0</v>
      </c>
      <c r="C514" s="66">
        <v>2.0</v>
      </c>
      <c r="D514" s="66" t="s">
        <v>227</v>
      </c>
      <c r="E514" s="66">
        <v>1.0</v>
      </c>
      <c r="F514" s="66">
        <v>0.5783</v>
      </c>
      <c r="G514" s="66">
        <v>0.298</v>
      </c>
      <c r="I514" s="82">
        <f t="shared" si="1"/>
        <v>0.9406040268</v>
      </c>
      <c r="J514" s="82">
        <f t="shared" si="2"/>
        <v>0.5153034757</v>
      </c>
    </row>
    <row r="515">
      <c r="A515" s="83">
        <v>44684.0</v>
      </c>
      <c r="B515" s="66">
        <v>2010.0</v>
      </c>
      <c r="C515" s="66">
        <v>3.0</v>
      </c>
      <c r="D515" s="66" t="s">
        <v>228</v>
      </c>
      <c r="E515" s="66">
        <v>0.0</v>
      </c>
      <c r="F515" s="66">
        <v>0.118</v>
      </c>
      <c r="G515" s="66">
        <v>0.0608</v>
      </c>
      <c r="H515" s="66" t="s">
        <v>280</v>
      </c>
      <c r="I515" s="82">
        <f t="shared" si="1"/>
        <v>0.9407894737</v>
      </c>
      <c r="J515" s="82">
        <f t="shared" si="2"/>
        <v>0.5152542373</v>
      </c>
    </row>
    <row r="516">
      <c r="A516" s="83">
        <v>44684.0</v>
      </c>
      <c r="B516" s="66">
        <v>2010.0</v>
      </c>
      <c r="C516" s="66">
        <v>3.0</v>
      </c>
      <c r="D516" s="66" t="s">
        <v>227</v>
      </c>
      <c r="E516" s="66">
        <v>0.0</v>
      </c>
      <c r="F516" s="66">
        <v>0.5144</v>
      </c>
      <c r="G516" s="66">
        <v>0.265</v>
      </c>
      <c r="H516" s="66" t="s">
        <v>276</v>
      </c>
      <c r="I516" s="82">
        <f t="shared" si="1"/>
        <v>0.9411320755</v>
      </c>
      <c r="J516" s="82">
        <f t="shared" si="2"/>
        <v>0.515163297</v>
      </c>
    </row>
    <row r="517">
      <c r="A517" s="83">
        <v>44684.0</v>
      </c>
      <c r="B517" s="66">
        <v>2010.0</v>
      </c>
      <c r="C517" s="66">
        <v>3.0</v>
      </c>
      <c r="D517" s="66" t="s">
        <v>227</v>
      </c>
      <c r="E517" s="66">
        <v>1.0</v>
      </c>
      <c r="F517" s="66">
        <v>0.1652</v>
      </c>
      <c r="G517" s="66">
        <v>0.0851</v>
      </c>
      <c r="H517" s="66" t="s">
        <v>276</v>
      </c>
      <c r="I517" s="82">
        <f t="shared" si="1"/>
        <v>0.9412455934</v>
      </c>
      <c r="J517" s="82">
        <f t="shared" si="2"/>
        <v>0.5151331719</v>
      </c>
    </row>
    <row r="518">
      <c r="A518" s="83">
        <v>44684.0</v>
      </c>
      <c r="B518" s="66">
        <v>2081.0</v>
      </c>
      <c r="C518" s="66">
        <v>1.0</v>
      </c>
      <c r="D518" s="66" t="s">
        <v>228</v>
      </c>
      <c r="E518" s="66">
        <v>0.0</v>
      </c>
      <c r="F518" s="66">
        <v>0.2107</v>
      </c>
      <c r="G518" s="66">
        <v>0.1085</v>
      </c>
      <c r="I518" s="82">
        <f t="shared" si="1"/>
        <v>0.9419354839</v>
      </c>
      <c r="J518" s="82">
        <f t="shared" si="2"/>
        <v>0.5149501661</v>
      </c>
    </row>
    <row r="519">
      <c r="A519" s="83">
        <v>44684.0</v>
      </c>
      <c r="B519" s="66">
        <v>2081.0</v>
      </c>
      <c r="C519" s="66">
        <v>1.0</v>
      </c>
      <c r="D519" s="66" t="s">
        <v>227</v>
      </c>
      <c r="E519" s="66">
        <v>0.0</v>
      </c>
      <c r="F519" s="66">
        <v>0.439</v>
      </c>
      <c r="G519" s="66">
        <v>0.226</v>
      </c>
      <c r="H519" s="66" t="s">
        <v>276</v>
      </c>
      <c r="I519" s="82">
        <f t="shared" si="1"/>
        <v>0.9424778761</v>
      </c>
      <c r="J519" s="82">
        <f t="shared" si="2"/>
        <v>0.5148063781</v>
      </c>
    </row>
    <row r="520">
      <c r="A520" s="83">
        <v>44684.0</v>
      </c>
      <c r="B520" s="66">
        <v>2081.0</v>
      </c>
      <c r="C520" s="66">
        <v>1.0</v>
      </c>
      <c r="D520" s="66" t="s">
        <v>227</v>
      </c>
      <c r="E520" s="66">
        <v>1.0</v>
      </c>
      <c r="F520" s="66">
        <v>0.781</v>
      </c>
      <c r="G520" s="66">
        <v>0.402</v>
      </c>
      <c r="H520" s="66" t="s">
        <v>277</v>
      </c>
      <c r="I520" s="82">
        <f t="shared" si="1"/>
        <v>0.9427860697</v>
      </c>
      <c r="J520" s="82">
        <f t="shared" si="2"/>
        <v>0.5147247119</v>
      </c>
    </row>
    <row r="521">
      <c r="A521" s="83">
        <v>44684.0</v>
      </c>
      <c r="B521" s="66">
        <v>2081.0</v>
      </c>
      <c r="C521" s="66">
        <v>2.0</v>
      </c>
      <c r="D521" s="66" t="s">
        <v>228</v>
      </c>
      <c r="E521" s="66">
        <v>0.0</v>
      </c>
      <c r="F521" s="66">
        <v>0.2682</v>
      </c>
      <c r="G521" s="66">
        <v>0.138</v>
      </c>
      <c r="H521" s="66" t="s">
        <v>277</v>
      </c>
      <c r="I521" s="82">
        <f t="shared" si="1"/>
        <v>0.9434782609</v>
      </c>
      <c r="J521" s="82">
        <f t="shared" si="2"/>
        <v>0.514541387</v>
      </c>
    </row>
    <row r="522">
      <c r="A522" s="83">
        <v>44684.0</v>
      </c>
      <c r="B522" s="66">
        <v>2081.0</v>
      </c>
      <c r="C522" s="66">
        <v>2.0</v>
      </c>
      <c r="D522" s="66" t="s">
        <v>227</v>
      </c>
      <c r="E522" s="66">
        <v>0.0</v>
      </c>
      <c r="F522" s="66">
        <v>1.2466</v>
      </c>
      <c r="G522" s="66">
        <v>0.6414</v>
      </c>
      <c r="H522" s="66" t="s">
        <v>280</v>
      </c>
      <c r="I522" s="82">
        <f t="shared" si="1"/>
        <v>0.9435609604</v>
      </c>
      <c r="J522" s="82">
        <f t="shared" si="2"/>
        <v>0.514519493</v>
      </c>
    </row>
    <row r="523">
      <c r="A523" s="83">
        <v>44684.0</v>
      </c>
      <c r="B523" s="66">
        <v>2081.0</v>
      </c>
      <c r="C523" s="66">
        <v>2.0</v>
      </c>
      <c r="D523" s="66" t="s">
        <v>227</v>
      </c>
      <c r="E523" s="66">
        <v>1.0</v>
      </c>
      <c r="F523" s="66">
        <v>0.5814</v>
      </c>
      <c r="G523" s="66">
        <v>0.299</v>
      </c>
      <c r="H523" s="66" t="s">
        <v>277</v>
      </c>
      <c r="I523" s="82">
        <f t="shared" si="1"/>
        <v>0.9444816054</v>
      </c>
      <c r="J523" s="82">
        <f t="shared" si="2"/>
        <v>0.5142758858</v>
      </c>
    </row>
    <row r="524">
      <c r="A524" s="83">
        <v>44684.0</v>
      </c>
      <c r="B524" s="66">
        <v>2081.0</v>
      </c>
      <c r="C524" s="66">
        <v>3.0</v>
      </c>
      <c r="D524" s="66" t="s">
        <v>228</v>
      </c>
      <c r="E524" s="66">
        <v>0.0</v>
      </c>
      <c r="F524" s="66">
        <v>0.7016</v>
      </c>
      <c r="G524" s="66">
        <v>0.3608</v>
      </c>
      <c r="I524" s="82">
        <f t="shared" si="1"/>
        <v>0.9445676275</v>
      </c>
      <c r="J524" s="82">
        <f t="shared" si="2"/>
        <v>0.5142531357</v>
      </c>
    </row>
    <row r="525">
      <c r="A525" s="83">
        <v>44684.0</v>
      </c>
      <c r="B525" s="66">
        <v>2081.0</v>
      </c>
      <c r="C525" s="66">
        <v>3.0</v>
      </c>
      <c r="D525" s="66" t="s">
        <v>227</v>
      </c>
      <c r="E525" s="66">
        <v>0.0</v>
      </c>
      <c r="F525" s="66">
        <v>1.0132</v>
      </c>
      <c r="G525" s="107">
        <v>0.521</v>
      </c>
      <c r="I525" s="82">
        <f t="shared" si="1"/>
        <v>0.9447216891</v>
      </c>
      <c r="J525" s="82">
        <f t="shared" si="2"/>
        <v>0.5142123964</v>
      </c>
    </row>
    <row r="526">
      <c r="A526" s="83">
        <v>44684.0</v>
      </c>
      <c r="B526" s="66">
        <v>2081.0</v>
      </c>
      <c r="C526" s="66">
        <v>3.0</v>
      </c>
      <c r="D526" s="66" t="s">
        <v>227</v>
      </c>
      <c r="E526" s="66">
        <v>1.0</v>
      </c>
      <c r="F526" s="66">
        <v>2.9396</v>
      </c>
      <c r="G526" s="66">
        <v>1.5115</v>
      </c>
      <c r="H526" s="66" t="s">
        <v>280</v>
      </c>
      <c r="I526" s="82">
        <f t="shared" si="1"/>
        <v>0.9448230235</v>
      </c>
      <c r="J526" s="82">
        <f t="shared" si="2"/>
        <v>0.5141856035</v>
      </c>
    </row>
    <row r="527">
      <c r="A527" s="83">
        <v>44684.0</v>
      </c>
      <c r="B527" s="66">
        <v>2343.0</v>
      </c>
      <c r="C527" s="66">
        <v>1.0</v>
      </c>
      <c r="D527" s="66" t="s">
        <v>228</v>
      </c>
      <c r="E527" s="66">
        <v>0.0</v>
      </c>
      <c r="F527" s="66">
        <v>0.4376</v>
      </c>
      <c r="G527" s="66">
        <v>0.225</v>
      </c>
      <c r="H527" s="66" t="s">
        <v>277</v>
      </c>
      <c r="I527" s="82">
        <f t="shared" si="1"/>
        <v>0.9448888889</v>
      </c>
      <c r="J527" s="82">
        <f t="shared" si="2"/>
        <v>0.5141681901</v>
      </c>
    </row>
    <row r="528">
      <c r="A528" s="83">
        <v>44684.0</v>
      </c>
      <c r="B528" s="66">
        <v>2343.0</v>
      </c>
      <c r="C528" s="66">
        <v>1.0</v>
      </c>
      <c r="D528" s="66" t="s">
        <v>227</v>
      </c>
      <c r="E528" s="66">
        <v>0.0</v>
      </c>
      <c r="F528" s="66">
        <v>0.2749</v>
      </c>
      <c r="G528" s="66">
        <v>0.1413</v>
      </c>
      <c r="I528" s="82">
        <f t="shared" si="1"/>
        <v>0.9455060156</v>
      </c>
      <c r="J528" s="82">
        <f t="shared" si="2"/>
        <v>0.5140050928</v>
      </c>
    </row>
    <row r="529">
      <c r="A529" s="83">
        <v>44684.0</v>
      </c>
      <c r="B529" s="66">
        <v>2343.0</v>
      </c>
      <c r="C529" s="66">
        <v>1.0</v>
      </c>
      <c r="D529" s="66" t="s">
        <v>227</v>
      </c>
      <c r="E529" s="66">
        <v>1.0</v>
      </c>
      <c r="F529" s="66">
        <v>2.3777</v>
      </c>
      <c r="G529" s="66">
        <v>1.222</v>
      </c>
      <c r="H529" s="66" t="s">
        <v>277</v>
      </c>
      <c r="I529" s="82">
        <f t="shared" si="1"/>
        <v>0.9457446809</v>
      </c>
      <c r="J529" s="82">
        <f t="shared" si="2"/>
        <v>0.5139420448</v>
      </c>
    </row>
    <row r="530">
      <c r="A530" s="83">
        <v>44684.0</v>
      </c>
      <c r="B530" s="66">
        <v>2343.0</v>
      </c>
      <c r="C530" s="66">
        <v>2.0</v>
      </c>
      <c r="D530" s="66" t="s">
        <v>227</v>
      </c>
      <c r="E530" s="66">
        <v>0.0</v>
      </c>
      <c r="F530" s="66">
        <v>1.6365</v>
      </c>
      <c r="G530" s="66">
        <v>0.841</v>
      </c>
      <c r="H530" s="66" t="s">
        <v>277</v>
      </c>
      <c r="I530" s="82">
        <f t="shared" si="1"/>
        <v>0.9458977408</v>
      </c>
      <c r="J530" s="82">
        <f t="shared" si="2"/>
        <v>0.5139016193</v>
      </c>
    </row>
    <row r="531">
      <c r="A531" s="83">
        <v>44684.0</v>
      </c>
      <c r="B531" s="66">
        <v>2343.0</v>
      </c>
      <c r="C531" s="66">
        <v>2.0</v>
      </c>
      <c r="D531" s="66" t="s">
        <v>227</v>
      </c>
      <c r="E531" s="66">
        <v>1.0</v>
      </c>
      <c r="F531" s="66">
        <v>0.0253</v>
      </c>
      <c r="G531" s="66">
        <v>0.013</v>
      </c>
      <c r="H531" s="66" t="s">
        <v>277</v>
      </c>
      <c r="I531" s="82">
        <f t="shared" si="1"/>
        <v>0.9461538462</v>
      </c>
      <c r="J531" s="82">
        <f t="shared" si="2"/>
        <v>0.5138339921</v>
      </c>
    </row>
    <row r="532">
      <c r="A532" s="83">
        <v>44684.0</v>
      </c>
      <c r="B532" s="66">
        <v>2343.0</v>
      </c>
      <c r="C532" s="66">
        <v>3.0</v>
      </c>
      <c r="D532" s="66" t="s">
        <v>228</v>
      </c>
      <c r="E532" s="66">
        <v>0.0</v>
      </c>
      <c r="F532" s="66">
        <v>0.1616</v>
      </c>
      <c r="G532" s="66">
        <v>0.083</v>
      </c>
      <c r="H532" s="66" t="s">
        <v>277</v>
      </c>
      <c r="I532" s="82">
        <f t="shared" si="1"/>
        <v>0.9469879518</v>
      </c>
      <c r="J532" s="82">
        <f t="shared" si="2"/>
        <v>0.5136138614</v>
      </c>
    </row>
    <row r="533">
      <c r="A533" s="83">
        <v>44684.0</v>
      </c>
      <c r="B533" s="66">
        <v>2343.0</v>
      </c>
      <c r="C533" s="66">
        <v>3.0</v>
      </c>
      <c r="D533" s="66" t="s">
        <v>227</v>
      </c>
      <c r="E533" s="66">
        <v>0.0</v>
      </c>
      <c r="F533" s="66">
        <v>0.1578</v>
      </c>
      <c r="G533" s="66">
        <v>0.081</v>
      </c>
      <c r="I533" s="82">
        <f t="shared" si="1"/>
        <v>0.9481481481</v>
      </c>
      <c r="J533" s="82">
        <f t="shared" si="2"/>
        <v>0.5133079848</v>
      </c>
    </row>
    <row r="534">
      <c r="A534" s="83">
        <v>44684.0</v>
      </c>
      <c r="B534" s="66">
        <v>2343.0</v>
      </c>
      <c r="C534" s="66">
        <v>3.0</v>
      </c>
      <c r="D534" s="66" t="s">
        <v>227</v>
      </c>
      <c r="E534" s="66">
        <v>1.0</v>
      </c>
      <c r="F534" s="66">
        <v>0.4489</v>
      </c>
      <c r="G534" s="66">
        <v>0.2304</v>
      </c>
      <c r="H534" s="66" t="s">
        <v>280</v>
      </c>
      <c r="I534" s="82">
        <f t="shared" si="1"/>
        <v>0.9483506944</v>
      </c>
      <c r="J534" s="82">
        <f t="shared" si="2"/>
        <v>0.5132546224</v>
      </c>
    </row>
    <row r="535">
      <c r="A535" s="83">
        <v>44684.0</v>
      </c>
      <c r="B535" s="66">
        <v>2346.0</v>
      </c>
      <c r="C535" s="66">
        <v>1.0</v>
      </c>
      <c r="D535" s="66" t="s">
        <v>228</v>
      </c>
      <c r="E535" s="66">
        <v>0.0</v>
      </c>
      <c r="F535" s="66">
        <v>0.2943</v>
      </c>
      <c r="G535" s="66">
        <v>0.151</v>
      </c>
      <c r="I535" s="82">
        <f t="shared" si="1"/>
        <v>0.9490066225</v>
      </c>
      <c r="J535" s="82">
        <f t="shared" si="2"/>
        <v>0.5130818892</v>
      </c>
    </row>
    <row r="536">
      <c r="A536" s="83">
        <v>44684.0</v>
      </c>
      <c r="B536" s="66">
        <v>2346.0</v>
      </c>
      <c r="C536" s="66">
        <v>1.0</v>
      </c>
      <c r="D536" s="66" t="s">
        <v>228</v>
      </c>
      <c r="E536" s="66">
        <v>0.0</v>
      </c>
      <c r="F536" s="66">
        <v>0.5633</v>
      </c>
      <c r="G536" s="66">
        <v>0.289</v>
      </c>
      <c r="H536" s="66" t="s">
        <v>277</v>
      </c>
      <c r="I536" s="82">
        <f t="shared" si="1"/>
        <v>0.9491349481</v>
      </c>
      <c r="J536" s="82">
        <f t="shared" si="2"/>
        <v>0.5130481094</v>
      </c>
    </row>
    <row r="537">
      <c r="A537" s="83">
        <v>44684.0</v>
      </c>
      <c r="B537" s="66">
        <v>2346.0</v>
      </c>
      <c r="C537" s="66">
        <v>1.0</v>
      </c>
      <c r="D537" s="66" t="s">
        <v>227</v>
      </c>
      <c r="E537" s="66">
        <v>0.0</v>
      </c>
      <c r="F537" s="66">
        <v>0.1419</v>
      </c>
      <c r="G537" s="66">
        <v>0.0728</v>
      </c>
      <c r="I537" s="82">
        <f t="shared" si="1"/>
        <v>0.9491758242</v>
      </c>
      <c r="J537" s="82">
        <f t="shared" si="2"/>
        <v>0.5130373502</v>
      </c>
    </row>
    <row r="538">
      <c r="A538" s="83">
        <v>44684.0</v>
      </c>
      <c r="B538" s="66">
        <v>2346.0</v>
      </c>
      <c r="C538" s="66">
        <v>1.0</v>
      </c>
      <c r="D538" s="66" t="s">
        <v>227</v>
      </c>
      <c r="E538" s="66">
        <v>1.0</v>
      </c>
      <c r="F538" s="66">
        <v>0.7998</v>
      </c>
      <c r="G538" s="66">
        <v>0.4103</v>
      </c>
      <c r="I538" s="82">
        <f t="shared" si="1"/>
        <v>0.9493053863</v>
      </c>
      <c r="J538" s="82">
        <f t="shared" si="2"/>
        <v>0.5130032508</v>
      </c>
    </row>
    <row r="539">
      <c r="A539" s="83">
        <v>44684.0</v>
      </c>
      <c r="B539" s="66">
        <v>2346.0</v>
      </c>
      <c r="C539" s="66">
        <v>2.0</v>
      </c>
      <c r="D539" s="66" t="s">
        <v>228</v>
      </c>
      <c r="E539" s="66">
        <v>0.0</v>
      </c>
      <c r="F539" s="66">
        <v>1.7985</v>
      </c>
      <c r="G539" s="66">
        <v>0.9225</v>
      </c>
      <c r="H539" s="66" t="s">
        <v>280</v>
      </c>
      <c r="I539" s="82">
        <f t="shared" si="1"/>
        <v>0.9495934959</v>
      </c>
      <c r="J539" s="82">
        <f t="shared" si="2"/>
        <v>0.5129274395</v>
      </c>
    </row>
    <row r="540">
      <c r="A540" s="83">
        <v>44684.0</v>
      </c>
      <c r="B540" s="66">
        <v>2346.0</v>
      </c>
      <c r="C540" s="66">
        <v>2.0</v>
      </c>
      <c r="D540" s="66" t="s">
        <v>227</v>
      </c>
      <c r="E540" s="66">
        <v>0.0</v>
      </c>
      <c r="F540" s="66">
        <v>1.0939</v>
      </c>
      <c r="G540" s="66">
        <v>0.561</v>
      </c>
      <c r="I540" s="82">
        <f t="shared" si="1"/>
        <v>0.9499108734</v>
      </c>
      <c r="J540" s="82">
        <f t="shared" si="2"/>
        <v>0.5128439528</v>
      </c>
    </row>
    <row r="541">
      <c r="A541" s="83">
        <v>44684.0</v>
      </c>
      <c r="B541" s="66">
        <v>2346.0</v>
      </c>
      <c r="C541" s="66">
        <v>2.0</v>
      </c>
      <c r="D541" s="66" t="s">
        <v>227</v>
      </c>
      <c r="E541" s="66">
        <v>1.0</v>
      </c>
      <c r="F541" s="66">
        <v>0.7977</v>
      </c>
      <c r="G541" s="66">
        <v>0.409</v>
      </c>
      <c r="H541" s="66" t="s">
        <v>277</v>
      </c>
      <c r="I541" s="82">
        <f t="shared" si="1"/>
        <v>0.9503667482</v>
      </c>
      <c r="J541" s="82">
        <f t="shared" si="2"/>
        <v>0.5127240817</v>
      </c>
    </row>
    <row r="542">
      <c r="A542" s="83">
        <v>44684.0</v>
      </c>
      <c r="B542" s="66">
        <v>2346.0</v>
      </c>
      <c r="C542" s="66">
        <v>3.0</v>
      </c>
      <c r="D542" s="66" t="s">
        <v>227</v>
      </c>
      <c r="E542" s="66">
        <v>0.0</v>
      </c>
      <c r="F542" s="66">
        <v>0.7164</v>
      </c>
      <c r="G542" s="66">
        <v>0.367</v>
      </c>
      <c r="I542" s="82">
        <f t="shared" si="1"/>
        <v>0.9520435967</v>
      </c>
      <c r="J542" s="82">
        <f t="shared" si="2"/>
        <v>0.5122836404</v>
      </c>
    </row>
    <row r="543">
      <c r="A543" s="83">
        <v>44684.0</v>
      </c>
      <c r="B543" s="66">
        <v>2346.0</v>
      </c>
      <c r="C543" s="66">
        <v>3.0</v>
      </c>
      <c r="D543" s="66" t="s">
        <v>227</v>
      </c>
      <c r="E543" s="66">
        <v>1.0</v>
      </c>
      <c r="F543" s="66">
        <v>0.1507</v>
      </c>
      <c r="G543" s="66">
        <v>0.0772</v>
      </c>
      <c r="H543" s="66" t="s">
        <v>277</v>
      </c>
      <c r="I543" s="82">
        <f t="shared" si="1"/>
        <v>0.9520725389</v>
      </c>
      <c r="J543" s="82">
        <f t="shared" si="2"/>
        <v>0.5122760451</v>
      </c>
    </row>
    <row r="544">
      <c r="A544" s="83">
        <v>44684.0</v>
      </c>
      <c r="B544" s="66">
        <v>2347.0</v>
      </c>
      <c r="C544" s="66">
        <v>1.0</v>
      </c>
      <c r="D544" s="66" t="s">
        <v>228</v>
      </c>
      <c r="E544" s="66">
        <v>0.0</v>
      </c>
      <c r="F544" s="66">
        <v>2.0829</v>
      </c>
      <c r="G544" s="66">
        <v>1.067</v>
      </c>
      <c r="I544" s="82">
        <f t="shared" si="1"/>
        <v>0.952108716</v>
      </c>
      <c r="J544" s="82">
        <f t="shared" si="2"/>
        <v>0.5122665514</v>
      </c>
    </row>
    <row r="545">
      <c r="A545" s="83">
        <v>44684.0</v>
      </c>
      <c r="B545" s="66">
        <v>2347.0</v>
      </c>
      <c r="C545" s="66">
        <v>1.0</v>
      </c>
      <c r="D545" s="66" t="s">
        <v>227</v>
      </c>
      <c r="E545" s="66">
        <v>0.0</v>
      </c>
      <c r="F545" s="66">
        <v>1.4753</v>
      </c>
      <c r="G545" s="66">
        <v>0.7557</v>
      </c>
      <c r="I545" s="82">
        <f t="shared" si="1"/>
        <v>0.9522297208</v>
      </c>
      <c r="J545" s="82">
        <f t="shared" si="2"/>
        <v>0.5122347997</v>
      </c>
    </row>
    <row r="546">
      <c r="A546" s="83">
        <v>44684.0</v>
      </c>
      <c r="B546" s="66">
        <v>2347.0</v>
      </c>
      <c r="C546" s="66">
        <v>1.0</v>
      </c>
      <c r="D546" s="66" t="s">
        <v>227</v>
      </c>
      <c r="E546" s="66">
        <v>1.0</v>
      </c>
      <c r="F546" s="66">
        <v>0.1074</v>
      </c>
      <c r="G546" s="66">
        <v>0.055</v>
      </c>
      <c r="H546" s="66" t="s">
        <v>276</v>
      </c>
      <c r="I546" s="82">
        <f t="shared" si="1"/>
        <v>0.9527272727</v>
      </c>
      <c r="J546" s="82">
        <f t="shared" si="2"/>
        <v>0.5121042831</v>
      </c>
    </row>
    <row r="547">
      <c r="A547" s="83">
        <v>44684.0</v>
      </c>
      <c r="B547" s="66">
        <v>2347.0</v>
      </c>
      <c r="C547" s="66">
        <v>2.0</v>
      </c>
      <c r="D547" s="66" t="s">
        <v>228</v>
      </c>
      <c r="E547" s="66">
        <v>0.0</v>
      </c>
      <c r="F547" s="66">
        <v>0.24</v>
      </c>
      <c r="G547" s="66">
        <v>0.1229</v>
      </c>
      <c r="H547" s="66" t="s">
        <v>280</v>
      </c>
      <c r="I547" s="82">
        <f t="shared" si="1"/>
        <v>0.9528071603</v>
      </c>
      <c r="J547" s="82">
        <f t="shared" si="2"/>
        <v>0.5120833333</v>
      </c>
    </row>
    <row r="548">
      <c r="A548" s="83">
        <v>44684.0</v>
      </c>
      <c r="B548" s="66">
        <v>2347.0</v>
      </c>
      <c r="C548" s="66">
        <v>2.0</v>
      </c>
      <c r="D548" s="66" t="s">
        <v>227</v>
      </c>
      <c r="E548" s="66">
        <v>0.0</v>
      </c>
      <c r="F548" s="66">
        <v>0.184</v>
      </c>
      <c r="G548" s="66">
        <v>0.0942</v>
      </c>
      <c r="I548" s="82">
        <f t="shared" si="1"/>
        <v>0.9532908705</v>
      </c>
      <c r="J548" s="82">
        <f t="shared" si="2"/>
        <v>0.5119565217</v>
      </c>
    </row>
    <row r="549">
      <c r="A549" s="83">
        <v>44684.0</v>
      </c>
      <c r="B549" s="66">
        <v>2347.0</v>
      </c>
      <c r="C549" s="66">
        <v>2.0</v>
      </c>
      <c r="D549" s="66" t="s">
        <v>227</v>
      </c>
      <c r="E549" s="66">
        <v>1.0</v>
      </c>
      <c r="F549" s="66">
        <v>0.0508</v>
      </c>
      <c r="G549" s="66">
        <v>0.026</v>
      </c>
      <c r="I549" s="82">
        <f t="shared" si="1"/>
        <v>0.9538461538</v>
      </c>
      <c r="J549" s="82">
        <f t="shared" si="2"/>
        <v>0.5118110236</v>
      </c>
    </row>
    <row r="550">
      <c r="A550" s="83">
        <v>44684.0</v>
      </c>
      <c r="B550" s="66">
        <v>2347.0</v>
      </c>
      <c r="C550" s="66">
        <v>3.0</v>
      </c>
      <c r="D550" s="66" t="s">
        <v>228</v>
      </c>
      <c r="E550" s="66">
        <v>0.0</v>
      </c>
      <c r="F550" s="66">
        <v>0.5062</v>
      </c>
      <c r="G550" s="66">
        <v>0.259</v>
      </c>
      <c r="I550" s="82">
        <f t="shared" si="1"/>
        <v>0.9544401544</v>
      </c>
      <c r="J550" s="82">
        <f t="shared" si="2"/>
        <v>0.5116554721</v>
      </c>
    </row>
    <row r="551">
      <c r="A551" s="83">
        <v>44684.0</v>
      </c>
      <c r="B551" s="66">
        <v>2347.0</v>
      </c>
      <c r="C551" s="66">
        <v>3.0</v>
      </c>
      <c r="D551" s="66" t="s">
        <v>227</v>
      </c>
      <c r="E551" s="66">
        <v>0.0</v>
      </c>
      <c r="F551" s="66">
        <v>0.0782</v>
      </c>
      <c r="G551" s="66">
        <v>0.04</v>
      </c>
      <c r="I551" s="82">
        <f t="shared" si="1"/>
        <v>0.955</v>
      </c>
      <c r="J551" s="82">
        <f t="shared" si="2"/>
        <v>0.5115089514</v>
      </c>
    </row>
    <row r="552">
      <c r="A552" s="83">
        <v>44684.0</v>
      </c>
      <c r="B552" s="66">
        <v>2347.0</v>
      </c>
      <c r="C552" s="66">
        <v>3.0</v>
      </c>
      <c r="D552" s="66" t="s">
        <v>227</v>
      </c>
      <c r="E552" s="66">
        <v>1.0</v>
      </c>
      <c r="F552" s="66">
        <v>0.1545</v>
      </c>
      <c r="G552" s="66">
        <v>0.079</v>
      </c>
      <c r="H552" s="66" t="s">
        <v>277</v>
      </c>
      <c r="I552" s="82">
        <f t="shared" si="1"/>
        <v>0.9556962025</v>
      </c>
      <c r="J552" s="82">
        <f t="shared" si="2"/>
        <v>0.5113268608</v>
      </c>
    </row>
    <row r="553">
      <c r="A553" s="83">
        <v>44684.0</v>
      </c>
      <c r="B553" s="66">
        <v>2364.0</v>
      </c>
      <c r="C553" s="66">
        <v>1.0</v>
      </c>
      <c r="D553" s="66" t="s">
        <v>228</v>
      </c>
      <c r="E553" s="66">
        <v>0.0</v>
      </c>
      <c r="F553" s="66">
        <v>0.135</v>
      </c>
      <c r="G553" s="66">
        <v>0.069</v>
      </c>
      <c r="H553" s="66" t="s">
        <v>277</v>
      </c>
      <c r="I553" s="82">
        <f t="shared" si="1"/>
        <v>0.9565217391</v>
      </c>
      <c r="J553" s="82">
        <f t="shared" si="2"/>
        <v>0.5111111111</v>
      </c>
    </row>
    <row r="554">
      <c r="A554" s="83">
        <v>44684.0</v>
      </c>
      <c r="B554" s="66">
        <v>2364.0</v>
      </c>
      <c r="C554" s="66">
        <v>1.0</v>
      </c>
      <c r="D554" s="66" t="s">
        <v>227</v>
      </c>
      <c r="E554" s="66">
        <v>0.0</v>
      </c>
      <c r="F554" s="66">
        <v>0.2839</v>
      </c>
      <c r="G554" s="66">
        <v>0.1451</v>
      </c>
      <c r="I554" s="82">
        <f t="shared" si="1"/>
        <v>0.9565816678</v>
      </c>
      <c r="J554" s="82">
        <f t="shared" si="2"/>
        <v>0.5110954561</v>
      </c>
    </row>
    <row r="555">
      <c r="A555" s="83">
        <v>44684.0</v>
      </c>
      <c r="B555" s="66">
        <v>2364.0</v>
      </c>
      <c r="C555" s="66">
        <v>1.0</v>
      </c>
      <c r="D555" s="66" t="s">
        <v>227</v>
      </c>
      <c r="E555" s="66">
        <v>1.0</v>
      </c>
      <c r="F555" s="66">
        <v>0.9726</v>
      </c>
      <c r="G555" s="66">
        <v>0.497</v>
      </c>
      <c r="I555" s="82">
        <f t="shared" si="1"/>
        <v>0.9569416499</v>
      </c>
      <c r="J555" s="82">
        <f t="shared" si="2"/>
        <v>0.5110014394</v>
      </c>
    </row>
    <row r="556">
      <c r="A556" s="83">
        <v>44684.0</v>
      </c>
      <c r="B556" s="66">
        <v>2364.0</v>
      </c>
      <c r="C556" s="66">
        <v>2.0</v>
      </c>
      <c r="D556" s="66" t="s">
        <v>227</v>
      </c>
      <c r="E556" s="66">
        <v>0.0</v>
      </c>
      <c r="F556" s="66">
        <v>0.093</v>
      </c>
      <c r="G556" s="66">
        <v>0.0475</v>
      </c>
      <c r="H556" s="66" t="s">
        <v>280</v>
      </c>
      <c r="I556" s="82">
        <f t="shared" si="1"/>
        <v>0.9578947368</v>
      </c>
      <c r="J556" s="82">
        <f t="shared" si="2"/>
        <v>0.5107526882</v>
      </c>
    </row>
    <row r="557">
      <c r="A557" s="83">
        <v>44684.0</v>
      </c>
      <c r="B557" s="66">
        <v>2364.0</v>
      </c>
      <c r="C557" s="66">
        <v>2.0</v>
      </c>
      <c r="D557" s="66" t="s">
        <v>227</v>
      </c>
      <c r="E557" s="66">
        <v>1.0</v>
      </c>
      <c r="F557" s="66">
        <v>0.3172</v>
      </c>
      <c r="G557" s="66">
        <v>0.162</v>
      </c>
      <c r="H557" s="66" t="s">
        <v>277</v>
      </c>
      <c r="I557" s="82">
        <f t="shared" si="1"/>
        <v>0.9580246914</v>
      </c>
      <c r="J557" s="82">
        <f t="shared" si="2"/>
        <v>0.5107187894</v>
      </c>
    </row>
    <row r="558">
      <c r="A558" s="83">
        <v>44684.0</v>
      </c>
      <c r="B558" s="66">
        <v>2364.0</v>
      </c>
      <c r="C558" s="66">
        <v>3.0</v>
      </c>
      <c r="D558" s="66" t="s">
        <v>228</v>
      </c>
      <c r="E558" s="66">
        <v>0.0</v>
      </c>
      <c r="F558" s="66">
        <v>0.6646</v>
      </c>
      <c r="G558" s="66">
        <v>0.3394</v>
      </c>
      <c r="I558" s="82">
        <f t="shared" si="1"/>
        <v>0.9581614614</v>
      </c>
      <c r="J558" s="82">
        <f t="shared" si="2"/>
        <v>0.5106831177</v>
      </c>
    </row>
    <row r="559">
      <c r="A559" s="83">
        <v>44684.0</v>
      </c>
      <c r="B559" s="66">
        <v>2364.0</v>
      </c>
      <c r="C559" s="66">
        <v>3.0</v>
      </c>
      <c r="D559" s="66" t="s">
        <v>227</v>
      </c>
      <c r="E559" s="66">
        <v>0.0</v>
      </c>
      <c r="F559" s="66">
        <v>1.8388</v>
      </c>
      <c r="G559" s="66">
        <v>0.9389</v>
      </c>
      <c r="H559" s="66" t="s">
        <v>280</v>
      </c>
      <c r="I559" s="82">
        <f t="shared" si="1"/>
        <v>0.95846203</v>
      </c>
      <c r="J559" s="82">
        <f t="shared" si="2"/>
        <v>0.5106047422</v>
      </c>
    </row>
    <row r="560">
      <c r="A560" s="83">
        <v>44684.0</v>
      </c>
      <c r="B560" s="66">
        <v>2364.0</v>
      </c>
      <c r="C560" s="66">
        <v>3.0</v>
      </c>
      <c r="D560" s="66" t="s">
        <v>227</v>
      </c>
      <c r="E560" s="66">
        <v>1.0</v>
      </c>
      <c r="F560" s="66">
        <v>1.3416</v>
      </c>
      <c r="G560" s="66">
        <v>0.6849</v>
      </c>
      <c r="I560" s="82">
        <f t="shared" si="1"/>
        <v>0.958826106</v>
      </c>
      <c r="J560" s="82">
        <f t="shared" si="2"/>
        <v>0.510509839</v>
      </c>
    </row>
    <row r="561">
      <c r="A561" s="83">
        <v>44684.0</v>
      </c>
      <c r="B561" s="66">
        <v>2365.0</v>
      </c>
      <c r="C561" s="66">
        <v>1.0</v>
      </c>
      <c r="D561" s="66" t="s">
        <v>227</v>
      </c>
      <c r="E561" s="66">
        <v>0.0</v>
      </c>
      <c r="F561" s="66">
        <v>0.373</v>
      </c>
      <c r="G561" s="66">
        <v>0.1904</v>
      </c>
      <c r="I561" s="82">
        <f t="shared" si="1"/>
        <v>0.9590336134</v>
      </c>
      <c r="J561" s="82">
        <f t="shared" si="2"/>
        <v>0.5104557641</v>
      </c>
    </row>
    <row r="562">
      <c r="A562" s="83">
        <v>44684.0</v>
      </c>
      <c r="B562" s="66">
        <v>2365.0</v>
      </c>
      <c r="C562" s="66">
        <v>1.0</v>
      </c>
      <c r="D562" s="66" t="s">
        <v>227</v>
      </c>
      <c r="E562" s="66">
        <v>1.0</v>
      </c>
      <c r="F562" s="66">
        <v>0.194</v>
      </c>
      <c r="G562" s="66">
        <v>0.099</v>
      </c>
      <c r="H562" s="66" t="s">
        <v>279</v>
      </c>
      <c r="I562" s="82">
        <f t="shared" si="1"/>
        <v>0.9595959596</v>
      </c>
      <c r="J562" s="82">
        <f t="shared" si="2"/>
        <v>0.5103092784</v>
      </c>
    </row>
    <row r="563">
      <c r="A563" s="83">
        <v>44684.0</v>
      </c>
      <c r="B563" s="66">
        <v>2365.0</v>
      </c>
      <c r="C563" s="66">
        <v>2.0</v>
      </c>
      <c r="D563" s="66" t="s">
        <v>228</v>
      </c>
      <c r="E563" s="66">
        <v>0.0</v>
      </c>
      <c r="F563" s="66">
        <v>0.5437</v>
      </c>
      <c r="G563" s="66">
        <v>0.2774</v>
      </c>
      <c r="I563" s="82">
        <f t="shared" si="1"/>
        <v>0.9599855804</v>
      </c>
      <c r="J563" s="82">
        <f t="shared" si="2"/>
        <v>0.5102078352</v>
      </c>
    </row>
    <row r="564">
      <c r="A564" s="83">
        <v>44684.0</v>
      </c>
      <c r="B564" s="66">
        <v>2365.0</v>
      </c>
      <c r="C564" s="66">
        <v>2.0</v>
      </c>
      <c r="D564" s="66" t="s">
        <v>227</v>
      </c>
      <c r="E564" s="66">
        <v>0.0</v>
      </c>
      <c r="F564" s="66">
        <v>0.2066</v>
      </c>
      <c r="G564" s="66">
        <v>0.1054</v>
      </c>
      <c r="H564" s="66" t="s">
        <v>276</v>
      </c>
      <c r="I564" s="82">
        <f t="shared" si="1"/>
        <v>0.9601518027</v>
      </c>
      <c r="J564" s="82">
        <f t="shared" si="2"/>
        <v>0.5101645692</v>
      </c>
    </row>
    <row r="565">
      <c r="A565" s="83">
        <v>44684.0</v>
      </c>
      <c r="B565" s="66">
        <v>2365.0</v>
      </c>
      <c r="C565" s="66">
        <v>2.0</v>
      </c>
      <c r="D565" s="66" t="s">
        <v>227</v>
      </c>
      <c r="E565" s="66">
        <v>1.0</v>
      </c>
      <c r="F565" s="66">
        <v>1.1891</v>
      </c>
      <c r="G565" s="66">
        <v>0.6065</v>
      </c>
      <c r="H565" s="66" t="s">
        <v>276</v>
      </c>
      <c r="I565" s="82">
        <f t="shared" si="1"/>
        <v>0.9605935697</v>
      </c>
      <c r="J565" s="82">
        <f t="shared" si="2"/>
        <v>0.5100496174</v>
      </c>
    </row>
    <row r="566">
      <c r="A566" s="83">
        <v>44684.0</v>
      </c>
      <c r="B566" s="66">
        <v>2365.0</v>
      </c>
      <c r="C566" s="66">
        <v>3.0</v>
      </c>
      <c r="D566" s="66" t="s">
        <v>228</v>
      </c>
      <c r="E566" s="66">
        <v>0.0</v>
      </c>
      <c r="F566" s="66">
        <v>1.7257</v>
      </c>
      <c r="G566" s="66">
        <v>0.88</v>
      </c>
      <c r="I566" s="82">
        <f t="shared" si="1"/>
        <v>0.9610227273</v>
      </c>
      <c r="J566" s="82">
        <f t="shared" si="2"/>
        <v>0.5099379962</v>
      </c>
    </row>
    <row r="567">
      <c r="A567" s="83">
        <v>44684.0</v>
      </c>
      <c r="B567" s="66">
        <v>2365.0</v>
      </c>
      <c r="C567" s="66">
        <v>3.0</v>
      </c>
      <c r="D567" s="66" t="s">
        <v>227</v>
      </c>
      <c r="E567" s="66">
        <v>0.0</v>
      </c>
      <c r="F567" s="66">
        <v>0.9598</v>
      </c>
      <c r="G567" s="66">
        <v>0.4893</v>
      </c>
      <c r="I567" s="82">
        <f t="shared" si="1"/>
        <v>0.9615777642</v>
      </c>
      <c r="J567" s="82">
        <f t="shared" si="2"/>
        <v>0.509793707</v>
      </c>
    </row>
    <row r="568">
      <c r="A568" s="83">
        <v>44684.0</v>
      </c>
      <c r="B568" s="66">
        <v>2365.0</v>
      </c>
      <c r="C568" s="66">
        <v>3.0</v>
      </c>
      <c r="D568" s="66" t="s">
        <v>227</v>
      </c>
      <c r="E568" s="66">
        <v>1.0</v>
      </c>
      <c r="F568" s="66">
        <v>0.0412</v>
      </c>
      <c r="G568" s="66">
        <v>0.021</v>
      </c>
      <c r="H568" s="66" t="s">
        <v>277</v>
      </c>
      <c r="I568" s="82">
        <f t="shared" si="1"/>
        <v>0.9619047619</v>
      </c>
      <c r="J568" s="82">
        <f t="shared" si="2"/>
        <v>0.5097087379</v>
      </c>
    </row>
    <row r="569">
      <c r="A569" s="83">
        <v>44684.0</v>
      </c>
      <c r="B569" s="66">
        <v>2367.0</v>
      </c>
      <c r="C569" s="66">
        <v>1.0</v>
      </c>
      <c r="D569" s="66" t="s">
        <v>228</v>
      </c>
      <c r="E569" s="66">
        <v>0.0</v>
      </c>
      <c r="F569" s="66">
        <v>0.291</v>
      </c>
      <c r="G569" s="66">
        <v>0.1483</v>
      </c>
      <c r="H569" s="66" t="s">
        <v>276</v>
      </c>
      <c r="I569" s="82">
        <f t="shared" si="1"/>
        <v>0.9622387053</v>
      </c>
      <c r="J569" s="82">
        <f t="shared" si="2"/>
        <v>0.5096219931</v>
      </c>
    </row>
    <row r="570">
      <c r="A570" s="83">
        <v>44684.0</v>
      </c>
      <c r="B570" s="66">
        <v>2367.0</v>
      </c>
      <c r="C570" s="66">
        <v>1.0</v>
      </c>
      <c r="D570" s="66" t="s">
        <v>227</v>
      </c>
      <c r="E570" s="66">
        <v>0.0</v>
      </c>
      <c r="F570" s="66">
        <v>0.2761</v>
      </c>
      <c r="G570" s="66">
        <v>0.1407</v>
      </c>
      <c r="H570" s="66" t="s">
        <v>280</v>
      </c>
      <c r="I570" s="82">
        <f t="shared" si="1"/>
        <v>0.9623312011</v>
      </c>
      <c r="J570" s="82">
        <f t="shared" si="2"/>
        <v>0.5095979717</v>
      </c>
    </row>
    <row r="571">
      <c r="A571" s="83">
        <v>44684.0</v>
      </c>
      <c r="B571" s="66">
        <v>2367.0</v>
      </c>
      <c r="C571" s="66">
        <v>1.0</v>
      </c>
      <c r="D571" s="66" t="s">
        <v>227</v>
      </c>
      <c r="E571" s="66">
        <v>1.0</v>
      </c>
      <c r="F571" s="66">
        <v>0.2814</v>
      </c>
      <c r="G571" s="66">
        <v>0.1434</v>
      </c>
      <c r="H571" s="66" t="s">
        <v>280</v>
      </c>
      <c r="I571" s="82">
        <f t="shared" si="1"/>
        <v>0.9623430962</v>
      </c>
      <c r="J571" s="82">
        <f t="shared" si="2"/>
        <v>0.5095948827</v>
      </c>
    </row>
    <row r="572">
      <c r="A572" s="83">
        <v>44684.0</v>
      </c>
      <c r="B572" s="66">
        <v>2367.0</v>
      </c>
      <c r="C572" s="66">
        <v>2.0</v>
      </c>
      <c r="D572" s="66" t="s">
        <v>228</v>
      </c>
      <c r="E572" s="66">
        <v>0.0</v>
      </c>
      <c r="F572" s="66">
        <v>0.3195</v>
      </c>
      <c r="G572" s="66">
        <v>0.1628</v>
      </c>
      <c r="I572" s="82">
        <f t="shared" si="1"/>
        <v>0.9625307125</v>
      </c>
      <c r="J572" s="82">
        <f t="shared" si="2"/>
        <v>0.5095461659</v>
      </c>
    </row>
    <row r="573">
      <c r="A573" s="83">
        <v>44684.0</v>
      </c>
      <c r="B573" s="66">
        <v>2367.0</v>
      </c>
      <c r="C573" s="66">
        <v>2.0</v>
      </c>
      <c r="D573" s="66" t="s">
        <v>227</v>
      </c>
      <c r="E573" s="66">
        <v>0.0</v>
      </c>
      <c r="F573" s="66">
        <v>0.5038</v>
      </c>
      <c r="G573" s="66">
        <v>0.2566</v>
      </c>
      <c r="H573" s="66" t="s">
        <v>276</v>
      </c>
      <c r="I573" s="82">
        <f t="shared" si="1"/>
        <v>0.9633671083</v>
      </c>
      <c r="J573" s="82">
        <f t="shared" si="2"/>
        <v>0.5093290988</v>
      </c>
    </row>
    <row r="574">
      <c r="A574" s="83">
        <v>44684.0</v>
      </c>
      <c r="B574" s="66">
        <v>2367.0</v>
      </c>
      <c r="C574" s="66">
        <v>2.0</v>
      </c>
      <c r="D574" s="66" t="s">
        <v>227</v>
      </c>
      <c r="E574" s="66">
        <v>1.0</v>
      </c>
      <c r="F574" s="66">
        <v>1.5927</v>
      </c>
      <c r="G574" s="66">
        <v>0.811</v>
      </c>
      <c r="H574" s="66" t="s">
        <v>277</v>
      </c>
      <c r="I574" s="82">
        <f t="shared" si="1"/>
        <v>0.9638717633</v>
      </c>
      <c r="J574" s="82">
        <f t="shared" si="2"/>
        <v>0.5091982169</v>
      </c>
    </row>
    <row r="575">
      <c r="A575" s="83">
        <v>44684.0</v>
      </c>
      <c r="B575" s="66">
        <v>2367.0</v>
      </c>
      <c r="C575" s="66">
        <v>3.0</v>
      </c>
      <c r="D575" s="66" t="s">
        <v>228</v>
      </c>
      <c r="E575" s="66">
        <v>0.0</v>
      </c>
      <c r="F575" s="66">
        <v>0.1257</v>
      </c>
      <c r="G575" s="66">
        <v>0.064</v>
      </c>
      <c r="I575" s="82">
        <f t="shared" si="1"/>
        <v>0.9640625</v>
      </c>
      <c r="J575" s="82">
        <f t="shared" si="2"/>
        <v>0.5091487669</v>
      </c>
    </row>
    <row r="576">
      <c r="A576" s="83">
        <v>44684.0</v>
      </c>
      <c r="B576" s="66">
        <v>2367.0</v>
      </c>
      <c r="C576" s="66">
        <v>3.0</v>
      </c>
      <c r="D576" s="66" t="s">
        <v>227</v>
      </c>
      <c r="E576" s="66">
        <v>0.0</v>
      </c>
      <c r="F576" s="66">
        <v>0.1485</v>
      </c>
      <c r="G576" s="66">
        <v>0.0756</v>
      </c>
      <c r="I576" s="82">
        <f t="shared" si="1"/>
        <v>0.9642857143</v>
      </c>
      <c r="J576" s="82">
        <f t="shared" si="2"/>
        <v>0.5090909091</v>
      </c>
    </row>
    <row r="577">
      <c r="A577" s="83">
        <v>44684.0</v>
      </c>
      <c r="B577" s="66">
        <v>2367.0</v>
      </c>
      <c r="C577" s="66">
        <v>3.0</v>
      </c>
      <c r="D577" s="66" t="s">
        <v>227</v>
      </c>
      <c r="E577" s="66">
        <v>1.0</v>
      </c>
      <c r="F577" s="66">
        <v>0.055</v>
      </c>
      <c r="G577" s="66">
        <v>0.028</v>
      </c>
      <c r="H577" s="66" t="s">
        <v>277</v>
      </c>
      <c r="I577" s="82">
        <f t="shared" si="1"/>
        <v>0.9642857143</v>
      </c>
      <c r="J577" s="82">
        <f t="shared" si="2"/>
        <v>0.5090909091</v>
      </c>
    </row>
    <row r="578">
      <c r="A578" s="83">
        <v>44684.0</v>
      </c>
      <c r="B578" s="66">
        <v>2369.0</v>
      </c>
      <c r="C578" s="66">
        <v>1.0</v>
      </c>
      <c r="D578" s="66" t="s">
        <v>228</v>
      </c>
      <c r="E578" s="66">
        <v>0.0</v>
      </c>
      <c r="F578" s="66">
        <v>0.7445</v>
      </c>
      <c r="G578" s="66">
        <v>0.379</v>
      </c>
      <c r="H578" s="66" t="s">
        <v>277</v>
      </c>
      <c r="I578" s="82">
        <f t="shared" si="1"/>
        <v>0.9643799472</v>
      </c>
      <c r="J578" s="82">
        <f t="shared" si="2"/>
        <v>0.5090664876</v>
      </c>
    </row>
    <row r="579">
      <c r="A579" s="83">
        <v>44684.0</v>
      </c>
      <c r="B579" s="66">
        <v>2369.0</v>
      </c>
      <c r="C579" s="66">
        <v>1.0</v>
      </c>
      <c r="D579" s="66" t="s">
        <v>227</v>
      </c>
      <c r="E579" s="66">
        <v>0.0</v>
      </c>
      <c r="F579" s="66">
        <v>1.1885</v>
      </c>
      <c r="G579" s="66">
        <v>0.605</v>
      </c>
      <c r="H579" s="66" t="s">
        <v>276</v>
      </c>
      <c r="I579" s="82">
        <f t="shared" si="1"/>
        <v>0.9644628099</v>
      </c>
      <c r="J579" s="82">
        <f t="shared" si="2"/>
        <v>0.5090450147</v>
      </c>
    </row>
    <row r="580">
      <c r="A580" s="83">
        <v>44684.0</v>
      </c>
      <c r="B580" s="66">
        <v>2369.0</v>
      </c>
      <c r="C580" s="66">
        <v>1.0</v>
      </c>
      <c r="D580" s="66" t="s">
        <v>227</v>
      </c>
      <c r="E580" s="66">
        <v>1.0</v>
      </c>
      <c r="F580" s="66">
        <v>0.2221</v>
      </c>
      <c r="G580" s="66">
        <v>0.113</v>
      </c>
      <c r="H580" s="66" t="s">
        <v>280</v>
      </c>
      <c r="I580" s="82">
        <f t="shared" si="1"/>
        <v>0.9654867257</v>
      </c>
      <c r="J580" s="82">
        <f t="shared" si="2"/>
        <v>0.5087798289</v>
      </c>
    </row>
    <row r="581">
      <c r="A581" s="83">
        <v>44684.0</v>
      </c>
      <c r="B581" s="66">
        <v>2369.0</v>
      </c>
      <c r="C581" s="66">
        <v>2.0</v>
      </c>
      <c r="D581" s="66" t="s">
        <v>228</v>
      </c>
      <c r="E581" s="66">
        <v>0.0</v>
      </c>
      <c r="F581" s="66">
        <v>0.3833</v>
      </c>
      <c r="G581" s="66">
        <v>0.195</v>
      </c>
      <c r="H581" s="66" t="s">
        <v>276</v>
      </c>
      <c r="I581" s="82">
        <f t="shared" si="1"/>
        <v>0.9656410256</v>
      </c>
      <c r="J581" s="82">
        <f t="shared" si="2"/>
        <v>0.5087398904</v>
      </c>
    </row>
    <row r="582">
      <c r="A582" s="83">
        <v>44684.0</v>
      </c>
      <c r="B582" s="66">
        <v>2369.0</v>
      </c>
      <c r="C582" s="66">
        <v>2.0</v>
      </c>
      <c r="D582" s="66" t="s">
        <v>227</v>
      </c>
      <c r="E582" s="66">
        <v>1.0</v>
      </c>
      <c r="F582" s="66">
        <v>0.7275</v>
      </c>
      <c r="G582" s="66">
        <v>0.3699</v>
      </c>
      <c r="H582" s="66" t="s">
        <v>276</v>
      </c>
      <c r="I582" s="82">
        <f t="shared" si="1"/>
        <v>0.9667477697</v>
      </c>
      <c r="J582" s="82">
        <f t="shared" si="2"/>
        <v>0.5084536082</v>
      </c>
    </row>
    <row r="583">
      <c r="A583" s="83">
        <v>44684.0</v>
      </c>
      <c r="B583" s="66">
        <v>2369.0</v>
      </c>
      <c r="C583" s="66">
        <v>3.0</v>
      </c>
      <c r="D583" s="66" t="s">
        <v>228</v>
      </c>
      <c r="E583" s="66">
        <v>0.0</v>
      </c>
      <c r="F583" s="66">
        <v>0.985</v>
      </c>
      <c r="G583" s="66">
        <v>0.5008</v>
      </c>
      <c r="H583" s="66" t="s">
        <v>280</v>
      </c>
      <c r="I583" s="82">
        <f t="shared" si="1"/>
        <v>0.9668530351</v>
      </c>
      <c r="J583" s="82">
        <f t="shared" si="2"/>
        <v>0.5084263959</v>
      </c>
    </row>
    <row r="584">
      <c r="A584" s="83">
        <v>44684.0</v>
      </c>
      <c r="B584" s="66">
        <v>2369.0</v>
      </c>
      <c r="C584" s="66">
        <v>3.0</v>
      </c>
      <c r="D584" s="66" t="s">
        <v>227</v>
      </c>
      <c r="E584" s="66">
        <v>0.0</v>
      </c>
      <c r="F584" s="66">
        <v>0.0663</v>
      </c>
      <c r="G584" s="66">
        <v>0.0337</v>
      </c>
      <c r="H584" s="66" t="s">
        <v>280</v>
      </c>
      <c r="I584" s="82">
        <f t="shared" si="1"/>
        <v>0.9673590504</v>
      </c>
      <c r="J584" s="82">
        <f t="shared" si="2"/>
        <v>0.5082956259</v>
      </c>
    </row>
    <row r="585">
      <c r="A585" s="83">
        <v>44684.0</v>
      </c>
      <c r="B585" s="66">
        <v>2369.0</v>
      </c>
      <c r="C585" s="66">
        <v>3.0</v>
      </c>
      <c r="D585" s="66" t="s">
        <v>227</v>
      </c>
      <c r="E585" s="66">
        <v>1.0</v>
      </c>
      <c r="F585" s="66">
        <v>0.7125</v>
      </c>
      <c r="G585" s="66">
        <v>0.362</v>
      </c>
      <c r="H585" s="66" t="s">
        <v>277</v>
      </c>
      <c r="I585" s="82">
        <f t="shared" si="1"/>
        <v>0.9682320442</v>
      </c>
      <c r="J585" s="82">
        <f t="shared" si="2"/>
        <v>0.5080701754</v>
      </c>
    </row>
    <row r="586">
      <c r="A586" s="83">
        <v>44684.0</v>
      </c>
      <c r="B586" s="66">
        <v>2382.0</v>
      </c>
      <c r="C586" s="66">
        <v>1.0</v>
      </c>
      <c r="D586" s="66" t="s">
        <v>228</v>
      </c>
      <c r="E586" s="66">
        <v>0.0</v>
      </c>
      <c r="F586" s="66">
        <v>0.2805</v>
      </c>
      <c r="G586" s="66">
        <v>0.1425</v>
      </c>
      <c r="I586" s="82">
        <f t="shared" si="1"/>
        <v>0.9684210526</v>
      </c>
      <c r="J586" s="82">
        <f t="shared" si="2"/>
        <v>0.5080213904</v>
      </c>
    </row>
    <row r="587">
      <c r="A587" s="83">
        <v>44684.0</v>
      </c>
      <c r="B587" s="66">
        <v>2382.0</v>
      </c>
      <c r="C587" s="66">
        <v>1.0</v>
      </c>
      <c r="D587" s="66" t="s">
        <v>227</v>
      </c>
      <c r="E587" s="66">
        <v>0.0</v>
      </c>
      <c r="F587" s="66">
        <v>0.5631</v>
      </c>
      <c r="G587" s="66">
        <v>0.286</v>
      </c>
      <c r="H587" s="66" t="s">
        <v>277</v>
      </c>
      <c r="I587" s="82">
        <f t="shared" si="1"/>
        <v>0.9688811189</v>
      </c>
      <c r="J587" s="82">
        <f t="shared" si="2"/>
        <v>0.5079026816</v>
      </c>
    </row>
    <row r="588">
      <c r="A588" s="83">
        <v>44684.0</v>
      </c>
      <c r="B588" s="66">
        <v>2382.0</v>
      </c>
      <c r="C588" s="66">
        <v>1.0</v>
      </c>
      <c r="D588" s="66" t="s">
        <v>227</v>
      </c>
      <c r="E588" s="66">
        <v>1.0</v>
      </c>
      <c r="F588" s="66">
        <v>2.0912</v>
      </c>
      <c r="G588" s="66">
        <v>1.0621</v>
      </c>
      <c r="H588" s="66" t="s">
        <v>277</v>
      </c>
      <c r="I588" s="82">
        <f t="shared" si="1"/>
        <v>0.9689294793</v>
      </c>
      <c r="J588" s="82">
        <f t="shared" si="2"/>
        <v>0.5078902066</v>
      </c>
    </row>
    <row r="589">
      <c r="A589" s="83">
        <v>44684.0</v>
      </c>
      <c r="B589" s="66">
        <v>2382.0</v>
      </c>
      <c r="C589" s="66">
        <v>2.0</v>
      </c>
      <c r="D589" s="66" t="s">
        <v>228</v>
      </c>
      <c r="E589" s="66">
        <v>0.0</v>
      </c>
      <c r="F589" s="66">
        <v>0.4769</v>
      </c>
      <c r="G589" s="66">
        <v>0.2422</v>
      </c>
      <c r="H589" s="66" t="s">
        <v>280</v>
      </c>
      <c r="I589" s="82">
        <f t="shared" si="1"/>
        <v>0.9690338563</v>
      </c>
      <c r="J589" s="82">
        <f t="shared" si="2"/>
        <v>0.5078632837</v>
      </c>
    </row>
    <row r="590">
      <c r="A590" s="83">
        <v>44684.0</v>
      </c>
      <c r="B590" s="66">
        <v>2382.0</v>
      </c>
      <c r="C590" s="66">
        <v>2.0</v>
      </c>
      <c r="D590" s="66" t="s">
        <v>227</v>
      </c>
      <c r="E590" s="66">
        <v>0.0</v>
      </c>
      <c r="F590" s="66">
        <v>2.2135</v>
      </c>
      <c r="G590" s="66">
        <v>1.124</v>
      </c>
      <c r="I590" s="82">
        <f t="shared" si="1"/>
        <v>0.9693060498</v>
      </c>
      <c r="J590" s="82">
        <f t="shared" si="2"/>
        <v>0.5077930879</v>
      </c>
    </row>
    <row r="591">
      <c r="A591" s="83">
        <v>44684.0</v>
      </c>
      <c r="B591" s="66">
        <v>2382.0</v>
      </c>
      <c r="C591" s="66">
        <v>2.0</v>
      </c>
      <c r="D591" s="66" t="s">
        <v>227</v>
      </c>
      <c r="E591" s="66">
        <v>1.0</v>
      </c>
      <c r="F591" s="66">
        <v>0.7149</v>
      </c>
      <c r="G591" s="66">
        <v>0.363</v>
      </c>
      <c r="I591" s="82">
        <f t="shared" si="1"/>
        <v>0.9694214876</v>
      </c>
      <c r="J591" s="82">
        <f t="shared" si="2"/>
        <v>0.5077633235</v>
      </c>
    </row>
    <row r="592">
      <c r="A592" s="83">
        <v>44684.0</v>
      </c>
      <c r="B592" s="66">
        <v>2382.0</v>
      </c>
      <c r="C592" s="66">
        <v>3.0</v>
      </c>
      <c r="D592" s="66" t="s">
        <v>228</v>
      </c>
      <c r="E592" s="66">
        <v>0.0</v>
      </c>
      <c r="F592" s="66">
        <v>1.9765</v>
      </c>
      <c r="G592" s="66">
        <v>1.0035</v>
      </c>
      <c r="H592" s="66" t="s">
        <v>276</v>
      </c>
      <c r="I592" s="82">
        <f t="shared" si="1"/>
        <v>0.9696063777</v>
      </c>
      <c r="J592" s="82">
        <f t="shared" si="2"/>
        <v>0.507715659</v>
      </c>
    </row>
    <row r="593">
      <c r="A593" s="83">
        <v>44684.0</v>
      </c>
      <c r="B593" s="66">
        <v>2382.0</v>
      </c>
      <c r="C593" s="66">
        <v>3.0</v>
      </c>
      <c r="D593" s="66" t="s">
        <v>227</v>
      </c>
      <c r="E593" s="66">
        <v>0.0</v>
      </c>
      <c r="F593" s="66">
        <v>0.0985</v>
      </c>
      <c r="G593" s="66">
        <v>0.05</v>
      </c>
      <c r="H593" s="66" t="s">
        <v>276</v>
      </c>
      <c r="I593" s="82">
        <f t="shared" si="1"/>
        <v>0.97</v>
      </c>
      <c r="J593" s="82">
        <f t="shared" si="2"/>
        <v>0.5076142132</v>
      </c>
    </row>
    <row r="594">
      <c r="A594" s="83">
        <v>44684.0</v>
      </c>
      <c r="B594" s="66">
        <v>2382.0</v>
      </c>
      <c r="C594" s="66">
        <v>3.0</v>
      </c>
      <c r="D594" s="66" t="s">
        <v>227</v>
      </c>
      <c r="E594" s="66">
        <v>1.0</v>
      </c>
      <c r="F594" s="66">
        <v>0.7262</v>
      </c>
      <c r="G594" s="66">
        <v>0.3686</v>
      </c>
      <c r="I594" s="82">
        <f t="shared" si="1"/>
        <v>0.9701573521</v>
      </c>
      <c r="J594" s="82">
        <f t="shared" si="2"/>
        <v>0.5075736712</v>
      </c>
    </row>
    <row r="595">
      <c r="A595" s="83">
        <v>44684.0</v>
      </c>
      <c r="B595" s="66">
        <v>2384.0</v>
      </c>
      <c r="C595" s="66">
        <v>1.0</v>
      </c>
      <c r="D595" s="66" t="s">
        <v>228</v>
      </c>
      <c r="E595" s="66">
        <v>0.0</v>
      </c>
      <c r="F595" s="66">
        <v>0.5872</v>
      </c>
      <c r="G595" s="66">
        <v>0.298</v>
      </c>
      <c r="I595" s="82">
        <f t="shared" si="1"/>
        <v>0.9704697987</v>
      </c>
      <c r="J595" s="82">
        <f t="shared" si="2"/>
        <v>0.507493188</v>
      </c>
    </row>
    <row r="596">
      <c r="A596" s="83">
        <v>44684.0</v>
      </c>
      <c r="B596" s="66">
        <v>2384.0</v>
      </c>
      <c r="C596" s="66">
        <v>1.0</v>
      </c>
      <c r="D596" s="66" t="s">
        <v>227</v>
      </c>
      <c r="E596" s="66">
        <v>0.0</v>
      </c>
      <c r="F596" s="66">
        <v>0.3271</v>
      </c>
      <c r="G596" s="66">
        <v>0.166</v>
      </c>
      <c r="H596" s="66" t="s">
        <v>277</v>
      </c>
      <c r="I596" s="82">
        <f t="shared" si="1"/>
        <v>0.9704819277</v>
      </c>
      <c r="J596" s="82">
        <f t="shared" si="2"/>
        <v>0.5074900642</v>
      </c>
    </row>
    <row r="597">
      <c r="A597" s="83">
        <v>44684.0</v>
      </c>
      <c r="B597" s="66">
        <v>2384.0</v>
      </c>
      <c r="C597" s="66">
        <v>1.0</v>
      </c>
      <c r="D597" s="66" t="s">
        <v>227</v>
      </c>
      <c r="E597" s="66">
        <v>1.0</v>
      </c>
      <c r="F597" s="66">
        <v>0.3271</v>
      </c>
      <c r="G597" s="66">
        <v>0.166</v>
      </c>
      <c r="H597" s="66" t="s">
        <v>277</v>
      </c>
      <c r="I597" s="82">
        <f t="shared" si="1"/>
        <v>0.9704819277</v>
      </c>
      <c r="J597" s="82">
        <f t="shared" si="2"/>
        <v>0.5074900642</v>
      </c>
    </row>
    <row r="598">
      <c r="A598" s="83">
        <v>44684.0</v>
      </c>
      <c r="B598" s="66">
        <v>2384.0</v>
      </c>
      <c r="C598" s="66">
        <v>2.0</v>
      </c>
      <c r="D598" s="66" t="s">
        <v>228</v>
      </c>
      <c r="E598" s="66">
        <v>0.0</v>
      </c>
      <c r="F598" s="66">
        <v>0.8296</v>
      </c>
      <c r="G598" s="66">
        <v>0.421</v>
      </c>
      <c r="I598" s="82">
        <f t="shared" si="1"/>
        <v>0.9705463183</v>
      </c>
      <c r="J598" s="82">
        <f t="shared" si="2"/>
        <v>0.5074734812</v>
      </c>
    </row>
    <row r="599">
      <c r="A599" s="83">
        <v>44684.0</v>
      </c>
      <c r="B599" s="66">
        <v>2384.0</v>
      </c>
      <c r="C599" s="66">
        <v>2.0</v>
      </c>
      <c r="D599" s="66" t="s">
        <v>227</v>
      </c>
      <c r="E599" s="66">
        <v>0.0</v>
      </c>
      <c r="F599" s="66">
        <v>0.0749</v>
      </c>
      <c r="G599" s="66">
        <v>0.038</v>
      </c>
      <c r="I599" s="82">
        <f t="shared" si="1"/>
        <v>0.9710526316</v>
      </c>
      <c r="J599" s="82">
        <f t="shared" si="2"/>
        <v>0.5073431242</v>
      </c>
    </row>
    <row r="600">
      <c r="A600" s="83">
        <v>44684.0</v>
      </c>
      <c r="B600" s="66">
        <v>2384.0</v>
      </c>
      <c r="C600" s="66">
        <v>2.0</v>
      </c>
      <c r="D600" s="66" t="s">
        <v>227</v>
      </c>
      <c r="E600" s="66">
        <v>1.0</v>
      </c>
      <c r="F600" s="66">
        <v>0.6657</v>
      </c>
      <c r="G600" s="66">
        <v>0.3377</v>
      </c>
      <c r="H600" s="66" t="s">
        <v>276</v>
      </c>
      <c r="I600" s="82">
        <f t="shared" si="1"/>
        <v>0.9712762807</v>
      </c>
      <c r="J600" s="82">
        <f t="shared" si="2"/>
        <v>0.5072855641</v>
      </c>
    </row>
    <row r="601">
      <c r="A601" s="83">
        <v>44684.0</v>
      </c>
      <c r="B601" s="66">
        <v>2384.0</v>
      </c>
      <c r="C601" s="66">
        <v>3.0</v>
      </c>
      <c r="D601" s="66" t="s">
        <v>228</v>
      </c>
      <c r="E601" s="66">
        <v>0.0</v>
      </c>
      <c r="F601" s="66">
        <v>1.2416</v>
      </c>
      <c r="G601" s="66">
        <v>0.6298</v>
      </c>
      <c r="I601" s="82">
        <f t="shared" si="1"/>
        <v>0.9714194983</v>
      </c>
      <c r="J601" s="82">
        <f t="shared" si="2"/>
        <v>0.5072487113</v>
      </c>
    </row>
    <row r="602">
      <c r="A602" s="83">
        <v>44684.0</v>
      </c>
      <c r="B602" s="66">
        <v>2384.0</v>
      </c>
      <c r="C602" s="66">
        <v>3.0</v>
      </c>
      <c r="D602" s="66" t="s">
        <v>227</v>
      </c>
      <c r="E602" s="66">
        <v>0.0</v>
      </c>
      <c r="F602" s="66">
        <v>0.4574</v>
      </c>
      <c r="G602" s="66">
        <v>0.232</v>
      </c>
      <c r="H602" s="66" t="s">
        <v>277</v>
      </c>
      <c r="I602" s="82">
        <f t="shared" si="1"/>
        <v>0.9715517241</v>
      </c>
      <c r="J602" s="82">
        <f t="shared" si="2"/>
        <v>0.5072146917</v>
      </c>
    </row>
    <row r="603">
      <c r="A603" s="83">
        <v>44684.0</v>
      </c>
      <c r="B603" s="66">
        <v>2384.0</v>
      </c>
      <c r="C603" s="66">
        <v>3.0</v>
      </c>
      <c r="D603" s="66" t="s">
        <v>227</v>
      </c>
      <c r="E603" s="66">
        <v>1.0</v>
      </c>
      <c r="F603" s="66">
        <v>2.2479</v>
      </c>
      <c r="G603" s="66">
        <v>1.14</v>
      </c>
      <c r="I603" s="82">
        <f t="shared" si="1"/>
        <v>0.9718421053</v>
      </c>
      <c r="J603" s="82">
        <f t="shared" si="2"/>
        <v>0.5071399973</v>
      </c>
    </row>
    <row r="604">
      <c r="A604" s="83">
        <v>44684.0</v>
      </c>
      <c r="B604" s="66">
        <v>2434.0</v>
      </c>
      <c r="C604" s="66">
        <v>2.0</v>
      </c>
      <c r="D604" s="66" t="s">
        <v>228</v>
      </c>
      <c r="E604" s="66">
        <v>0.0</v>
      </c>
      <c r="F604" s="66">
        <v>0.2536</v>
      </c>
      <c r="G604" s="66">
        <v>0.1286</v>
      </c>
      <c r="I604" s="82">
        <f t="shared" si="1"/>
        <v>0.9720062208</v>
      </c>
      <c r="J604" s="82">
        <f t="shared" si="2"/>
        <v>0.5070977918</v>
      </c>
    </row>
    <row r="605">
      <c r="A605" s="83">
        <v>44685.0</v>
      </c>
      <c r="B605" s="66">
        <v>2010.0</v>
      </c>
      <c r="C605" s="66">
        <v>1.0</v>
      </c>
      <c r="D605" s="66" t="s">
        <v>227</v>
      </c>
      <c r="E605" s="66">
        <v>1.0</v>
      </c>
      <c r="F605" s="66">
        <v>0.1203</v>
      </c>
      <c r="G605" s="66">
        <v>0.061</v>
      </c>
      <c r="I605" s="82">
        <f t="shared" si="1"/>
        <v>0.9721311475</v>
      </c>
      <c r="J605" s="82">
        <f t="shared" si="2"/>
        <v>0.5070656692</v>
      </c>
    </row>
    <row r="606">
      <c r="A606" s="83">
        <v>44685.0</v>
      </c>
      <c r="B606" s="66">
        <v>2011.0</v>
      </c>
      <c r="C606" s="66">
        <v>1.0</v>
      </c>
      <c r="D606" s="66" t="s">
        <v>228</v>
      </c>
      <c r="E606" s="66">
        <v>0.0</v>
      </c>
      <c r="F606" s="66">
        <v>0.1026</v>
      </c>
      <c r="G606" s="66">
        <v>0.052</v>
      </c>
      <c r="I606" s="82">
        <f t="shared" si="1"/>
        <v>0.9730769231</v>
      </c>
      <c r="J606" s="82">
        <f t="shared" si="2"/>
        <v>0.5068226121</v>
      </c>
    </row>
    <row r="607">
      <c r="A607" s="83">
        <v>44685.0</v>
      </c>
      <c r="B607" s="66">
        <v>2011.0</v>
      </c>
      <c r="C607" s="66">
        <v>1.0</v>
      </c>
      <c r="D607" s="66" t="s">
        <v>227</v>
      </c>
      <c r="E607" s="66">
        <v>0.0</v>
      </c>
      <c r="F607" s="66">
        <v>1.0301</v>
      </c>
      <c r="G607" s="66">
        <v>0.522</v>
      </c>
      <c r="I607" s="82">
        <f t="shared" si="1"/>
        <v>0.9733716475</v>
      </c>
      <c r="J607" s="82">
        <f t="shared" si="2"/>
        <v>0.5067469178</v>
      </c>
    </row>
    <row r="608">
      <c r="A608" s="83">
        <v>44685.0</v>
      </c>
      <c r="B608" s="66">
        <v>2011.0</v>
      </c>
      <c r="C608" s="66">
        <v>1.0</v>
      </c>
      <c r="D608" s="66" t="s">
        <v>227</v>
      </c>
      <c r="E608" s="66">
        <v>1.0</v>
      </c>
      <c r="F608" s="66">
        <v>0.223</v>
      </c>
      <c r="G608" s="66">
        <v>0.113</v>
      </c>
      <c r="I608" s="82">
        <f t="shared" si="1"/>
        <v>0.9734513274</v>
      </c>
      <c r="J608" s="82">
        <f t="shared" si="2"/>
        <v>0.5067264574</v>
      </c>
    </row>
    <row r="609">
      <c r="A609" s="83">
        <v>44685.0</v>
      </c>
      <c r="B609" s="66">
        <v>2011.0</v>
      </c>
      <c r="C609" s="66">
        <v>2.0</v>
      </c>
      <c r="D609" s="66" t="s">
        <v>228</v>
      </c>
      <c r="E609" s="66">
        <v>0.0</v>
      </c>
      <c r="F609" s="66">
        <v>0.1145</v>
      </c>
      <c r="G609" s="66">
        <v>0.058</v>
      </c>
      <c r="I609" s="82">
        <f t="shared" si="1"/>
        <v>0.974137931</v>
      </c>
      <c r="J609" s="82">
        <f t="shared" si="2"/>
        <v>0.5065502183</v>
      </c>
    </row>
    <row r="610">
      <c r="A610" s="83">
        <v>44685.0</v>
      </c>
      <c r="B610" s="66">
        <v>2011.0</v>
      </c>
      <c r="C610" s="66">
        <v>2.0</v>
      </c>
      <c r="D610" s="66" t="s">
        <v>227</v>
      </c>
      <c r="E610" s="66">
        <v>0.0</v>
      </c>
      <c r="F610" s="66">
        <v>0.8668</v>
      </c>
      <c r="G610" s="66">
        <v>0.439</v>
      </c>
      <c r="I610" s="82">
        <f t="shared" si="1"/>
        <v>0.9744874715</v>
      </c>
      <c r="J610" s="82">
        <f t="shared" si="2"/>
        <v>0.5064605445</v>
      </c>
    </row>
    <row r="611">
      <c r="A611" s="83">
        <v>44685.0</v>
      </c>
      <c r="B611" s="66">
        <v>2011.0</v>
      </c>
      <c r="C611" s="66">
        <v>2.0</v>
      </c>
      <c r="D611" s="66" t="s">
        <v>227</v>
      </c>
      <c r="E611" s="66">
        <v>1.0</v>
      </c>
      <c r="F611" s="66">
        <v>0.2101</v>
      </c>
      <c r="G611" s="66">
        <v>0.1064</v>
      </c>
      <c r="I611" s="82">
        <f t="shared" si="1"/>
        <v>0.9746240602</v>
      </c>
      <c r="J611" s="82">
        <f t="shared" si="2"/>
        <v>0.5064255117</v>
      </c>
    </row>
    <row r="612">
      <c r="A612" s="83">
        <v>44685.0</v>
      </c>
      <c r="B612" s="66">
        <v>2011.0</v>
      </c>
      <c r="C612" s="66">
        <v>3.0</v>
      </c>
      <c r="D612" s="66" t="s">
        <v>228</v>
      </c>
      <c r="E612" s="66">
        <v>0.0</v>
      </c>
      <c r="F612" s="66">
        <v>0.6339</v>
      </c>
      <c r="G612" s="66">
        <v>0.321</v>
      </c>
      <c r="I612" s="82">
        <f t="shared" si="1"/>
        <v>0.9747663551</v>
      </c>
      <c r="J612" s="82">
        <f t="shared" si="2"/>
        <v>0.5063890204</v>
      </c>
    </row>
    <row r="613">
      <c r="A613" s="83">
        <v>44685.0</v>
      </c>
      <c r="B613" s="66">
        <v>2011.0</v>
      </c>
      <c r="C613" s="66">
        <v>3.0</v>
      </c>
      <c r="D613" s="66" t="s">
        <v>227</v>
      </c>
      <c r="E613" s="66">
        <v>0.0</v>
      </c>
      <c r="F613" s="66">
        <v>0.2192</v>
      </c>
      <c r="G613" s="66">
        <v>0.111</v>
      </c>
      <c r="I613" s="82">
        <f t="shared" si="1"/>
        <v>0.9747747748</v>
      </c>
      <c r="J613" s="82">
        <f t="shared" si="2"/>
        <v>0.5063868613</v>
      </c>
    </row>
    <row r="614">
      <c r="A614" s="83">
        <v>44685.0</v>
      </c>
      <c r="B614" s="66">
        <v>2011.0</v>
      </c>
      <c r="C614" s="66">
        <v>3.0</v>
      </c>
      <c r="D614" s="66" t="s">
        <v>227</v>
      </c>
      <c r="E614" s="66">
        <v>1.0</v>
      </c>
      <c r="F614" s="66">
        <v>0.1564</v>
      </c>
      <c r="G614" s="66">
        <v>0.0791</v>
      </c>
      <c r="H614" s="66" t="s">
        <v>280</v>
      </c>
      <c r="I614" s="82">
        <f t="shared" si="1"/>
        <v>0.9772439949</v>
      </c>
      <c r="J614" s="82">
        <f t="shared" si="2"/>
        <v>0.5057544757</v>
      </c>
    </row>
    <row r="615">
      <c r="A615" s="83">
        <v>44685.0</v>
      </c>
      <c r="B615" s="66">
        <v>2301.0</v>
      </c>
      <c r="C615" s="66">
        <v>1.0</v>
      </c>
      <c r="D615" s="66" t="s">
        <v>228</v>
      </c>
      <c r="E615" s="66">
        <v>1.0</v>
      </c>
      <c r="F615" s="66">
        <v>0.2053</v>
      </c>
      <c r="G615" s="66">
        <v>0.1038</v>
      </c>
      <c r="I615" s="82">
        <f t="shared" si="1"/>
        <v>0.9778420039</v>
      </c>
      <c r="J615" s="82">
        <f t="shared" si="2"/>
        <v>0.5056015587</v>
      </c>
    </row>
    <row r="616">
      <c r="A616" s="83">
        <v>44685.0</v>
      </c>
      <c r="B616" s="66">
        <v>2301.0</v>
      </c>
      <c r="C616" s="66">
        <v>1.0</v>
      </c>
      <c r="D616" s="66" t="s">
        <v>227</v>
      </c>
      <c r="E616" s="66">
        <v>1.0</v>
      </c>
      <c r="F616" s="66">
        <v>0.0857</v>
      </c>
      <c r="G616" s="66">
        <v>0.0433</v>
      </c>
      <c r="I616" s="82">
        <f t="shared" si="1"/>
        <v>0.9792147806</v>
      </c>
      <c r="J616" s="82">
        <f t="shared" si="2"/>
        <v>0.5052508751</v>
      </c>
    </row>
    <row r="617">
      <c r="A617" s="83">
        <v>44685.0</v>
      </c>
      <c r="B617" s="66">
        <v>2301.0</v>
      </c>
      <c r="C617" s="66">
        <v>2.0</v>
      </c>
      <c r="D617" s="66" t="s">
        <v>228</v>
      </c>
      <c r="E617" s="66">
        <v>1.0</v>
      </c>
      <c r="F617" s="66">
        <v>0.1144</v>
      </c>
      <c r="G617" s="66">
        <v>0.0578</v>
      </c>
      <c r="I617" s="82">
        <f t="shared" si="1"/>
        <v>0.9792387543</v>
      </c>
      <c r="J617" s="82">
        <f t="shared" si="2"/>
        <v>0.5052447552</v>
      </c>
    </row>
    <row r="618">
      <c r="A618" s="83">
        <v>44685.0</v>
      </c>
      <c r="B618" s="66">
        <v>2301.0</v>
      </c>
      <c r="C618" s="66">
        <v>2.0</v>
      </c>
      <c r="D618" s="66" t="s">
        <v>227</v>
      </c>
      <c r="E618" s="66">
        <v>1.0</v>
      </c>
      <c r="F618" s="66">
        <v>0.287</v>
      </c>
      <c r="G618" s="66">
        <v>0.145</v>
      </c>
      <c r="H618" s="66" t="s">
        <v>279</v>
      </c>
      <c r="I618" s="82">
        <f t="shared" si="1"/>
        <v>0.9793103448</v>
      </c>
      <c r="J618" s="82">
        <f t="shared" si="2"/>
        <v>0.5052264808</v>
      </c>
    </row>
    <row r="619">
      <c r="A619" s="83">
        <v>44685.0</v>
      </c>
      <c r="B619" s="66">
        <v>2301.0</v>
      </c>
      <c r="C619" s="66">
        <v>3.0</v>
      </c>
      <c r="D619" s="66" t="s">
        <v>228</v>
      </c>
      <c r="E619" s="66">
        <v>1.0</v>
      </c>
      <c r="F619" s="66">
        <v>0.7641</v>
      </c>
      <c r="G619" s="66">
        <v>0.386</v>
      </c>
      <c r="I619" s="82">
        <f t="shared" si="1"/>
        <v>0.9795336788</v>
      </c>
      <c r="J619" s="82">
        <f t="shared" si="2"/>
        <v>0.5051694804</v>
      </c>
    </row>
    <row r="620">
      <c r="A620" s="83">
        <v>44685.0</v>
      </c>
      <c r="B620" s="66">
        <v>2301.0</v>
      </c>
      <c r="C620" s="66">
        <v>3.0</v>
      </c>
      <c r="D620" s="66" t="s">
        <v>227</v>
      </c>
      <c r="E620" s="66">
        <v>1.0</v>
      </c>
      <c r="F620" s="66">
        <v>0.1463</v>
      </c>
      <c r="G620" s="66">
        <v>0.0739</v>
      </c>
      <c r="H620" s="66" t="s">
        <v>280</v>
      </c>
      <c r="I620" s="82">
        <f t="shared" si="1"/>
        <v>0.9797023004</v>
      </c>
      <c r="J620" s="82">
        <f t="shared" si="2"/>
        <v>0.5051264525</v>
      </c>
    </row>
    <row r="621">
      <c r="A621" s="83">
        <v>44685.0</v>
      </c>
      <c r="B621" s="66">
        <v>2331.0</v>
      </c>
      <c r="C621" s="66">
        <v>1.0</v>
      </c>
      <c r="D621" s="66" t="s">
        <v>228</v>
      </c>
      <c r="E621" s="66">
        <v>1.0</v>
      </c>
      <c r="F621" s="66">
        <v>0.0592</v>
      </c>
      <c r="G621" s="66">
        <v>0.0299</v>
      </c>
      <c r="I621" s="82">
        <f t="shared" si="1"/>
        <v>0.9799331104</v>
      </c>
      <c r="J621" s="82">
        <f t="shared" si="2"/>
        <v>0.5050675676</v>
      </c>
    </row>
    <row r="622">
      <c r="A622" s="83">
        <v>44685.0</v>
      </c>
      <c r="B622" s="66">
        <v>2331.0</v>
      </c>
      <c r="C622" s="66">
        <v>1.0</v>
      </c>
      <c r="D622" s="66" t="s">
        <v>227</v>
      </c>
      <c r="E622" s="66">
        <v>1.0</v>
      </c>
      <c r="F622" s="66">
        <v>4.063</v>
      </c>
      <c r="G622" s="66">
        <v>2.052</v>
      </c>
      <c r="H622" s="66" t="s">
        <v>278</v>
      </c>
      <c r="I622" s="82">
        <f t="shared" si="1"/>
        <v>0.9800194932</v>
      </c>
      <c r="J622" s="82">
        <f t="shared" si="2"/>
        <v>0.5050455329</v>
      </c>
    </row>
    <row r="623">
      <c r="A623" s="83">
        <v>44685.0</v>
      </c>
      <c r="B623" s="66">
        <v>2331.0</v>
      </c>
      <c r="C623" s="66">
        <v>2.0</v>
      </c>
      <c r="D623" s="66" t="s">
        <v>228</v>
      </c>
      <c r="E623" s="66">
        <v>0.0</v>
      </c>
      <c r="F623" s="66">
        <v>1.193</v>
      </c>
      <c r="G623" s="66">
        <v>0.6024</v>
      </c>
      <c r="I623" s="82">
        <f t="shared" si="1"/>
        <v>0.9804116866</v>
      </c>
      <c r="J623" s="82">
        <f t="shared" si="2"/>
        <v>0.5049455155</v>
      </c>
    </row>
    <row r="624">
      <c r="A624" s="83">
        <v>44685.0</v>
      </c>
      <c r="B624" s="66">
        <v>2331.0</v>
      </c>
      <c r="C624" s="66">
        <v>2.0</v>
      </c>
      <c r="D624" s="66" t="s">
        <v>228</v>
      </c>
      <c r="E624" s="66">
        <v>1.0</v>
      </c>
      <c r="F624" s="66">
        <v>1.2971</v>
      </c>
      <c r="G624" s="66">
        <v>0.6548</v>
      </c>
      <c r="H624" s="66" t="s">
        <v>280</v>
      </c>
      <c r="I624" s="82">
        <f t="shared" si="1"/>
        <v>0.9809102016</v>
      </c>
      <c r="J624" s="82">
        <f t="shared" si="2"/>
        <v>0.5048184411</v>
      </c>
    </row>
    <row r="625">
      <c r="A625" s="83">
        <v>44685.0</v>
      </c>
      <c r="B625" s="66">
        <v>2331.0</v>
      </c>
      <c r="C625" s="66">
        <v>2.0</v>
      </c>
      <c r="D625" s="66" t="s">
        <v>227</v>
      </c>
      <c r="E625" s="66">
        <v>0.0</v>
      </c>
      <c r="F625" s="66">
        <v>0.1783</v>
      </c>
      <c r="G625" s="66">
        <v>0.09</v>
      </c>
      <c r="H625" s="66" t="s">
        <v>276</v>
      </c>
      <c r="I625" s="82">
        <f t="shared" si="1"/>
        <v>0.9811111111</v>
      </c>
      <c r="J625" s="82">
        <f t="shared" si="2"/>
        <v>0.5047672462</v>
      </c>
    </row>
    <row r="626">
      <c r="A626" s="83">
        <v>44685.0</v>
      </c>
      <c r="B626" s="66">
        <v>2331.0</v>
      </c>
      <c r="C626" s="66">
        <v>2.0</v>
      </c>
      <c r="D626" s="66" t="s">
        <v>227</v>
      </c>
      <c r="E626" s="66">
        <v>1.0</v>
      </c>
      <c r="F626" s="66">
        <v>1.2105</v>
      </c>
      <c r="G626" s="66">
        <v>0.6109</v>
      </c>
      <c r="I626" s="82">
        <f t="shared" si="1"/>
        <v>0.9815027009</v>
      </c>
      <c r="J626" s="82">
        <f t="shared" si="2"/>
        <v>0.5046674928</v>
      </c>
    </row>
    <row r="627">
      <c r="A627" s="83">
        <v>44685.0</v>
      </c>
      <c r="B627" s="66">
        <v>2331.0</v>
      </c>
      <c r="C627" s="66">
        <v>3.0</v>
      </c>
      <c r="D627" s="66" t="s">
        <v>228</v>
      </c>
      <c r="E627" s="66">
        <v>1.0</v>
      </c>
      <c r="F627" s="66">
        <v>0.0985</v>
      </c>
      <c r="G627" s="66">
        <v>0.0497</v>
      </c>
      <c r="I627" s="82">
        <f t="shared" si="1"/>
        <v>0.9818913481</v>
      </c>
      <c r="J627" s="82">
        <f t="shared" si="2"/>
        <v>0.5045685279</v>
      </c>
    </row>
    <row r="628">
      <c r="A628" s="83">
        <v>44685.0</v>
      </c>
      <c r="B628" s="66">
        <v>2331.0</v>
      </c>
      <c r="C628" s="66">
        <v>3.0</v>
      </c>
      <c r="D628" s="66" t="s">
        <v>227</v>
      </c>
      <c r="E628" s="66">
        <v>1.0</v>
      </c>
      <c r="F628" s="66">
        <v>0.111</v>
      </c>
      <c r="G628" s="66">
        <v>0.056</v>
      </c>
      <c r="H628" s="66" t="s">
        <v>277</v>
      </c>
      <c r="I628" s="82">
        <f t="shared" si="1"/>
        <v>0.9821428571</v>
      </c>
      <c r="J628" s="82">
        <f t="shared" si="2"/>
        <v>0.5045045045</v>
      </c>
    </row>
    <row r="629">
      <c r="A629" s="83">
        <v>44685.0</v>
      </c>
      <c r="B629" s="66">
        <v>2343.0</v>
      </c>
      <c r="C629" s="66">
        <v>3.0</v>
      </c>
      <c r="D629" s="66" t="s">
        <v>228</v>
      </c>
      <c r="E629" s="66">
        <v>0.0</v>
      </c>
      <c r="F629" s="66">
        <v>0.2458</v>
      </c>
      <c r="G629" s="66">
        <v>0.124</v>
      </c>
      <c r="I629" s="82">
        <f t="shared" si="1"/>
        <v>0.9822580645</v>
      </c>
      <c r="J629" s="82">
        <f t="shared" si="2"/>
        <v>0.5044751831</v>
      </c>
    </row>
    <row r="630">
      <c r="A630" s="83">
        <v>44685.0</v>
      </c>
      <c r="B630" s="66">
        <v>2343.0</v>
      </c>
      <c r="C630" s="66">
        <v>3.0</v>
      </c>
      <c r="D630" s="66" t="s">
        <v>227</v>
      </c>
      <c r="E630" s="66">
        <v>0.0</v>
      </c>
      <c r="F630" s="66">
        <v>1.8566</v>
      </c>
      <c r="G630" s="66">
        <v>0.9365</v>
      </c>
      <c r="H630" s="66" t="s">
        <v>277</v>
      </c>
      <c r="I630" s="82">
        <f t="shared" si="1"/>
        <v>0.9824879872</v>
      </c>
      <c r="J630" s="82">
        <f t="shared" si="2"/>
        <v>0.5044166756</v>
      </c>
    </row>
    <row r="631">
      <c r="A631" s="83">
        <v>44685.0</v>
      </c>
      <c r="B631" s="66">
        <v>2343.0</v>
      </c>
      <c r="C631" s="66">
        <v>3.0</v>
      </c>
      <c r="D631" s="66" t="s">
        <v>227</v>
      </c>
      <c r="E631" s="66">
        <v>1.0</v>
      </c>
      <c r="F631" s="66">
        <v>2.3696</v>
      </c>
      <c r="G631" s="66">
        <v>1.1948</v>
      </c>
      <c r="H631" s="66" t="s">
        <v>276</v>
      </c>
      <c r="I631" s="82">
        <f t="shared" si="1"/>
        <v>0.9832607968</v>
      </c>
      <c r="J631" s="82">
        <f t="shared" si="2"/>
        <v>0.5042201215</v>
      </c>
    </row>
    <row r="632">
      <c r="A632" s="83">
        <v>44685.0</v>
      </c>
      <c r="B632" s="66">
        <v>2345.0</v>
      </c>
      <c r="C632" s="66">
        <v>1.0</v>
      </c>
      <c r="D632" s="66" t="s">
        <v>228</v>
      </c>
      <c r="E632" s="66">
        <v>1.0</v>
      </c>
      <c r="F632" s="66">
        <v>0.1468</v>
      </c>
      <c r="G632" s="66">
        <v>0.074</v>
      </c>
      <c r="H632" s="66" t="s">
        <v>277</v>
      </c>
      <c r="I632" s="82">
        <f t="shared" si="1"/>
        <v>0.9837837838</v>
      </c>
      <c r="J632" s="82">
        <f t="shared" si="2"/>
        <v>0.5040871935</v>
      </c>
    </row>
    <row r="633">
      <c r="A633" s="83">
        <v>44685.0</v>
      </c>
      <c r="B633" s="66">
        <v>2345.0</v>
      </c>
      <c r="C633" s="66">
        <v>1.0</v>
      </c>
      <c r="D633" s="66" t="s">
        <v>227</v>
      </c>
      <c r="E633" s="66">
        <v>1.0</v>
      </c>
      <c r="F633" s="66">
        <v>0.1861</v>
      </c>
      <c r="G633" s="66">
        <v>0.0938</v>
      </c>
      <c r="I633" s="82">
        <f t="shared" si="1"/>
        <v>0.9840085288</v>
      </c>
      <c r="J633" s="82">
        <f t="shared" si="2"/>
        <v>0.5040300913</v>
      </c>
    </row>
    <row r="634">
      <c r="A634" s="83">
        <v>44685.0</v>
      </c>
      <c r="B634" s="66">
        <v>2345.0</v>
      </c>
      <c r="C634" s="66">
        <v>2.0</v>
      </c>
      <c r="D634" s="66" t="s">
        <v>228</v>
      </c>
      <c r="E634" s="66">
        <v>1.0</v>
      </c>
      <c r="F634" s="66">
        <v>0.1506</v>
      </c>
      <c r="G634" s="66">
        <v>0.0759</v>
      </c>
      <c r="H634" s="66" t="s">
        <v>280</v>
      </c>
      <c r="I634" s="82">
        <f t="shared" si="1"/>
        <v>0.9841897233</v>
      </c>
      <c r="J634" s="82">
        <f t="shared" si="2"/>
        <v>0.5039840637</v>
      </c>
    </row>
    <row r="635">
      <c r="A635" s="83">
        <v>44685.0</v>
      </c>
      <c r="B635" s="66">
        <v>2345.0</v>
      </c>
      <c r="C635" s="66">
        <v>2.0</v>
      </c>
      <c r="D635" s="66" t="s">
        <v>227</v>
      </c>
      <c r="E635" s="66">
        <v>1.0</v>
      </c>
      <c r="F635" s="66">
        <v>0.4544</v>
      </c>
      <c r="G635" s="66">
        <v>0.229</v>
      </c>
      <c r="H635" s="66" t="s">
        <v>277</v>
      </c>
      <c r="I635" s="82">
        <f t="shared" si="1"/>
        <v>0.984279476</v>
      </c>
      <c r="J635" s="82">
        <f t="shared" si="2"/>
        <v>0.5039612676</v>
      </c>
    </row>
    <row r="636">
      <c r="A636" s="83">
        <v>44685.0</v>
      </c>
      <c r="B636" s="66">
        <v>2345.0</v>
      </c>
      <c r="C636" s="66">
        <v>3.0</v>
      </c>
      <c r="D636" s="66" t="s">
        <v>228</v>
      </c>
      <c r="E636" s="66">
        <v>1.0</v>
      </c>
      <c r="F636" s="66">
        <v>0.1647</v>
      </c>
      <c r="G636" s="66">
        <v>0.083</v>
      </c>
      <c r="H636" s="66" t="s">
        <v>277</v>
      </c>
      <c r="I636" s="82">
        <f t="shared" si="1"/>
        <v>0.9843373494</v>
      </c>
      <c r="J636" s="82">
        <f t="shared" si="2"/>
        <v>0.5039465695</v>
      </c>
    </row>
    <row r="637">
      <c r="A637" s="83">
        <v>44685.0</v>
      </c>
      <c r="B637" s="66">
        <v>2345.0</v>
      </c>
      <c r="C637" s="66">
        <v>3.0</v>
      </c>
      <c r="D637" s="66" t="s">
        <v>227</v>
      </c>
      <c r="E637" s="66">
        <v>1.0</v>
      </c>
      <c r="F637" s="66">
        <v>0.127</v>
      </c>
      <c r="G637" s="66">
        <v>0.064</v>
      </c>
      <c r="H637" s="66" t="s">
        <v>279</v>
      </c>
      <c r="I637" s="82">
        <f t="shared" si="1"/>
        <v>0.984375</v>
      </c>
      <c r="J637" s="82">
        <f t="shared" si="2"/>
        <v>0.5039370079</v>
      </c>
    </row>
    <row r="638">
      <c r="A638" s="83">
        <v>44685.0</v>
      </c>
      <c r="B638" s="66">
        <v>2346.0</v>
      </c>
      <c r="C638" s="66">
        <v>3.0</v>
      </c>
      <c r="D638" s="66" t="s">
        <v>228</v>
      </c>
      <c r="E638" s="66">
        <v>0.0</v>
      </c>
      <c r="F638" s="66">
        <v>1.042</v>
      </c>
      <c r="G638" s="66">
        <v>0.525</v>
      </c>
      <c r="H638" s="66" t="s">
        <v>277</v>
      </c>
      <c r="I638" s="82">
        <f t="shared" si="1"/>
        <v>0.9847619048</v>
      </c>
      <c r="J638" s="82">
        <f t="shared" si="2"/>
        <v>0.5038387716</v>
      </c>
    </row>
    <row r="639">
      <c r="A639" s="83">
        <v>44685.0</v>
      </c>
      <c r="B639" s="66">
        <v>2352.0</v>
      </c>
      <c r="C639" s="66">
        <v>1.0</v>
      </c>
      <c r="D639" s="66" t="s">
        <v>228</v>
      </c>
      <c r="E639" s="66">
        <v>1.0</v>
      </c>
      <c r="F639" s="66">
        <v>0.1189</v>
      </c>
      <c r="G639" s="66">
        <v>0.0599</v>
      </c>
      <c r="I639" s="82">
        <f t="shared" si="1"/>
        <v>0.9849749583</v>
      </c>
      <c r="J639" s="82">
        <f t="shared" si="2"/>
        <v>0.503784693</v>
      </c>
    </row>
    <row r="640">
      <c r="A640" s="83">
        <v>44685.0</v>
      </c>
      <c r="B640" s="66">
        <v>2352.0</v>
      </c>
      <c r="C640" s="66">
        <v>1.0</v>
      </c>
      <c r="D640" s="66" t="s">
        <v>227</v>
      </c>
      <c r="E640" s="66">
        <v>1.0</v>
      </c>
      <c r="F640" s="66">
        <v>0.2255</v>
      </c>
      <c r="G640" s="66">
        <v>0.1136</v>
      </c>
      <c r="I640" s="82">
        <f t="shared" si="1"/>
        <v>0.9850352113</v>
      </c>
      <c r="J640" s="82">
        <f t="shared" si="2"/>
        <v>0.5037694013</v>
      </c>
    </row>
    <row r="641">
      <c r="A641" s="83">
        <v>44685.0</v>
      </c>
      <c r="B641" s="66">
        <v>2352.0</v>
      </c>
      <c r="C641" s="66">
        <v>2.0</v>
      </c>
      <c r="D641" s="66" t="s">
        <v>228</v>
      </c>
      <c r="E641" s="66">
        <v>1.0</v>
      </c>
      <c r="F641" s="66">
        <v>2.6184</v>
      </c>
      <c r="G641" s="66">
        <v>1.3187</v>
      </c>
      <c r="H641" s="66" t="s">
        <v>276</v>
      </c>
      <c r="I641" s="82">
        <f t="shared" si="1"/>
        <v>0.9855918708</v>
      </c>
      <c r="J641" s="82">
        <f t="shared" si="2"/>
        <v>0.5036281699</v>
      </c>
    </row>
    <row r="642">
      <c r="A642" s="83">
        <v>44685.0</v>
      </c>
      <c r="B642" s="66">
        <v>2352.0</v>
      </c>
      <c r="C642" s="66">
        <v>2.0</v>
      </c>
      <c r="D642" s="66" t="s">
        <v>227</v>
      </c>
      <c r="E642" s="66">
        <v>1.0</v>
      </c>
      <c r="F642" s="66">
        <v>0.5064</v>
      </c>
      <c r="G642" s="66">
        <v>0.255</v>
      </c>
      <c r="I642" s="82">
        <f t="shared" si="1"/>
        <v>0.9858823529</v>
      </c>
      <c r="J642" s="82">
        <f t="shared" si="2"/>
        <v>0.5035545024</v>
      </c>
    </row>
    <row r="643">
      <c r="A643" s="83">
        <v>44685.0</v>
      </c>
      <c r="B643" s="66">
        <v>2352.0</v>
      </c>
      <c r="C643" s="66">
        <v>3.0</v>
      </c>
      <c r="D643" s="66" t="s">
        <v>228</v>
      </c>
      <c r="E643" s="66">
        <v>1.0</v>
      </c>
      <c r="F643" s="66">
        <v>0.5064</v>
      </c>
      <c r="G643" s="66">
        <v>0.255</v>
      </c>
      <c r="I643" s="82">
        <f t="shared" si="1"/>
        <v>0.9858823529</v>
      </c>
      <c r="J643" s="82">
        <f t="shared" si="2"/>
        <v>0.5035545024</v>
      </c>
    </row>
    <row r="644">
      <c r="A644" s="83">
        <v>44685.0</v>
      </c>
      <c r="B644" s="66">
        <v>2352.0</v>
      </c>
      <c r="C644" s="66">
        <v>3.0</v>
      </c>
      <c r="D644" s="66" t="s">
        <v>227</v>
      </c>
      <c r="E644" s="66">
        <v>0.0</v>
      </c>
      <c r="F644" s="66">
        <v>0.0775</v>
      </c>
      <c r="G644" s="66">
        <v>0.039</v>
      </c>
      <c r="H644" s="66" t="s">
        <v>277</v>
      </c>
      <c r="I644" s="82">
        <f t="shared" si="1"/>
        <v>0.9871794872</v>
      </c>
      <c r="J644" s="82">
        <f t="shared" si="2"/>
        <v>0.5032258065</v>
      </c>
    </row>
    <row r="645">
      <c r="A645" s="83">
        <v>44685.0</v>
      </c>
      <c r="B645" s="66">
        <v>2354.0</v>
      </c>
      <c r="C645" s="66">
        <v>1.0</v>
      </c>
      <c r="D645" s="66" t="s">
        <v>228</v>
      </c>
      <c r="E645" s="66">
        <v>0.0</v>
      </c>
      <c r="F645" s="66">
        <v>0.4017</v>
      </c>
      <c r="G645" s="66">
        <v>0.2021</v>
      </c>
      <c r="H645" s="66" t="s">
        <v>276</v>
      </c>
      <c r="I645" s="82">
        <f t="shared" si="1"/>
        <v>0.9876298862</v>
      </c>
      <c r="J645" s="82">
        <f t="shared" si="2"/>
        <v>0.503111775</v>
      </c>
    </row>
    <row r="646">
      <c r="A646" s="83">
        <v>44685.0</v>
      </c>
      <c r="B646" s="66">
        <v>2354.0</v>
      </c>
      <c r="C646" s="66">
        <v>1.0</v>
      </c>
      <c r="D646" s="66" t="s">
        <v>228</v>
      </c>
      <c r="E646" s="66">
        <v>1.0</v>
      </c>
      <c r="F646" s="66">
        <v>0.4995</v>
      </c>
      <c r="G646" s="66">
        <v>0.2513</v>
      </c>
      <c r="H646" s="66" t="s">
        <v>276</v>
      </c>
      <c r="I646" s="82">
        <f t="shared" si="1"/>
        <v>0.9876641464</v>
      </c>
      <c r="J646" s="82">
        <f t="shared" si="2"/>
        <v>0.5031031031</v>
      </c>
    </row>
    <row r="647">
      <c r="A647" s="83">
        <v>44685.0</v>
      </c>
      <c r="B647" s="66">
        <v>2354.0</v>
      </c>
      <c r="C647" s="66">
        <v>1.0</v>
      </c>
      <c r="D647" s="66" t="s">
        <v>227</v>
      </c>
      <c r="E647" s="66">
        <v>0.0</v>
      </c>
      <c r="F647" s="66">
        <v>1.4272</v>
      </c>
      <c r="G647" s="66">
        <v>0.718</v>
      </c>
      <c r="H647" s="66" t="s">
        <v>277</v>
      </c>
      <c r="I647" s="82">
        <f t="shared" si="1"/>
        <v>0.9877437326</v>
      </c>
      <c r="J647" s="82">
        <f t="shared" si="2"/>
        <v>0.5030829596</v>
      </c>
    </row>
    <row r="648">
      <c r="A648" s="83">
        <v>44685.0</v>
      </c>
      <c r="B648" s="66">
        <v>2354.0</v>
      </c>
      <c r="C648" s="66">
        <v>1.0</v>
      </c>
      <c r="D648" s="66" t="s">
        <v>227</v>
      </c>
      <c r="E648" s="66">
        <v>1.0</v>
      </c>
      <c r="F648" s="66">
        <v>0.165</v>
      </c>
      <c r="G648" s="66">
        <v>0.083</v>
      </c>
      <c r="H648" s="66" t="s">
        <v>277</v>
      </c>
      <c r="I648" s="82">
        <f t="shared" si="1"/>
        <v>0.9879518072</v>
      </c>
      <c r="J648" s="82">
        <f t="shared" si="2"/>
        <v>0.503030303</v>
      </c>
    </row>
    <row r="649">
      <c r="A649" s="83">
        <v>44685.0</v>
      </c>
      <c r="B649" s="66">
        <v>2354.0</v>
      </c>
      <c r="C649" s="66">
        <v>2.0</v>
      </c>
      <c r="D649" s="66" t="s">
        <v>228</v>
      </c>
      <c r="E649" s="66">
        <v>0.0</v>
      </c>
      <c r="F649" s="66">
        <v>0.2424</v>
      </c>
      <c r="G649" s="66">
        <v>0.1219</v>
      </c>
      <c r="I649" s="82">
        <f t="shared" si="1"/>
        <v>0.9885151764</v>
      </c>
      <c r="J649" s="82">
        <f t="shared" si="2"/>
        <v>0.5028877888</v>
      </c>
    </row>
    <row r="650">
      <c r="A650" s="83">
        <v>44685.0</v>
      </c>
      <c r="B650" s="66">
        <v>2354.0</v>
      </c>
      <c r="C650" s="66">
        <v>2.0</v>
      </c>
      <c r="D650" s="66" t="s">
        <v>228</v>
      </c>
      <c r="E650" s="66">
        <v>1.0</v>
      </c>
      <c r="F650" s="66">
        <v>0.8929</v>
      </c>
      <c r="G650" s="66">
        <v>0.449</v>
      </c>
      <c r="I650" s="82">
        <f t="shared" si="1"/>
        <v>0.9886414254</v>
      </c>
      <c r="J650" s="82">
        <f t="shared" si="2"/>
        <v>0.5028558629</v>
      </c>
    </row>
    <row r="651">
      <c r="A651" s="83">
        <v>44685.0</v>
      </c>
      <c r="B651" s="66">
        <v>2354.0</v>
      </c>
      <c r="C651" s="66">
        <v>2.0</v>
      </c>
      <c r="D651" s="66" t="s">
        <v>227</v>
      </c>
      <c r="E651" s="66">
        <v>0.0</v>
      </c>
      <c r="F651" s="66">
        <v>0.2391</v>
      </c>
      <c r="G651" s="66">
        <v>0.1202</v>
      </c>
      <c r="H651" s="66" t="s">
        <v>280</v>
      </c>
      <c r="I651" s="82">
        <f t="shared" si="1"/>
        <v>0.9891846922</v>
      </c>
      <c r="J651" s="82">
        <f t="shared" si="2"/>
        <v>0.5027185278</v>
      </c>
    </row>
    <row r="652">
      <c r="A652" s="83">
        <v>44685.0</v>
      </c>
      <c r="B652" s="66">
        <v>2354.0</v>
      </c>
      <c r="C652" s="66">
        <v>2.0</v>
      </c>
      <c r="D652" s="66" t="s">
        <v>227</v>
      </c>
      <c r="E652" s="66">
        <v>1.0</v>
      </c>
      <c r="F652" s="66">
        <v>0.1711</v>
      </c>
      <c r="G652" s="66">
        <v>0.086</v>
      </c>
      <c r="I652" s="82">
        <f t="shared" si="1"/>
        <v>0.9895348837</v>
      </c>
      <c r="J652" s="82">
        <f t="shared" si="2"/>
        <v>0.5026300409</v>
      </c>
    </row>
    <row r="653">
      <c r="A653" s="83">
        <v>44685.0</v>
      </c>
      <c r="B653" s="66">
        <v>2354.0</v>
      </c>
      <c r="C653" s="66">
        <v>3.0</v>
      </c>
      <c r="D653" s="66" t="s">
        <v>228</v>
      </c>
      <c r="E653" s="66">
        <v>0.0</v>
      </c>
      <c r="F653" s="66">
        <v>1.9161</v>
      </c>
      <c r="G653" s="66">
        <v>0.963</v>
      </c>
      <c r="I653" s="82">
        <f t="shared" si="1"/>
        <v>0.9897196262</v>
      </c>
      <c r="J653" s="82">
        <f t="shared" si="2"/>
        <v>0.5025833725</v>
      </c>
    </row>
    <row r="654">
      <c r="A654" s="83">
        <v>44685.0</v>
      </c>
      <c r="B654" s="66">
        <v>2354.0</v>
      </c>
      <c r="C654" s="66">
        <v>3.0</v>
      </c>
      <c r="D654" s="66" t="s">
        <v>228</v>
      </c>
      <c r="E654" s="66">
        <v>1.0</v>
      </c>
      <c r="F654" s="66">
        <v>0.1254</v>
      </c>
      <c r="G654" s="66">
        <v>0.063</v>
      </c>
      <c r="I654" s="82">
        <f t="shared" si="1"/>
        <v>0.9904761905</v>
      </c>
      <c r="J654" s="82">
        <f t="shared" si="2"/>
        <v>0.5023923445</v>
      </c>
    </row>
    <row r="655">
      <c r="A655" s="83">
        <v>44685.0</v>
      </c>
      <c r="B655" s="66">
        <v>2354.0</v>
      </c>
      <c r="C655" s="66">
        <v>3.0</v>
      </c>
      <c r="D655" s="66" t="s">
        <v>227</v>
      </c>
      <c r="E655" s="66">
        <v>0.0</v>
      </c>
      <c r="F655" s="66">
        <v>0.0635</v>
      </c>
      <c r="G655" s="66">
        <v>0.0319</v>
      </c>
      <c r="I655" s="82">
        <f t="shared" si="1"/>
        <v>0.9905956113</v>
      </c>
      <c r="J655" s="82">
        <f t="shared" si="2"/>
        <v>0.5023622047</v>
      </c>
    </row>
    <row r="656">
      <c r="A656" s="83">
        <v>44685.0</v>
      </c>
      <c r="B656" s="66">
        <v>2354.0</v>
      </c>
      <c r="C656" s="66">
        <v>3.0</v>
      </c>
      <c r="D656" s="66" t="s">
        <v>227</v>
      </c>
      <c r="E656" s="66">
        <v>1.0</v>
      </c>
      <c r="F656" s="66">
        <v>1.117</v>
      </c>
      <c r="G656" s="66">
        <v>0.561</v>
      </c>
      <c r="H656" s="66" t="s">
        <v>277</v>
      </c>
      <c r="I656" s="82">
        <f t="shared" si="1"/>
        <v>0.991087344</v>
      </c>
      <c r="J656" s="82">
        <f t="shared" si="2"/>
        <v>0.5022381379</v>
      </c>
    </row>
    <row r="657">
      <c r="A657" s="83">
        <v>44685.0</v>
      </c>
      <c r="B657" s="66">
        <v>2360.0</v>
      </c>
      <c r="C657" s="66">
        <v>1.0</v>
      </c>
      <c r="D657" s="66" t="s">
        <v>228</v>
      </c>
      <c r="E657" s="66">
        <v>0.0</v>
      </c>
      <c r="F657" s="66">
        <v>0.225</v>
      </c>
      <c r="G657" s="66">
        <v>0.113</v>
      </c>
      <c r="H657" s="66" t="s">
        <v>277</v>
      </c>
      <c r="I657" s="82">
        <f t="shared" si="1"/>
        <v>0.9911504425</v>
      </c>
      <c r="J657" s="82">
        <f t="shared" si="2"/>
        <v>0.5022222222</v>
      </c>
    </row>
    <row r="658">
      <c r="A658" s="83">
        <v>44685.0</v>
      </c>
      <c r="B658" s="66">
        <v>2360.0</v>
      </c>
      <c r="C658" s="66">
        <v>1.0</v>
      </c>
      <c r="D658" s="66" t="s">
        <v>227</v>
      </c>
      <c r="E658" s="66">
        <v>0.0</v>
      </c>
      <c r="F658" s="66">
        <v>0.6512</v>
      </c>
      <c r="G658" s="66">
        <v>0.327</v>
      </c>
      <c r="H658" s="66" t="s">
        <v>277</v>
      </c>
      <c r="I658" s="82">
        <f t="shared" si="1"/>
        <v>0.9914373089</v>
      </c>
      <c r="J658" s="82">
        <f t="shared" si="2"/>
        <v>0.5021498771</v>
      </c>
    </row>
    <row r="659">
      <c r="A659" s="83">
        <v>44685.0</v>
      </c>
      <c r="B659" s="66">
        <v>2360.0</v>
      </c>
      <c r="C659" s="66">
        <v>1.0</v>
      </c>
      <c r="D659" s="66" t="s">
        <v>227</v>
      </c>
      <c r="E659" s="66">
        <v>1.0</v>
      </c>
      <c r="F659" s="66">
        <v>0.2099</v>
      </c>
      <c r="G659" s="66">
        <v>0.1054</v>
      </c>
      <c r="H659" s="66" t="s">
        <v>280</v>
      </c>
      <c r="I659" s="82">
        <f t="shared" si="1"/>
        <v>0.9914611006</v>
      </c>
      <c r="J659" s="82">
        <f t="shared" si="2"/>
        <v>0.502143878</v>
      </c>
    </row>
    <row r="660">
      <c r="A660" s="83">
        <v>44685.0</v>
      </c>
      <c r="B660" s="66">
        <v>2360.0</v>
      </c>
      <c r="C660" s="66">
        <v>2.0</v>
      </c>
      <c r="D660" s="66" t="s">
        <v>228</v>
      </c>
      <c r="E660" s="66">
        <v>0.0</v>
      </c>
      <c r="F660" s="66">
        <v>0.3076</v>
      </c>
      <c r="G660" s="66">
        <v>0.1544</v>
      </c>
      <c r="H660" s="66" t="s">
        <v>276</v>
      </c>
      <c r="I660" s="82">
        <f t="shared" si="1"/>
        <v>0.9922279793</v>
      </c>
      <c r="J660" s="82">
        <f t="shared" si="2"/>
        <v>0.5019505852</v>
      </c>
    </row>
    <row r="661">
      <c r="A661" s="83">
        <v>44685.0</v>
      </c>
      <c r="B661" s="66">
        <v>2360.0</v>
      </c>
      <c r="C661" s="66">
        <v>2.0</v>
      </c>
      <c r="D661" s="66" t="s">
        <v>227</v>
      </c>
      <c r="E661" s="66">
        <v>0.0</v>
      </c>
      <c r="F661" s="66">
        <v>0.3603</v>
      </c>
      <c r="G661" s="66">
        <v>0.1808</v>
      </c>
      <c r="H661" s="66" t="s">
        <v>280</v>
      </c>
      <c r="I661" s="82">
        <f t="shared" si="1"/>
        <v>0.9928097345</v>
      </c>
      <c r="J661" s="82">
        <f t="shared" si="2"/>
        <v>0.5018040522</v>
      </c>
    </row>
    <row r="662">
      <c r="A662" s="83">
        <v>44685.0</v>
      </c>
      <c r="B662" s="66">
        <v>2360.0</v>
      </c>
      <c r="C662" s="66">
        <v>2.0</v>
      </c>
      <c r="D662" s="66" t="s">
        <v>227</v>
      </c>
      <c r="E662" s="66">
        <v>1.0</v>
      </c>
      <c r="F662" s="66">
        <v>0.123</v>
      </c>
      <c r="G662" s="66">
        <v>0.0617</v>
      </c>
      <c r="H662" s="66" t="s">
        <v>277</v>
      </c>
      <c r="I662" s="82">
        <f t="shared" si="1"/>
        <v>0.9935170178</v>
      </c>
      <c r="J662" s="82">
        <f t="shared" si="2"/>
        <v>0.5016260163</v>
      </c>
    </row>
    <row r="663">
      <c r="A663" s="83">
        <v>44685.0</v>
      </c>
      <c r="B663" s="66">
        <v>2360.0</v>
      </c>
      <c r="C663" s="66">
        <v>3.0</v>
      </c>
      <c r="D663" s="66" t="s">
        <v>228</v>
      </c>
      <c r="E663" s="66">
        <v>0.0</v>
      </c>
      <c r="F663" s="66">
        <v>0.0965</v>
      </c>
      <c r="G663" s="66">
        <v>0.0484</v>
      </c>
      <c r="H663" s="66" t="s">
        <v>277</v>
      </c>
      <c r="I663" s="82">
        <f t="shared" si="1"/>
        <v>0.9938016529</v>
      </c>
      <c r="J663" s="82">
        <f t="shared" si="2"/>
        <v>0.5015544041</v>
      </c>
    </row>
    <row r="664">
      <c r="A664" s="83">
        <v>44685.0</v>
      </c>
      <c r="B664" s="66">
        <v>2360.0</v>
      </c>
      <c r="C664" s="66">
        <v>3.0</v>
      </c>
      <c r="D664" s="66" t="s">
        <v>227</v>
      </c>
      <c r="E664" s="66">
        <v>0.0</v>
      </c>
      <c r="F664" s="66">
        <v>0.1386</v>
      </c>
      <c r="G664" s="66">
        <v>0.0695</v>
      </c>
      <c r="H664" s="66" t="s">
        <v>280</v>
      </c>
      <c r="I664" s="82">
        <f t="shared" si="1"/>
        <v>0.9942446043</v>
      </c>
      <c r="J664" s="82">
        <f t="shared" si="2"/>
        <v>0.5014430014</v>
      </c>
    </row>
    <row r="665">
      <c r="A665" s="83">
        <v>44685.0</v>
      </c>
      <c r="B665" s="66">
        <v>2360.0</v>
      </c>
      <c r="C665" s="66">
        <v>3.0</v>
      </c>
      <c r="D665" s="66" t="s">
        <v>227</v>
      </c>
      <c r="E665" s="66">
        <v>1.0</v>
      </c>
      <c r="F665" s="66">
        <v>0.359</v>
      </c>
      <c r="G665" s="66">
        <v>0.18</v>
      </c>
      <c r="H665" s="66" t="s">
        <v>279</v>
      </c>
      <c r="I665" s="82">
        <f t="shared" si="1"/>
        <v>0.9944444444</v>
      </c>
      <c r="J665" s="82">
        <f t="shared" si="2"/>
        <v>0.5013927577</v>
      </c>
    </row>
    <row r="666">
      <c r="A666" s="83">
        <v>44685.0</v>
      </c>
      <c r="B666" s="66">
        <v>2365.0</v>
      </c>
      <c r="C666" s="66">
        <v>1.0</v>
      </c>
      <c r="D666" s="66" t="s">
        <v>228</v>
      </c>
      <c r="E666" s="66">
        <v>0.0</v>
      </c>
      <c r="F666" s="66">
        <v>0.3521</v>
      </c>
      <c r="G666" s="66">
        <v>0.1765</v>
      </c>
      <c r="I666" s="82">
        <f t="shared" si="1"/>
        <v>0.9949008499</v>
      </c>
      <c r="J666" s="82">
        <f t="shared" si="2"/>
        <v>0.501278046</v>
      </c>
    </row>
    <row r="667">
      <c r="A667" s="83">
        <v>44685.0</v>
      </c>
      <c r="B667" s="66">
        <v>2370.0</v>
      </c>
      <c r="C667" s="66">
        <v>1.0</v>
      </c>
      <c r="D667" s="66" t="s">
        <v>228</v>
      </c>
      <c r="E667" s="66">
        <v>0.0</v>
      </c>
      <c r="F667" s="66">
        <v>1.2379</v>
      </c>
      <c r="G667" s="66">
        <v>0.6205</v>
      </c>
      <c r="I667" s="82">
        <f t="shared" si="1"/>
        <v>0.995004029</v>
      </c>
      <c r="J667" s="82">
        <f t="shared" si="2"/>
        <v>0.5012521205</v>
      </c>
    </row>
    <row r="668">
      <c r="A668" s="83">
        <v>44685.0</v>
      </c>
      <c r="B668" s="66">
        <v>2370.0</v>
      </c>
      <c r="C668" s="66">
        <v>1.0</v>
      </c>
      <c r="D668" s="66" t="s">
        <v>227</v>
      </c>
      <c r="E668" s="66">
        <v>0.0</v>
      </c>
      <c r="F668" s="66">
        <v>0.2436</v>
      </c>
      <c r="G668" s="66">
        <v>0.1221</v>
      </c>
      <c r="I668" s="82">
        <f t="shared" si="1"/>
        <v>0.9950859951</v>
      </c>
      <c r="J668" s="82">
        <f t="shared" si="2"/>
        <v>0.5012315271</v>
      </c>
    </row>
    <row r="669">
      <c r="A669" s="83">
        <v>44685.0</v>
      </c>
      <c r="B669" s="66">
        <v>2370.0</v>
      </c>
      <c r="C669" s="66">
        <v>1.0</v>
      </c>
      <c r="D669" s="66" t="s">
        <v>227</v>
      </c>
      <c r="E669" s="66">
        <v>1.0</v>
      </c>
      <c r="F669" s="66">
        <v>0.3053</v>
      </c>
      <c r="G669" s="66">
        <v>0.153</v>
      </c>
      <c r="I669" s="82">
        <f t="shared" si="1"/>
        <v>0.9954248366</v>
      </c>
      <c r="J669" s="82">
        <f t="shared" si="2"/>
        <v>0.5011464134</v>
      </c>
    </row>
    <row r="670">
      <c r="A670" s="83">
        <v>44685.0</v>
      </c>
      <c r="B670" s="66">
        <v>2370.0</v>
      </c>
      <c r="C670" s="66">
        <v>2.0</v>
      </c>
      <c r="D670" s="66" t="s">
        <v>228</v>
      </c>
      <c r="E670" s="66">
        <v>0.0</v>
      </c>
      <c r="F670" s="66">
        <v>0.2255</v>
      </c>
      <c r="G670" s="66">
        <v>0.113</v>
      </c>
      <c r="H670" s="66" t="s">
        <v>277</v>
      </c>
      <c r="I670" s="82">
        <f t="shared" si="1"/>
        <v>0.9955752212</v>
      </c>
      <c r="J670" s="82">
        <f t="shared" si="2"/>
        <v>0.5011086475</v>
      </c>
    </row>
    <row r="671">
      <c r="A671" s="83">
        <v>44685.0</v>
      </c>
      <c r="B671" s="66">
        <v>2370.0</v>
      </c>
      <c r="C671" s="66">
        <v>2.0</v>
      </c>
      <c r="D671" s="66" t="s">
        <v>227</v>
      </c>
      <c r="E671" s="66">
        <v>0.0</v>
      </c>
      <c r="F671" s="66">
        <v>0.0938</v>
      </c>
      <c r="G671" s="66">
        <v>0.047</v>
      </c>
      <c r="I671" s="82">
        <f t="shared" si="1"/>
        <v>0.9957446809</v>
      </c>
      <c r="J671" s="82">
        <f t="shared" si="2"/>
        <v>0.5010660981</v>
      </c>
    </row>
    <row r="672">
      <c r="A672" s="83">
        <v>44685.0</v>
      </c>
      <c r="B672" s="66">
        <v>2370.0</v>
      </c>
      <c r="C672" s="66">
        <v>2.0</v>
      </c>
      <c r="D672" s="66" t="s">
        <v>227</v>
      </c>
      <c r="E672" s="66">
        <v>1.0</v>
      </c>
      <c r="F672" s="66">
        <v>0.1942</v>
      </c>
      <c r="G672" s="66">
        <v>0.0973</v>
      </c>
      <c r="H672" s="66" t="s">
        <v>276</v>
      </c>
      <c r="I672" s="82">
        <f t="shared" si="1"/>
        <v>0.9958890031</v>
      </c>
      <c r="J672" s="82">
        <f t="shared" si="2"/>
        <v>0.5010298661</v>
      </c>
    </row>
    <row r="673">
      <c r="A673" s="83">
        <v>44685.0</v>
      </c>
      <c r="B673" s="66">
        <v>2370.0</v>
      </c>
      <c r="C673" s="66">
        <v>3.0</v>
      </c>
      <c r="D673" s="66" t="s">
        <v>228</v>
      </c>
      <c r="E673" s="66">
        <v>0.0</v>
      </c>
      <c r="F673" s="66">
        <v>1.837</v>
      </c>
      <c r="G673" s="66">
        <v>0.92</v>
      </c>
      <c r="I673" s="82">
        <f t="shared" si="1"/>
        <v>0.9967391304</v>
      </c>
      <c r="J673" s="82">
        <f t="shared" si="2"/>
        <v>0.5008165487</v>
      </c>
    </row>
    <row r="674">
      <c r="A674" s="83">
        <v>44685.0</v>
      </c>
      <c r="B674" s="66">
        <v>2370.0</v>
      </c>
      <c r="C674" s="66">
        <v>3.0</v>
      </c>
      <c r="D674" s="66" t="s">
        <v>227</v>
      </c>
      <c r="E674" s="66">
        <v>0.0</v>
      </c>
      <c r="F674" s="66">
        <v>0.3115</v>
      </c>
      <c r="G674" s="66">
        <v>0.156</v>
      </c>
      <c r="I674" s="82">
        <f t="shared" si="1"/>
        <v>0.9967948718</v>
      </c>
      <c r="J674" s="82">
        <f t="shared" si="2"/>
        <v>0.5008025682</v>
      </c>
    </row>
    <row r="675">
      <c r="A675" s="83">
        <v>44685.0</v>
      </c>
      <c r="B675" s="66">
        <v>2370.0</v>
      </c>
      <c r="C675" s="66">
        <v>3.0</v>
      </c>
      <c r="D675" s="66" t="s">
        <v>227</v>
      </c>
      <c r="E675" s="66">
        <v>1.0</v>
      </c>
      <c r="F675" s="66">
        <v>0.0677</v>
      </c>
      <c r="G675" s="66">
        <v>0.0339</v>
      </c>
      <c r="H675" s="66" t="s">
        <v>276</v>
      </c>
      <c r="I675" s="82">
        <f t="shared" si="1"/>
        <v>0.9970501475</v>
      </c>
      <c r="J675" s="82">
        <f t="shared" si="2"/>
        <v>0.5007385524</v>
      </c>
    </row>
    <row r="676">
      <c r="A676" s="83">
        <v>44685.0</v>
      </c>
      <c r="B676" s="66">
        <v>2371.0</v>
      </c>
      <c r="C676" s="66">
        <v>1.0</v>
      </c>
      <c r="D676" s="66" t="s">
        <v>228</v>
      </c>
      <c r="E676" s="66">
        <v>0.0</v>
      </c>
      <c r="F676" s="66">
        <v>1.1032</v>
      </c>
      <c r="G676" s="66">
        <v>0.5524</v>
      </c>
      <c r="H676" s="66" t="s">
        <v>280</v>
      </c>
      <c r="I676" s="82">
        <f t="shared" si="1"/>
        <v>0.9971035482</v>
      </c>
      <c r="J676" s="82">
        <f t="shared" si="2"/>
        <v>0.5007251632</v>
      </c>
    </row>
    <row r="677">
      <c r="A677" s="83">
        <v>44685.0</v>
      </c>
      <c r="B677" s="66">
        <v>2371.0</v>
      </c>
      <c r="C677" s="66">
        <v>1.0</v>
      </c>
      <c r="D677" s="66" t="s">
        <v>227</v>
      </c>
      <c r="E677" s="66">
        <v>0.0</v>
      </c>
      <c r="F677" s="66">
        <v>1.9952</v>
      </c>
      <c r="G677" s="66">
        <v>0.9981</v>
      </c>
      <c r="I677" s="82">
        <f t="shared" si="1"/>
        <v>0.9989980964</v>
      </c>
      <c r="J677" s="82">
        <f t="shared" si="2"/>
        <v>0.5002506014</v>
      </c>
    </row>
    <row r="678">
      <c r="A678" s="83">
        <v>44685.0</v>
      </c>
      <c r="B678" s="66">
        <v>2371.0</v>
      </c>
      <c r="C678" s="66">
        <v>2.0</v>
      </c>
      <c r="D678" s="66" t="s">
        <v>228</v>
      </c>
      <c r="E678" s="66">
        <v>0.0</v>
      </c>
      <c r="F678" s="66">
        <v>0.4823</v>
      </c>
      <c r="G678" s="66">
        <v>0.2412</v>
      </c>
      <c r="I678" s="82">
        <f t="shared" si="1"/>
        <v>0.9995854063</v>
      </c>
      <c r="J678" s="82">
        <f t="shared" si="2"/>
        <v>0.5001036699</v>
      </c>
    </row>
    <row r="679">
      <c r="A679" s="83">
        <v>44685.0</v>
      </c>
      <c r="B679" s="66">
        <v>2371.0</v>
      </c>
      <c r="C679" s="66">
        <v>2.0</v>
      </c>
      <c r="D679" s="66" t="s">
        <v>227</v>
      </c>
      <c r="E679" s="66">
        <v>0.0</v>
      </c>
      <c r="F679" s="66">
        <v>0.982</v>
      </c>
      <c r="G679" s="66">
        <v>0.491</v>
      </c>
      <c r="H679" s="66" t="s">
        <v>282</v>
      </c>
      <c r="I679" s="82">
        <f t="shared" si="1"/>
        <v>1</v>
      </c>
      <c r="J679" s="82">
        <f t="shared" si="2"/>
        <v>0.5</v>
      </c>
    </row>
    <row r="680">
      <c r="A680" s="83">
        <v>44685.0</v>
      </c>
      <c r="B680" s="66">
        <v>2371.0</v>
      </c>
      <c r="C680" s="66">
        <v>2.0</v>
      </c>
      <c r="D680" s="66" t="s">
        <v>227</v>
      </c>
      <c r="E680" s="66">
        <v>1.0</v>
      </c>
      <c r="F680" s="66">
        <v>0.094</v>
      </c>
      <c r="G680" s="66">
        <v>0.047</v>
      </c>
      <c r="H680" s="66" t="s">
        <v>279</v>
      </c>
      <c r="I680" s="82">
        <f t="shared" si="1"/>
        <v>1</v>
      </c>
      <c r="J680" s="82">
        <f t="shared" si="2"/>
        <v>0.5</v>
      </c>
    </row>
    <row r="681">
      <c r="A681" s="83">
        <v>44685.0</v>
      </c>
      <c r="B681" s="66">
        <v>2371.0</v>
      </c>
      <c r="C681" s="66">
        <v>2.0</v>
      </c>
      <c r="D681" s="66" t="s">
        <v>227</v>
      </c>
      <c r="E681" s="66">
        <v>1.0</v>
      </c>
      <c r="F681" s="66">
        <v>0.8622</v>
      </c>
      <c r="G681" s="66">
        <v>0.4311</v>
      </c>
      <c r="H681" s="66" t="s">
        <v>280</v>
      </c>
      <c r="I681" s="82">
        <f t="shared" si="1"/>
        <v>1</v>
      </c>
      <c r="J681" s="82">
        <f t="shared" si="2"/>
        <v>0.5</v>
      </c>
    </row>
    <row r="682">
      <c r="A682" s="83">
        <v>44685.0</v>
      </c>
      <c r="B682" s="66">
        <v>2371.0</v>
      </c>
      <c r="C682" s="66">
        <v>3.0</v>
      </c>
      <c r="D682" s="66" t="s">
        <v>228</v>
      </c>
      <c r="E682" s="66">
        <v>0.0</v>
      </c>
      <c r="F682" s="66">
        <v>0.258</v>
      </c>
      <c r="G682" s="66">
        <v>0.129</v>
      </c>
      <c r="I682" s="82">
        <f t="shared" si="1"/>
        <v>1</v>
      </c>
      <c r="J682" s="82">
        <f t="shared" si="2"/>
        <v>0.5</v>
      </c>
    </row>
    <row r="683">
      <c r="A683" s="83">
        <v>44685.0</v>
      </c>
      <c r="B683" s="66">
        <v>2371.0</v>
      </c>
      <c r="C683" s="66">
        <v>3.0</v>
      </c>
      <c r="D683" s="66" t="s">
        <v>227</v>
      </c>
      <c r="E683" s="66">
        <v>0.0</v>
      </c>
      <c r="F683" s="66">
        <v>0.116</v>
      </c>
      <c r="G683" s="66">
        <v>0.058</v>
      </c>
      <c r="I683" s="82">
        <f t="shared" si="1"/>
        <v>1</v>
      </c>
      <c r="J683" s="82">
        <f t="shared" si="2"/>
        <v>0.5</v>
      </c>
    </row>
    <row r="684">
      <c r="A684" s="83">
        <v>44685.0</v>
      </c>
      <c r="B684" s="66">
        <v>2371.0</v>
      </c>
      <c r="C684" s="66">
        <v>3.0</v>
      </c>
      <c r="D684" s="66" t="s">
        <v>227</v>
      </c>
      <c r="E684" s="66">
        <v>1.0</v>
      </c>
      <c r="F684" s="66">
        <v>0.074</v>
      </c>
      <c r="G684" s="66">
        <v>0.037</v>
      </c>
      <c r="I684" s="82">
        <f t="shared" si="1"/>
        <v>1</v>
      </c>
      <c r="J684" s="82">
        <f t="shared" si="2"/>
        <v>0.5</v>
      </c>
    </row>
    <row r="685">
      <c r="A685" s="83">
        <v>44685.0</v>
      </c>
      <c r="B685" s="66">
        <v>2372.0</v>
      </c>
      <c r="C685" s="66">
        <v>1.0</v>
      </c>
      <c r="D685" s="66" t="s">
        <v>228</v>
      </c>
      <c r="E685" s="66">
        <v>0.0</v>
      </c>
      <c r="F685" s="66">
        <v>1.722</v>
      </c>
      <c r="G685" s="66">
        <v>0.861</v>
      </c>
      <c r="H685" s="66" t="s">
        <v>277</v>
      </c>
      <c r="I685" s="82">
        <f t="shared" si="1"/>
        <v>1</v>
      </c>
      <c r="J685" s="82">
        <f t="shared" si="2"/>
        <v>0.5</v>
      </c>
    </row>
    <row r="686">
      <c r="A686" s="83">
        <v>44685.0</v>
      </c>
      <c r="B686" s="66">
        <v>2372.0</v>
      </c>
      <c r="C686" s="66">
        <v>1.0</v>
      </c>
      <c r="D686" s="66" t="s">
        <v>227</v>
      </c>
      <c r="E686" s="66">
        <v>0.0</v>
      </c>
      <c r="F686" s="66">
        <v>0.058</v>
      </c>
      <c r="G686" s="66">
        <v>0.029</v>
      </c>
      <c r="H686" s="66" t="s">
        <v>277</v>
      </c>
      <c r="I686" s="82">
        <f t="shared" si="1"/>
        <v>1</v>
      </c>
      <c r="J686" s="82">
        <f t="shared" si="2"/>
        <v>0.5</v>
      </c>
    </row>
    <row r="687">
      <c r="A687" s="83">
        <v>44685.0</v>
      </c>
      <c r="B687" s="66">
        <v>2372.0</v>
      </c>
      <c r="C687" s="66">
        <v>1.0</v>
      </c>
      <c r="D687" s="66" t="s">
        <v>227</v>
      </c>
      <c r="E687" s="66">
        <v>1.0</v>
      </c>
      <c r="F687" s="66">
        <v>0.062</v>
      </c>
      <c r="G687" s="66">
        <v>0.031</v>
      </c>
      <c r="H687" s="66" t="s">
        <v>277</v>
      </c>
      <c r="I687" s="82">
        <f t="shared" si="1"/>
        <v>1</v>
      </c>
      <c r="J687" s="82">
        <f t="shared" si="2"/>
        <v>0.5</v>
      </c>
    </row>
    <row r="688">
      <c r="A688" s="83">
        <v>44685.0</v>
      </c>
      <c r="B688" s="66">
        <v>2372.0</v>
      </c>
      <c r="C688" s="66">
        <v>2.0</v>
      </c>
      <c r="D688" s="66" t="s">
        <v>228</v>
      </c>
      <c r="E688" s="66">
        <v>0.0</v>
      </c>
      <c r="F688" s="66">
        <v>0.3473</v>
      </c>
      <c r="G688" s="66">
        <v>0.1736</v>
      </c>
      <c r="I688" s="82">
        <f t="shared" si="1"/>
        <v>1.000576037</v>
      </c>
      <c r="J688" s="82">
        <f t="shared" si="2"/>
        <v>0.4998560322</v>
      </c>
    </row>
    <row r="689">
      <c r="A689" s="83">
        <v>44685.0</v>
      </c>
      <c r="B689" s="66">
        <v>2372.0</v>
      </c>
      <c r="C689" s="66">
        <v>2.0</v>
      </c>
      <c r="D689" s="66" t="s">
        <v>227</v>
      </c>
      <c r="E689" s="66">
        <v>0.0</v>
      </c>
      <c r="F689" s="66">
        <v>0.1401</v>
      </c>
      <c r="G689" s="66">
        <v>0.07</v>
      </c>
      <c r="I689" s="82">
        <f t="shared" si="1"/>
        <v>1.001428571</v>
      </c>
      <c r="J689" s="82">
        <f t="shared" si="2"/>
        <v>0.4996431121</v>
      </c>
    </row>
    <row r="690">
      <c r="A690" s="83">
        <v>44685.0</v>
      </c>
      <c r="B690" s="66">
        <v>2372.0</v>
      </c>
      <c r="C690" s="66">
        <v>2.0</v>
      </c>
      <c r="D690" s="66" t="s">
        <v>227</v>
      </c>
      <c r="E690" s="66">
        <v>1.0</v>
      </c>
      <c r="F690" s="66">
        <v>0.675</v>
      </c>
      <c r="G690" s="66">
        <v>0.3369</v>
      </c>
      <c r="H690" s="66" t="s">
        <v>276</v>
      </c>
      <c r="I690" s="82">
        <f t="shared" si="1"/>
        <v>1.003561888</v>
      </c>
      <c r="J690" s="82">
        <f t="shared" si="2"/>
        <v>0.4991111111</v>
      </c>
    </row>
    <row r="691">
      <c r="A691" s="83">
        <v>44685.0</v>
      </c>
      <c r="B691" s="66">
        <v>2372.0</v>
      </c>
      <c r="C691" s="66">
        <v>3.0</v>
      </c>
      <c r="D691" s="66" t="s">
        <v>228</v>
      </c>
      <c r="E691" s="66">
        <v>0.0</v>
      </c>
      <c r="F691" s="66">
        <v>1.4021</v>
      </c>
      <c r="G691" s="66">
        <v>0.6997</v>
      </c>
      <c r="I691" s="82">
        <f t="shared" si="1"/>
        <v>1.003858797</v>
      </c>
      <c r="J691" s="82">
        <f t="shared" si="2"/>
        <v>0.4990371585</v>
      </c>
    </row>
    <row r="692">
      <c r="A692" s="83">
        <v>44685.0</v>
      </c>
      <c r="B692" s="66">
        <v>2372.0</v>
      </c>
      <c r="C692" s="66">
        <v>3.0</v>
      </c>
      <c r="D692" s="66" t="s">
        <v>227</v>
      </c>
      <c r="E692" s="66">
        <v>0.0</v>
      </c>
      <c r="F692" s="66">
        <v>0.307</v>
      </c>
      <c r="G692" s="66">
        <v>0.1532</v>
      </c>
      <c r="H692" s="66" t="s">
        <v>276</v>
      </c>
      <c r="I692" s="82">
        <f t="shared" si="1"/>
        <v>1.003916449</v>
      </c>
      <c r="J692" s="82">
        <f t="shared" si="2"/>
        <v>0.4990228013</v>
      </c>
    </row>
    <row r="693">
      <c r="A693" s="83">
        <v>44685.0</v>
      </c>
      <c r="B693" s="66">
        <v>2372.0</v>
      </c>
      <c r="C693" s="66">
        <v>3.0</v>
      </c>
      <c r="D693" s="66" t="s">
        <v>227</v>
      </c>
      <c r="E693" s="66">
        <v>1.0</v>
      </c>
      <c r="F693" s="66">
        <v>0.3273</v>
      </c>
      <c r="G693" s="66">
        <v>0.1633</v>
      </c>
      <c r="I693" s="82">
        <f t="shared" si="1"/>
        <v>1.004286589</v>
      </c>
      <c r="J693" s="82">
        <f t="shared" si="2"/>
        <v>0.4989306447</v>
      </c>
    </row>
    <row r="694">
      <c r="A694" s="83">
        <v>44685.0</v>
      </c>
      <c r="B694" s="66">
        <v>2375.0</v>
      </c>
      <c r="C694" s="66">
        <v>1.0</v>
      </c>
      <c r="D694" s="66" t="s">
        <v>228</v>
      </c>
      <c r="E694" s="66">
        <v>0.0</v>
      </c>
      <c r="F694" s="66">
        <v>0.1239</v>
      </c>
      <c r="G694" s="66">
        <v>0.0618</v>
      </c>
      <c r="I694" s="82">
        <f t="shared" si="1"/>
        <v>1.004854369</v>
      </c>
      <c r="J694" s="82">
        <f t="shared" si="2"/>
        <v>0.4987893462</v>
      </c>
    </row>
    <row r="695">
      <c r="A695" s="83">
        <v>44685.0</v>
      </c>
      <c r="B695" s="66">
        <v>2375.0</v>
      </c>
      <c r="C695" s="66">
        <v>2.0</v>
      </c>
      <c r="D695" s="66" t="s">
        <v>228</v>
      </c>
      <c r="E695" s="66">
        <v>0.0</v>
      </c>
      <c r="F695" s="66">
        <v>0.4271</v>
      </c>
      <c r="G695" s="66">
        <v>0.213</v>
      </c>
      <c r="H695" s="66" t="s">
        <v>276</v>
      </c>
      <c r="I695" s="82">
        <f t="shared" si="1"/>
        <v>1.005164319</v>
      </c>
      <c r="J695" s="82">
        <f t="shared" si="2"/>
        <v>0.4987122454</v>
      </c>
    </row>
    <row r="696">
      <c r="A696" s="83">
        <v>44685.0</v>
      </c>
      <c r="B696" s="66">
        <v>2375.0</v>
      </c>
      <c r="C696" s="66">
        <v>2.0</v>
      </c>
      <c r="D696" s="66" t="s">
        <v>228</v>
      </c>
      <c r="E696" s="66">
        <v>0.0</v>
      </c>
      <c r="F696" s="66">
        <v>0.1504</v>
      </c>
      <c r="G696" s="66">
        <v>0.075</v>
      </c>
      <c r="H696" s="66" t="s">
        <v>277</v>
      </c>
      <c r="I696" s="82">
        <f t="shared" si="1"/>
        <v>1.005333333</v>
      </c>
      <c r="J696" s="82">
        <f t="shared" si="2"/>
        <v>0.4986702128</v>
      </c>
    </row>
    <row r="697">
      <c r="A697" s="83">
        <v>44685.0</v>
      </c>
      <c r="B697" s="66">
        <v>2375.0</v>
      </c>
      <c r="C697" s="66">
        <v>2.0</v>
      </c>
      <c r="D697" s="66" t="s">
        <v>227</v>
      </c>
      <c r="E697" s="66">
        <v>0.0</v>
      </c>
      <c r="F697" s="66">
        <v>0.9023</v>
      </c>
      <c r="G697" s="66">
        <v>0.4499</v>
      </c>
      <c r="H697" s="66" t="s">
        <v>276</v>
      </c>
      <c r="I697" s="82">
        <f t="shared" si="1"/>
        <v>1.00555679</v>
      </c>
      <c r="J697" s="82">
        <f t="shared" si="2"/>
        <v>0.4986146514</v>
      </c>
    </row>
    <row r="698">
      <c r="A698" s="83">
        <v>44685.0</v>
      </c>
      <c r="B698" s="66">
        <v>2375.0</v>
      </c>
      <c r="C698" s="66">
        <v>2.0</v>
      </c>
      <c r="D698" s="66" t="s">
        <v>227</v>
      </c>
      <c r="E698" s="66">
        <v>1.0</v>
      </c>
      <c r="F698" s="66">
        <v>0.2467</v>
      </c>
      <c r="G698" s="66">
        <v>0.123</v>
      </c>
      <c r="I698" s="82">
        <f t="shared" si="1"/>
        <v>1.005691057</v>
      </c>
      <c r="J698" s="82">
        <f t="shared" si="2"/>
        <v>0.4985812728</v>
      </c>
    </row>
    <row r="699">
      <c r="A699" s="83">
        <v>44685.0</v>
      </c>
      <c r="B699" s="66">
        <v>2375.0</v>
      </c>
      <c r="C699" s="66">
        <v>2.0</v>
      </c>
      <c r="D699" s="66" t="s">
        <v>227</v>
      </c>
      <c r="E699" s="66">
        <v>1.0</v>
      </c>
      <c r="F699" s="66">
        <v>0.1986</v>
      </c>
      <c r="G699" s="66">
        <v>0.099</v>
      </c>
      <c r="I699" s="82">
        <f t="shared" si="1"/>
        <v>1.006060606</v>
      </c>
      <c r="J699" s="82">
        <f t="shared" si="2"/>
        <v>0.498489426</v>
      </c>
    </row>
    <row r="700">
      <c r="A700" s="83">
        <v>44685.0</v>
      </c>
      <c r="B700" s="66">
        <v>2375.0</v>
      </c>
      <c r="C700" s="66">
        <v>3.0</v>
      </c>
      <c r="D700" s="66" t="s">
        <v>228</v>
      </c>
      <c r="E700" s="66">
        <v>0.0</v>
      </c>
      <c r="F700" s="66">
        <v>0.0301</v>
      </c>
      <c r="G700" s="66">
        <v>0.015</v>
      </c>
      <c r="H700" s="66" t="s">
        <v>276</v>
      </c>
      <c r="I700" s="82">
        <f t="shared" si="1"/>
        <v>1.006666667</v>
      </c>
      <c r="J700" s="82">
        <f t="shared" si="2"/>
        <v>0.4983388704</v>
      </c>
    </row>
    <row r="701">
      <c r="A701" s="83">
        <v>44685.0</v>
      </c>
      <c r="B701" s="66">
        <v>2375.0</v>
      </c>
      <c r="C701" s="66">
        <v>3.0</v>
      </c>
      <c r="D701" s="66" t="s">
        <v>227</v>
      </c>
      <c r="E701" s="66">
        <v>0.0</v>
      </c>
      <c r="F701" s="66">
        <v>0.301</v>
      </c>
      <c r="G701" s="66">
        <v>0.15</v>
      </c>
      <c r="H701" s="66" t="s">
        <v>279</v>
      </c>
      <c r="I701" s="82">
        <f t="shared" si="1"/>
        <v>1.006666667</v>
      </c>
      <c r="J701" s="82">
        <f t="shared" si="2"/>
        <v>0.4983388704</v>
      </c>
    </row>
    <row r="702">
      <c r="A702" s="83">
        <v>44685.0</v>
      </c>
      <c r="B702" s="66">
        <v>2375.0</v>
      </c>
      <c r="C702" s="66">
        <v>3.0</v>
      </c>
      <c r="D702" s="66" t="s">
        <v>227</v>
      </c>
      <c r="E702" s="66">
        <v>0.0</v>
      </c>
      <c r="F702" s="66">
        <v>0.4857</v>
      </c>
      <c r="G702" s="66">
        <v>0.242</v>
      </c>
      <c r="I702" s="82">
        <f t="shared" si="1"/>
        <v>1.007024793</v>
      </c>
      <c r="J702" s="82">
        <f t="shared" si="2"/>
        <v>0.4982499485</v>
      </c>
    </row>
    <row r="703">
      <c r="A703" s="83">
        <v>44685.0</v>
      </c>
      <c r="B703" s="66">
        <v>2375.0</v>
      </c>
      <c r="C703" s="66">
        <v>3.0</v>
      </c>
      <c r="D703" s="66" t="s">
        <v>227</v>
      </c>
      <c r="E703" s="66">
        <v>1.0</v>
      </c>
      <c r="F703" s="66">
        <v>0.6479</v>
      </c>
      <c r="G703" s="66">
        <v>0.3228</v>
      </c>
      <c r="I703" s="82">
        <f t="shared" si="1"/>
        <v>1.007125155</v>
      </c>
      <c r="J703" s="82">
        <f t="shared" si="2"/>
        <v>0.4982250347</v>
      </c>
    </row>
    <row r="704">
      <c r="A704" s="83">
        <v>44685.0</v>
      </c>
      <c r="B704" s="66">
        <v>2377.0</v>
      </c>
      <c r="C704" s="66">
        <v>1.0</v>
      </c>
      <c r="D704" s="66" t="s">
        <v>228</v>
      </c>
      <c r="E704" s="66">
        <v>1.0</v>
      </c>
      <c r="F704" s="66">
        <v>0.1385</v>
      </c>
      <c r="G704" s="66">
        <v>0.069</v>
      </c>
      <c r="H704" s="66" t="s">
        <v>276</v>
      </c>
      <c r="I704" s="82">
        <f t="shared" si="1"/>
        <v>1.007246377</v>
      </c>
      <c r="J704" s="82">
        <f t="shared" si="2"/>
        <v>0.4981949458</v>
      </c>
    </row>
    <row r="705">
      <c r="A705" s="83">
        <v>44685.0</v>
      </c>
      <c r="B705" s="66">
        <v>2377.0</v>
      </c>
      <c r="C705" s="66">
        <v>1.0</v>
      </c>
      <c r="D705" s="66" t="s">
        <v>227</v>
      </c>
      <c r="E705" s="66">
        <v>1.0</v>
      </c>
      <c r="F705" s="66">
        <v>0.265</v>
      </c>
      <c r="G705" s="66">
        <v>0.132</v>
      </c>
      <c r="H705" s="66" t="s">
        <v>277</v>
      </c>
      <c r="I705" s="82">
        <f t="shared" si="1"/>
        <v>1.007575758</v>
      </c>
      <c r="J705" s="82">
        <f t="shared" si="2"/>
        <v>0.4981132075</v>
      </c>
    </row>
    <row r="706">
      <c r="A706" s="83">
        <v>44685.0</v>
      </c>
      <c r="B706" s="66">
        <v>2377.0</v>
      </c>
      <c r="C706" s="66">
        <v>2.0</v>
      </c>
      <c r="D706" s="66" t="s">
        <v>228</v>
      </c>
      <c r="E706" s="66">
        <v>1.0</v>
      </c>
      <c r="F706" s="66">
        <v>0.4579</v>
      </c>
      <c r="G706" s="66">
        <v>0.228</v>
      </c>
      <c r="H706" s="66" t="s">
        <v>277</v>
      </c>
      <c r="I706" s="82">
        <f t="shared" si="1"/>
        <v>1.008333333</v>
      </c>
      <c r="J706" s="82">
        <f t="shared" si="2"/>
        <v>0.4979253112</v>
      </c>
    </row>
    <row r="707">
      <c r="A707" s="83">
        <v>44685.0</v>
      </c>
      <c r="B707" s="66">
        <v>2377.0</v>
      </c>
      <c r="C707" s="66">
        <v>2.0</v>
      </c>
      <c r="D707" s="66" t="s">
        <v>227</v>
      </c>
      <c r="E707" s="66">
        <v>1.0</v>
      </c>
      <c r="F707" s="66">
        <v>0.578</v>
      </c>
      <c r="G707" s="66">
        <v>0.2878</v>
      </c>
      <c r="I707" s="82">
        <f t="shared" si="1"/>
        <v>1.008339124</v>
      </c>
      <c r="J707" s="82">
        <f t="shared" si="2"/>
        <v>0.4979238754</v>
      </c>
    </row>
    <row r="708">
      <c r="A708" s="83">
        <v>44685.0</v>
      </c>
      <c r="B708" s="66">
        <v>2377.0</v>
      </c>
      <c r="C708" s="66">
        <v>3.0</v>
      </c>
      <c r="D708" s="66" t="s">
        <v>228</v>
      </c>
      <c r="E708" s="66">
        <v>1.0</v>
      </c>
      <c r="F708" s="66">
        <v>0.7881</v>
      </c>
      <c r="G708" s="66">
        <v>0.3924</v>
      </c>
      <c r="I708" s="82">
        <f t="shared" si="1"/>
        <v>1.008409786</v>
      </c>
      <c r="J708" s="82">
        <f t="shared" si="2"/>
        <v>0.4979063571</v>
      </c>
    </row>
    <row r="709">
      <c r="A709" s="83">
        <v>44685.0</v>
      </c>
      <c r="B709" s="66">
        <v>2377.0</v>
      </c>
      <c r="C709" s="66">
        <v>3.0</v>
      </c>
      <c r="D709" s="66" t="s">
        <v>227</v>
      </c>
      <c r="E709" s="66">
        <v>1.0</v>
      </c>
      <c r="F709" s="66">
        <v>0.8082</v>
      </c>
      <c r="G709" s="66">
        <v>0.4023</v>
      </c>
      <c r="H709" s="66" t="s">
        <v>276</v>
      </c>
      <c r="I709" s="82">
        <f t="shared" si="1"/>
        <v>1.008948546</v>
      </c>
      <c r="J709" s="82">
        <f t="shared" si="2"/>
        <v>0.4977728285</v>
      </c>
    </row>
    <row r="710">
      <c r="A710" s="83">
        <v>44685.0</v>
      </c>
      <c r="B710" s="66">
        <v>2378.0</v>
      </c>
      <c r="C710" s="66">
        <v>1.0</v>
      </c>
      <c r="D710" s="66" t="s">
        <v>228</v>
      </c>
      <c r="E710" s="66">
        <v>0.0</v>
      </c>
      <c r="F710" s="66">
        <v>0.7816</v>
      </c>
      <c r="G710" s="66">
        <v>0.389</v>
      </c>
      <c r="H710" s="66" t="s">
        <v>277</v>
      </c>
      <c r="I710" s="82">
        <f t="shared" si="1"/>
        <v>1.009254499</v>
      </c>
      <c r="J710" s="82">
        <f t="shared" si="2"/>
        <v>0.4976970317</v>
      </c>
    </row>
    <row r="711">
      <c r="A711" s="83">
        <v>44685.0</v>
      </c>
      <c r="B711" s="66">
        <v>2378.0</v>
      </c>
      <c r="C711" s="66">
        <v>1.0</v>
      </c>
      <c r="D711" s="66" t="s">
        <v>227</v>
      </c>
      <c r="E711" s="66">
        <v>0.0</v>
      </c>
      <c r="F711" s="66">
        <v>0.205</v>
      </c>
      <c r="G711" s="66">
        <v>0.102</v>
      </c>
      <c r="H711" s="66" t="s">
        <v>276</v>
      </c>
      <c r="I711" s="82">
        <f t="shared" si="1"/>
        <v>1.009803922</v>
      </c>
      <c r="J711" s="82">
        <f t="shared" si="2"/>
        <v>0.4975609756</v>
      </c>
    </row>
    <row r="712">
      <c r="A712" s="83">
        <v>44685.0</v>
      </c>
      <c r="B712" s="66">
        <v>2378.0</v>
      </c>
      <c r="C712" s="66">
        <v>1.0</v>
      </c>
      <c r="D712" s="66" t="s">
        <v>227</v>
      </c>
      <c r="E712" s="66">
        <v>1.0</v>
      </c>
      <c r="F712" s="66">
        <v>0.6453</v>
      </c>
      <c r="G712" s="66">
        <v>0.321</v>
      </c>
      <c r="H712" s="66" t="s">
        <v>276</v>
      </c>
      <c r="I712" s="82">
        <f t="shared" si="1"/>
        <v>1.010280374</v>
      </c>
      <c r="J712" s="82">
        <f t="shared" si="2"/>
        <v>0.4974430497</v>
      </c>
    </row>
    <row r="713">
      <c r="A713" s="83">
        <v>44685.0</v>
      </c>
      <c r="B713" s="66">
        <v>2378.0</v>
      </c>
      <c r="C713" s="66">
        <v>2.0</v>
      </c>
      <c r="D713" s="66" t="s">
        <v>227</v>
      </c>
      <c r="E713" s="66">
        <v>0.0</v>
      </c>
      <c r="F713" s="66">
        <v>0.9308</v>
      </c>
      <c r="G713" s="66">
        <v>0.463</v>
      </c>
      <c r="H713" s="66" t="s">
        <v>277</v>
      </c>
      <c r="I713" s="82">
        <f t="shared" si="1"/>
        <v>1.010367171</v>
      </c>
      <c r="J713" s="82">
        <f t="shared" si="2"/>
        <v>0.4974215728</v>
      </c>
    </row>
    <row r="714">
      <c r="A714" s="83">
        <v>44685.0</v>
      </c>
      <c r="B714" s="66">
        <v>2378.0</v>
      </c>
      <c r="C714" s="66">
        <v>2.0</v>
      </c>
      <c r="D714" s="66" t="s">
        <v>227</v>
      </c>
      <c r="E714" s="66">
        <v>1.0</v>
      </c>
      <c r="F714" s="66">
        <v>0.2101</v>
      </c>
      <c r="G714" s="66">
        <v>0.1045</v>
      </c>
      <c r="H714" s="66" t="s">
        <v>280</v>
      </c>
      <c r="I714" s="82">
        <f t="shared" si="1"/>
        <v>1.010526316</v>
      </c>
      <c r="J714" s="82">
        <f t="shared" si="2"/>
        <v>0.497382199</v>
      </c>
    </row>
    <row r="715">
      <c r="A715" s="83">
        <v>44685.0</v>
      </c>
      <c r="B715" s="66">
        <v>2378.0</v>
      </c>
      <c r="C715" s="66">
        <v>3.0</v>
      </c>
      <c r="D715" s="66" t="s">
        <v>228</v>
      </c>
      <c r="E715" s="66">
        <v>1.0</v>
      </c>
      <c r="F715" s="66">
        <v>0.0885</v>
      </c>
      <c r="G715" s="66">
        <v>0.044</v>
      </c>
      <c r="H715" s="66" t="s">
        <v>277</v>
      </c>
      <c r="I715" s="82">
        <f t="shared" si="1"/>
        <v>1.011363636</v>
      </c>
      <c r="J715" s="82">
        <f t="shared" si="2"/>
        <v>0.4971751412</v>
      </c>
    </row>
    <row r="716">
      <c r="A716" s="83">
        <v>44685.0</v>
      </c>
      <c r="B716" s="66">
        <v>2378.0</v>
      </c>
      <c r="C716" s="66">
        <v>3.0</v>
      </c>
      <c r="D716" s="66" t="s">
        <v>227</v>
      </c>
      <c r="E716" s="66">
        <v>0.0</v>
      </c>
      <c r="F716" s="66">
        <v>0.1408</v>
      </c>
      <c r="G716" s="66">
        <v>0.07</v>
      </c>
      <c r="H716" s="66" t="s">
        <v>277</v>
      </c>
      <c r="I716" s="82">
        <f t="shared" si="1"/>
        <v>1.011428571</v>
      </c>
      <c r="J716" s="82">
        <f t="shared" si="2"/>
        <v>0.4971590909</v>
      </c>
    </row>
    <row r="717">
      <c r="A717" s="83">
        <v>44685.0</v>
      </c>
      <c r="B717" s="66">
        <v>2378.0</v>
      </c>
      <c r="C717" s="66">
        <v>3.0</v>
      </c>
      <c r="D717" s="66" t="s">
        <v>227</v>
      </c>
      <c r="E717" s="66">
        <v>1.0</v>
      </c>
      <c r="F717" s="66">
        <v>0.9064</v>
      </c>
      <c r="G717" s="66">
        <v>0.4506</v>
      </c>
      <c r="I717" s="82">
        <f t="shared" si="1"/>
        <v>1.011540169</v>
      </c>
      <c r="J717" s="82">
        <f t="shared" si="2"/>
        <v>0.4971315093</v>
      </c>
    </row>
    <row r="718">
      <c r="A718" s="83">
        <v>44685.0</v>
      </c>
      <c r="B718" s="66">
        <v>2379.0</v>
      </c>
      <c r="C718" s="66">
        <v>1.0</v>
      </c>
      <c r="D718" s="66" t="s">
        <v>228</v>
      </c>
      <c r="E718" s="66">
        <v>0.0</v>
      </c>
      <c r="F718" s="66">
        <v>0.3965</v>
      </c>
      <c r="G718" s="66">
        <v>0.1971</v>
      </c>
      <c r="I718" s="82">
        <f t="shared" si="1"/>
        <v>1.011669203</v>
      </c>
      <c r="J718" s="82">
        <f t="shared" si="2"/>
        <v>0.4970996217</v>
      </c>
    </row>
    <row r="719">
      <c r="A719" s="83">
        <v>44685.0</v>
      </c>
      <c r="B719" s="66">
        <v>2379.0</v>
      </c>
      <c r="C719" s="66">
        <v>1.0</v>
      </c>
      <c r="D719" s="66" t="s">
        <v>227</v>
      </c>
      <c r="E719" s="66">
        <v>0.0</v>
      </c>
      <c r="F719" s="66">
        <v>1.9475</v>
      </c>
      <c r="G719" s="66">
        <v>0.9681</v>
      </c>
      <c r="I719" s="82">
        <f t="shared" si="1"/>
        <v>1.011672348</v>
      </c>
      <c r="J719" s="82">
        <f t="shared" si="2"/>
        <v>0.4970988447</v>
      </c>
    </row>
    <row r="720">
      <c r="A720" s="83">
        <v>44685.0</v>
      </c>
      <c r="B720" s="66">
        <v>2379.0</v>
      </c>
      <c r="C720" s="66">
        <v>1.0</v>
      </c>
      <c r="D720" s="66" t="s">
        <v>227</v>
      </c>
      <c r="E720" s="66">
        <v>1.0</v>
      </c>
      <c r="F720" s="66">
        <v>0.4426</v>
      </c>
      <c r="G720" s="66">
        <v>0.22</v>
      </c>
      <c r="H720" s="66" t="s">
        <v>277</v>
      </c>
      <c r="I720" s="82">
        <f t="shared" si="1"/>
        <v>1.011818182</v>
      </c>
      <c r="J720" s="82">
        <f t="shared" si="2"/>
        <v>0.4970628107</v>
      </c>
    </row>
    <row r="721">
      <c r="A721" s="83">
        <v>44685.0</v>
      </c>
      <c r="B721" s="66">
        <v>2379.0</v>
      </c>
      <c r="C721" s="66">
        <v>2.0</v>
      </c>
      <c r="D721" s="66" t="s">
        <v>228</v>
      </c>
      <c r="E721" s="66">
        <v>0.0</v>
      </c>
      <c r="F721" s="66">
        <v>0.9794</v>
      </c>
      <c r="G721" s="66">
        <v>0.4868</v>
      </c>
      <c r="I721" s="82">
        <f t="shared" si="1"/>
        <v>1.011914544</v>
      </c>
      <c r="J721" s="82">
        <f t="shared" si="2"/>
        <v>0.4970390035</v>
      </c>
    </row>
    <row r="722">
      <c r="A722" s="83">
        <v>44685.0</v>
      </c>
      <c r="B722" s="66">
        <v>2379.0</v>
      </c>
      <c r="C722" s="66">
        <v>2.0</v>
      </c>
      <c r="D722" s="66" t="s">
        <v>227</v>
      </c>
      <c r="E722" s="66">
        <v>0.0</v>
      </c>
      <c r="F722" s="66">
        <v>0.1819</v>
      </c>
      <c r="G722" s="66">
        <v>0.0904</v>
      </c>
      <c r="H722" s="66" t="s">
        <v>277</v>
      </c>
      <c r="I722" s="82">
        <f t="shared" si="1"/>
        <v>1.012168142</v>
      </c>
      <c r="J722" s="82">
        <f t="shared" si="2"/>
        <v>0.4969763606</v>
      </c>
    </row>
    <row r="723">
      <c r="A723" s="83">
        <v>44685.0</v>
      </c>
      <c r="B723" s="66">
        <v>2379.0</v>
      </c>
      <c r="C723" s="66">
        <v>2.0</v>
      </c>
      <c r="D723" s="66" t="s">
        <v>227</v>
      </c>
      <c r="E723" s="66">
        <v>1.0</v>
      </c>
      <c r="F723" s="66">
        <v>0.3059</v>
      </c>
      <c r="G723" s="66">
        <v>0.152</v>
      </c>
      <c r="I723" s="82">
        <f t="shared" si="1"/>
        <v>1.0125</v>
      </c>
      <c r="J723" s="82">
        <f t="shared" si="2"/>
        <v>0.4968944099</v>
      </c>
    </row>
    <row r="724">
      <c r="A724" s="83">
        <v>44685.0</v>
      </c>
      <c r="B724" s="66">
        <v>2379.0</v>
      </c>
      <c r="C724" s="66">
        <v>3.0</v>
      </c>
      <c r="D724" s="66" t="s">
        <v>228</v>
      </c>
      <c r="E724" s="66">
        <v>0.0</v>
      </c>
      <c r="F724" s="66">
        <v>1.2142</v>
      </c>
      <c r="G724" s="66">
        <v>0.603</v>
      </c>
      <c r="H724" s="66" t="s">
        <v>277</v>
      </c>
      <c r="I724" s="82">
        <f t="shared" si="1"/>
        <v>1.013598673</v>
      </c>
      <c r="J724" s="82">
        <f t="shared" si="2"/>
        <v>0.4966232911</v>
      </c>
    </row>
    <row r="725">
      <c r="A725" s="83">
        <v>44685.0</v>
      </c>
      <c r="B725" s="66">
        <v>2379.0</v>
      </c>
      <c r="C725" s="66">
        <v>3.0</v>
      </c>
      <c r="D725" s="66" t="s">
        <v>227</v>
      </c>
      <c r="E725" s="66">
        <v>0.0</v>
      </c>
      <c r="F725" s="66">
        <v>1.3013</v>
      </c>
      <c r="G725" s="66">
        <v>0.646</v>
      </c>
      <c r="H725" s="66" t="s">
        <v>277</v>
      </c>
      <c r="I725" s="82">
        <f t="shared" si="1"/>
        <v>1.014396285</v>
      </c>
      <c r="J725" s="82">
        <f t="shared" si="2"/>
        <v>0.4964266503</v>
      </c>
    </row>
    <row r="726">
      <c r="A726" s="83">
        <v>44685.0</v>
      </c>
      <c r="B726" s="66">
        <v>2379.0</v>
      </c>
      <c r="C726" s="66">
        <v>3.0</v>
      </c>
      <c r="D726" s="66" t="s">
        <v>227</v>
      </c>
      <c r="E726" s="66">
        <v>1.0</v>
      </c>
      <c r="F726" s="66">
        <v>0.1774</v>
      </c>
      <c r="G726" s="66">
        <v>0.088</v>
      </c>
      <c r="H726" s="66" t="s">
        <v>277</v>
      </c>
      <c r="I726" s="82">
        <f t="shared" si="1"/>
        <v>1.015909091</v>
      </c>
      <c r="J726" s="82">
        <f t="shared" si="2"/>
        <v>0.496054115</v>
      </c>
    </row>
    <row r="727">
      <c r="A727" s="83">
        <v>44685.0</v>
      </c>
      <c r="B727" s="66">
        <v>2380.0</v>
      </c>
      <c r="C727" s="66">
        <v>1.0</v>
      </c>
      <c r="D727" s="66" t="s">
        <v>228</v>
      </c>
      <c r="E727" s="66">
        <v>1.0</v>
      </c>
      <c r="F727" s="66">
        <v>0.2641</v>
      </c>
      <c r="G727" s="66">
        <v>0.131</v>
      </c>
      <c r="H727" s="66" t="s">
        <v>277</v>
      </c>
      <c r="I727" s="82">
        <f t="shared" si="1"/>
        <v>1.016030534</v>
      </c>
      <c r="J727" s="82">
        <f t="shared" si="2"/>
        <v>0.4960242332</v>
      </c>
    </row>
    <row r="728">
      <c r="A728" s="83">
        <v>44685.0</v>
      </c>
      <c r="B728" s="66">
        <v>2380.0</v>
      </c>
      <c r="C728" s="66">
        <v>1.0</v>
      </c>
      <c r="D728" s="66" t="s">
        <v>227</v>
      </c>
      <c r="E728" s="66">
        <v>1.0</v>
      </c>
      <c r="F728" s="66">
        <v>1.0829</v>
      </c>
      <c r="G728" s="66">
        <v>0.5371</v>
      </c>
      <c r="I728" s="82">
        <f t="shared" si="1"/>
        <v>1.016198101</v>
      </c>
      <c r="J728" s="82">
        <f t="shared" si="2"/>
        <v>0.4959830086</v>
      </c>
    </row>
    <row r="729">
      <c r="A729" s="83">
        <v>44685.0</v>
      </c>
      <c r="B729" s="66">
        <v>2380.0</v>
      </c>
      <c r="C729" s="66">
        <v>2.0</v>
      </c>
      <c r="D729" s="66" t="s">
        <v>228</v>
      </c>
      <c r="E729" s="66">
        <v>1.0</v>
      </c>
      <c r="F729" s="66">
        <v>0.9762</v>
      </c>
      <c r="G729" s="66">
        <v>0.484</v>
      </c>
      <c r="I729" s="82">
        <f t="shared" si="1"/>
        <v>1.016942149</v>
      </c>
      <c r="J729" s="82">
        <f t="shared" si="2"/>
        <v>0.495800041</v>
      </c>
    </row>
    <row r="730">
      <c r="A730" s="83">
        <v>44685.0</v>
      </c>
      <c r="B730" s="66">
        <v>2380.0</v>
      </c>
      <c r="C730" s="66">
        <v>2.0</v>
      </c>
      <c r="D730" s="66" t="s">
        <v>227</v>
      </c>
      <c r="E730" s="66">
        <v>1.0</v>
      </c>
      <c r="F730" s="66">
        <v>0.7551</v>
      </c>
      <c r="G730" s="66">
        <v>0.3743</v>
      </c>
      <c r="I730" s="82">
        <f t="shared" si="1"/>
        <v>1.017365749</v>
      </c>
      <c r="J730" s="82">
        <f t="shared" si="2"/>
        <v>0.4956959343</v>
      </c>
    </row>
    <row r="731">
      <c r="A731" s="83">
        <v>44685.0</v>
      </c>
      <c r="B731" s="66">
        <v>2380.0</v>
      </c>
      <c r="C731" s="66">
        <v>3.0</v>
      </c>
      <c r="D731" s="66" t="s">
        <v>228</v>
      </c>
      <c r="E731" s="66">
        <v>1.0</v>
      </c>
      <c r="F731" s="66">
        <v>0.5225</v>
      </c>
      <c r="G731" s="66">
        <v>0.259</v>
      </c>
      <c r="H731" s="66" t="s">
        <v>277</v>
      </c>
      <c r="I731" s="82">
        <f t="shared" si="1"/>
        <v>1.017374517</v>
      </c>
      <c r="J731" s="82">
        <f t="shared" si="2"/>
        <v>0.4956937799</v>
      </c>
    </row>
    <row r="732">
      <c r="A732" s="83">
        <v>44685.0</v>
      </c>
      <c r="B732" s="66">
        <v>2380.0</v>
      </c>
      <c r="C732" s="66">
        <v>3.0</v>
      </c>
      <c r="D732" s="66" t="s">
        <v>227</v>
      </c>
      <c r="E732" s="66">
        <v>1.0</v>
      </c>
      <c r="F732" s="66">
        <v>0.226</v>
      </c>
      <c r="G732" s="66">
        <v>0.112</v>
      </c>
      <c r="H732" s="66" t="s">
        <v>277</v>
      </c>
      <c r="I732" s="82">
        <f t="shared" si="1"/>
        <v>1.017857143</v>
      </c>
      <c r="J732" s="82">
        <f t="shared" si="2"/>
        <v>0.4955752212</v>
      </c>
    </row>
    <row r="733">
      <c r="A733" s="83">
        <v>44685.0</v>
      </c>
      <c r="B733" s="66">
        <v>2383.0</v>
      </c>
      <c r="C733" s="66">
        <v>2.0</v>
      </c>
      <c r="D733" s="66" t="s">
        <v>228</v>
      </c>
      <c r="E733" s="66">
        <v>0.0</v>
      </c>
      <c r="F733" s="66">
        <v>0.2014</v>
      </c>
      <c r="G733" s="66">
        <v>0.0998</v>
      </c>
      <c r="H733" s="66" t="s">
        <v>280</v>
      </c>
      <c r="I733" s="82">
        <f t="shared" si="1"/>
        <v>1.018036072</v>
      </c>
      <c r="J733" s="82">
        <f t="shared" si="2"/>
        <v>0.495531281</v>
      </c>
    </row>
    <row r="734">
      <c r="A734" s="83">
        <v>44685.0</v>
      </c>
      <c r="B734" s="66">
        <v>2383.0</v>
      </c>
      <c r="C734" s="66">
        <v>2.0</v>
      </c>
      <c r="D734" s="66" t="s">
        <v>227</v>
      </c>
      <c r="E734" s="66">
        <v>0.0</v>
      </c>
      <c r="F734" s="66">
        <v>1.1019</v>
      </c>
      <c r="G734" s="66">
        <v>0.546</v>
      </c>
      <c r="H734" s="66" t="s">
        <v>277</v>
      </c>
      <c r="I734" s="82">
        <f t="shared" si="1"/>
        <v>1.018131868</v>
      </c>
      <c r="J734" s="82">
        <f t="shared" si="2"/>
        <v>0.4955077593</v>
      </c>
    </row>
    <row r="735">
      <c r="A735" s="83">
        <v>44685.0</v>
      </c>
      <c r="B735" s="66">
        <v>2383.0</v>
      </c>
      <c r="C735" s="66">
        <v>2.0</v>
      </c>
      <c r="D735" s="66" t="s">
        <v>227</v>
      </c>
      <c r="E735" s="66">
        <v>1.0</v>
      </c>
      <c r="F735" s="66">
        <v>0.218</v>
      </c>
      <c r="G735" s="66">
        <v>0.108</v>
      </c>
      <c r="I735" s="82">
        <f t="shared" si="1"/>
        <v>1.018518519</v>
      </c>
      <c r="J735" s="82">
        <f t="shared" si="2"/>
        <v>0.495412844</v>
      </c>
    </row>
    <row r="736">
      <c r="A736" s="83">
        <v>44685.0</v>
      </c>
      <c r="B736" s="66">
        <v>2383.0</v>
      </c>
      <c r="C736" s="66">
        <v>3.0</v>
      </c>
      <c r="D736" s="66" t="s">
        <v>228</v>
      </c>
      <c r="E736" s="66">
        <v>0.0</v>
      </c>
      <c r="F736" s="66">
        <v>0.313</v>
      </c>
      <c r="G736" s="66">
        <v>0.155</v>
      </c>
      <c r="H736" s="66" t="s">
        <v>279</v>
      </c>
      <c r="I736" s="82">
        <f t="shared" si="1"/>
        <v>1.019354839</v>
      </c>
      <c r="J736" s="82">
        <f t="shared" si="2"/>
        <v>0.4952076677</v>
      </c>
    </row>
    <row r="737">
      <c r="A737" s="83">
        <v>44685.0</v>
      </c>
      <c r="B737" s="66">
        <v>2383.0</v>
      </c>
      <c r="C737" s="66">
        <v>3.0</v>
      </c>
      <c r="D737" s="66" t="s">
        <v>228</v>
      </c>
      <c r="E737" s="66">
        <v>0.0</v>
      </c>
      <c r="F737" s="66">
        <v>2.0297</v>
      </c>
      <c r="G737" s="66">
        <v>1.005</v>
      </c>
      <c r="H737" s="66" t="s">
        <v>276</v>
      </c>
      <c r="I737" s="82">
        <f t="shared" si="1"/>
        <v>1.01960199</v>
      </c>
      <c r="J737" s="82">
        <f t="shared" si="2"/>
        <v>0.4951470661</v>
      </c>
    </row>
    <row r="738">
      <c r="A738" s="83">
        <v>44685.0</v>
      </c>
      <c r="B738" s="66">
        <v>2383.0</v>
      </c>
      <c r="C738" s="66">
        <v>3.0</v>
      </c>
      <c r="D738" s="66" t="s">
        <v>227</v>
      </c>
      <c r="E738" s="66">
        <v>0.0</v>
      </c>
      <c r="F738" s="66">
        <v>0.1331</v>
      </c>
      <c r="G738" s="66">
        <v>0.0659</v>
      </c>
      <c r="I738" s="82">
        <f t="shared" si="1"/>
        <v>1.019726859</v>
      </c>
      <c r="J738" s="82">
        <f t="shared" si="2"/>
        <v>0.4951164538</v>
      </c>
    </row>
    <row r="739">
      <c r="A739" s="83">
        <v>44685.0</v>
      </c>
      <c r="B739" s="66">
        <v>2383.0</v>
      </c>
      <c r="C739" s="66">
        <v>3.0</v>
      </c>
      <c r="D739" s="66" t="s">
        <v>227</v>
      </c>
      <c r="E739" s="66">
        <v>0.0</v>
      </c>
      <c r="F739" s="66">
        <v>1.3212</v>
      </c>
      <c r="G739" s="66">
        <v>0.6541</v>
      </c>
      <c r="I739" s="82">
        <f t="shared" si="1"/>
        <v>1.019874637</v>
      </c>
      <c r="J739" s="82">
        <f t="shared" si="2"/>
        <v>0.4950802301</v>
      </c>
    </row>
    <row r="740">
      <c r="A740" s="83">
        <v>44685.0</v>
      </c>
      <c r="B740" s="66">
        <v>2383.0</v>
      </c>
      <c r="C740" s="66">
        <v>3.0</v>
      </c>
      <c r="D740" s="66" t="s">
        <v>227</v>
      </c>
      <c r="E740" s="66">
        <v>1.0</v>
      </c>
      <c r="F740" s="66">
        <v>1.1557</v>
      </c>
      <c r="G740" s="66">
        <v>0.572</v>
      </c>
      <c r="H740" s="66" t="s">
        <v>277</v>
      </c>
      <c r="I740" s="82">
        <f t="shared" si="1"/>
        <v>1.020454545</v>
      </c>
      <c r="J740" s="82">
        <f t="shared" si="2"/>
        <v>0.4949381327</v>
      </c>
    </row>
    <row r="741">
      <c r="A741" s="83">
        <v>44685.0</v>
      </c>
      <c r="B741" s="66">
        <v>2383.0</v>
      </c>
      <c r="C741" s="66">
        <v>3.0</v>
      </c>
      <c r="D741" s="66" t="s">
        <v>227</v>
      </c>
      <c r="E741" s="66">
        <v>1.0</v>
      </c>
      <c r="F741" s="66">
        <v>1.029</v>
      </c>
      <c r="G741" s="66">
        <v>0.509</v>
      </c>
      <c r="H741" s="66" t="s">
        <v>277</v>
      </c>
      <c r="I741" s="82">
        <f t="shared" si="1"/>
        <v>1.021611002</v>
      </c>
      <c r="J741" s="82">
        <f t="shared" si="2"/>
        <v>0.4946550049</v>
      </c>
    </row>
    <row r="742">
      <c r="A742" s="83">
        <v>44690.0</v>
      </c>
      <c r="B742" s="66">
        <v>1475.0</v>
      </c>
      <c r="C742" s="66">
        <v>1.0</v>
      </c>
      <c r="D742" s="66" t="s">
        <v>228</v>
      </c>
      <c r="E742" s="66">
        <v>0.0</v>
      </c>
      <c r="F742" s="66">
        <v>1.2878</v>
      </c>
      <c r="G742" s="66">
        <v>0.637</v>
      </c>
      <c r="I742" s="82">
        <f t="shared" si="1"/>
        <v>1.02166405</v>
      </c>
      <c r="J742" s="82">
        <f t="shared" si="2"/>
        <v>0.4946420252</v>
      </c>
    </row>
    <row r="743">
      <c r="A743" s="83">
        <v>44690.0</v>
      </c>
      <c r="B743" s="66">
        <v>1475.0</v>
      </c>
      <c r="C743" s="66">
        <v>1.0</v>
      </c>
      <c r="D743" s="66" t="s">
        <v>227</v>
      </c>
      <c r="E743" s="66">
        <v>0.0</v>
      </c>
      <c r="F743" s="66">
        <v>1.3616</v>
      </c>
      <c r="G743" s="66">
        <v>0.6734</v>
      </c>
      <c r="I743" s="82">
        <f t="shared" si="1"/>
        <v>1.021978022</v>
      </c>
      <c r="J743" s="82">
        <f t="shared" si="2"/>
        <v>0.4945652174</v>
      </c>
    </row>
    <row r="744">
      <c r="A744" s="83">
        <v>44690.0</v>
      </c>
      <c r="B744" s="66">
        <v>1475.0</v>
      </c>
      <c r="C744" s="66">
        <v>1.0</v>
      </c>
      <c r="D744" s="66" t="s">
        <v>227</v>
      </c>
      <c r="E744" s="66">
        <v>1.0</v>
      </c>
      <c r="F744" s="66">
        <v>0.0364</v>
      </c>
      <c r="G744" s="66">
        <v>0.018</v>
      </c>
      <c r="I744" s="82">
        <f t="shared" si="1"/>
        <v>1.022222222</v>
      </c>
      <c r="J744" s="82">
        <f t="shared" si="2"/>
        <v>0.4945054945</v>
      </c>
    </row>
    <row r="745">
      <c r="A745" s="83">
        <v>44690.0</v>
      </c>
      <c r="B745" s="66">
        <v>1475.0</v>
      </c>
      <c r="C745" s="66">
        <v>2.0</v>
      </c>
      <c r="D745" s="66" t="s">
        <v>228</v>
      </c>
      <c r="E745" s="66">
        <v>0.0</v>
      </c>
      <c r="F745" s="66">
        <v>0.2913</v>
      </c>
      <c r="G745" s="66">
        <v>0.144</v>
      </c>
      <c r="H745" s="66" t="s">
        <v>277</v>
      </c>
      <c r="I745" s="82">
        <f t="shared" si="1"/>
        <v>1.022916667</v>
      </c>
      <c r="J745" s="82">
        <f t="shared" si="2"/>
        <v>0.4943357364</v>
      </c>
    </row>
    <row r="746">
      <c r="A746" s="83">
        <v>44690.0</v>
      </c>
      <c r="B746" s="66">
        <v>1475.0</v>
      </c>
      <c r="C746" s="66">
        <v>2.0</v>
      </c>
      <c r="D746" s="66" t="s">
        <v>227</v>
      </c>
      <c r="E746" s="66">
        <v>0.0</v>
      </c>
      <c r="F746" s="66">
        <v>0.4479</v>
      </c>
      <c r="G746" s="66">
        <v>0.2213</v>
      </c>
      <c r="H746" s="66" t="s">
        <v>277</v>
      </c>
      <c r="I746" s="82">
        <f t="shared" si="1"/>
        <v>1.02394939</v>
      </c>
      <c r="J746" s="82">
        <f t="shared" si="2"/>
        <v>0.4940835008</v>
      </c>
    </row>
    <row r="747">
      <c r="A747" s="83">
        <v>44690.0</v>
      </c>
      <c r="B747" s="66">
        <v>1475.0</v>
      </c>
      <c r="C747" s="66">
        <v>3.0</v>
      </c>
      <c r="D747" s="66" t="s">
        <v>227</v>
      </c>
      <c r="E747" s="66">
        <v>0.0</v>
      </c>
      <c r="F747" s="66">
        <v>1.6727</v>
      </c>
      <c r="G747" s="66">
        <v>0.8263</v>
      </c>
      <c r="H747" s="66" t="s">
        <v>276</v>
      </c>
      <c r="I747" s="82">
        <f t="shared" si="1"/>
        <v>1.024325306</v>
      </c>
      <c r="J747" s="82">
        <f t="shared" si="2"/>
        <v>0.4939917499</v>
      </c>
    </row>
    <row r="748">
      <c r="A748" s="83">
        <v>44690.0</v>
      </c>
      <c r="B748" s="66">
        <v>1475.0</v>
      </c>
      <c r="C748" s="66">
        <v>3.0</v>
      </c>
      <c r="D748" s="66" t="s">
        <v>227</v>
      </c>
      <c r="E748" s="66">
        <v>1.0</v>
      </c>
      <c r="F748" s="66">
        <v>0.7928</v>
      </c>
      <c r="G748" s="66">
        <v>0.3916</v>
      </c>
      <c r="H748" s="66" t="s">
        <v>276</v>
      </c>
      <c r="I748" s="82">
        <f t="shared" si="1"/>
        <v>1.024514811</v>
      </c>
      <c r="J748" s="82">
        <f t="shared" si="2"/>
        <v>0.4939455096</v>
      </c>
    </row>
    <row r="749">
      <c r="A749" s="83">
        <v>44690.0</v>
      </c>
      <c r="B749" s="66">
        <v>2004.0</v>
      </c>
      <c r="C749" s="66">
        <v>1.0</v>
      </c>
      <c r="D749" s="66" t="s">
        <v>228</v>
      </c>
      <c r="E749" s="66">
        <v>0.0</v>
      </c>
      <c r="F749" s="66">
        <v>0.0879</v>
      </c>
      <c r="G749" s="66">
        <v>0.0434</v>
      </c>
      <c r="H749" s="66" t="s">
        <v>280</v>
      </c>
      <c r="I749" s="82">
        <f t="shared" si="1"/>
        <v>1.025345622</v>
      </c>
      <c r="J749" s="82">
        <f t="shared" si="2"/>
        <v>0.4937428896</v>
      </c>
    </row>
    <row r="750">
      <c r="A750" s="83">
        <v>44690.0</v>
      </c>
      <c r="B750" s="66">
        <v>2004.0</v>
      </c>
      <c r="C750" s="66">
        <v>1.0</v>
      </c>
      <c r="D750" s="66" t="s">
        <v>227</v>
      </c>
      <c r="E750" s="66">
        <v>0.0</v>
      </c>
      <c r="F750" s="66">
        <v>0.9666</v>
      </c>
      <c r="G750" s="66">
        <v>0.4772</v>
      </c>
      <c r="H750" s="66" t="s">
        <v>280</v>
      </c>
      <c r="I750" s="82">
        <f t="shared" si="1"/>
        <v>1.025565801</v>
      </c>
      <c r="J750" s="82">
        <f t="shared" si="2"/>
        <v>0.4936892199</v>
      </c>
    </row>
    <row r="751">
      <c r="A751" s="83">
        <v>44690.0</v>
      </c>
      <c r="B751" s="66">
        <v>2004.0</v>
      </c>
      <c r="C751" s="66">
        <v>2.0</v>
      </c>
      <c r="D751" s="66" t="s">
        <v>228</v>
      </c>
      <c r="E751" s="66">
        <v>0.0</v>
      </c>
      <c r="F751" s="66">
        <v>0.0689</v>
      </c>
      <c r="G751" s="66">
        <v>0.034</v>
      </c>
      <c r="I751" s="82">
        <f t="shared" si="1"/>
        <v>1.026470588</v>
      </c>
      <c r="J751" s="82">
        <f t="shared" si="2"/>
        <v>0.4934687954</v>
      </c>
    </row>
    <row r="752">
      <c r="A752" s="83">
        <v>44690.0</v>
      </c>
      <c r="B752" s="66">
        <v>2004.0</v>
      </c>
      <c r="C752" s="66">
        <v>2.0</v>
      </c>
      <c r="D752" s="66" t="s">
        <v>227</v>
      </c>
      <c r="E752" s="66">
        <v>0.0</v>
      </c>
      <c r="F752" s="66">
        <v>0.153</v>
      </c>
      <c r="G752" s="66">
        <v>0.0755</v>
      </c>
      <c r="I752" s="82">
        <f t="shared" si="1"/>
        <v>1.026490066</v>
      </c>
      <c r="J752" s="82">
        <f t="shared" si="2"/>
        <v>0.4934640523</v>
      </c>
    </row>
    <row r="753">
      <c r="A753" s="83">
        <v>44690.0</v>
      </c>
      <c r="B753" s="66">
        <v>2004.0</v>
      </c>
      <c r="C753" s="66">
        <v>3.0</v>
      </c>
      <c r="D753" s="66" t="s">
        <v>228</v>
      </c>
      <c r="E753" s="66">
        <v>0.0</v>
      </c>
      <c r="F753" s="66">
        <v>1.2768</v>
      </c>
      <c r="G753" s="66">
        <v>0.63</v>
      </c>
      <c r="H753" s="66" t="s">
        <v>277</v>
      </c>
      <c r="I753" s="82">
        <f t="shared" si="1"/>
        <v>1.026666667</v>
      </c>
      <c r="J753" s="82">
        <f t="shared" si="2"/>
        <v>0.4934210526</v>
      </c>
    </row>
    <row r="754">
      <c r="A754" s="83">
        <v>44690.0</v>
      </c>
      <c r="B754" s="66">
        <v>2004.0</v>
      </c>
      <c r="C754" s="66">
        <v>3.0</v>
      </c>
      <c r="D754" s="66" t="s">
        <v>227</v>
      </c>
      <c r="E754" s="66">
        <v>0.0</v>
      </c>
      <c r="F754" s="66">
        <v>1.7795</v>
      </c>
      <c r="G754" s="66">
        <v>0.878</v>
      </c>
      <c r="H754" s="66" t="s">
        <v>277</v>
      </c>
      <c r="I754" s="82">
        <f t="shared" si="1"/>
        <v>1.026765376</v>
      </c>
      <c r="J754" s="82">
        <f t="shared" si="2"/>
        <v>0.4933970216</v>
      </c>
    </row>
    <row r="755">
      <c r="A755" s="83">
        <v>44690.0</v>
      </c>
      <c r="B755" s="66">
        <v>2005.0</v>
      </c>
      <c r="C755" s="66">
        <v>1.0</v>
      </c>
      <c r="D755" s="66" t="s">
        <v>228</v>
      </c>
      <c r="E755" s="66">
        <v>0.0</v>
      </c>
      <c r="F755" s="66">
        <v>0.5781</v>
      </c>
      <c r="G755" s="66">
        <v>0.2852</v>
      </c>
      <c r="H755" s="66" t="s">
        <v>276</v>
      </c>
      <c r="I755" s="82">
        <f t="shared" si="1"/>
        <v>1.026998597</v>
      </c>
      <c r="J755" s="82">
        <f t="shared" si="2"/>
        <v>0.4933402526</v>
      </c>
    </row>
    <row r="756">
      <c r="A756" s="83">
        <v>44690.0</v>
      </c>
      <c r="B756" s="66">
        <v>2005.0</v>
      </c>
      <c r="C756" s="66">
        <v>1.0</v>
      </c>
      <c r="D756" s="66" t="s">
        <v>227</v>
      </c>
      <c r="E756" s="66">
        <v>0.0</v>
      </c>
      <c r="F756" s="66">
        <v>0.2129</v>
      </c>
      <c r="G756" s="66">
        <v>0.105</v>
      </c>
      <c r="I756" s="82">
        <f t="shared" si="1"/>
        <v>1.027619048</v>
      </c>
      <c r="J756" s="82">
        <f t="shared" si="2"/>
        <v>0.4931892907</v>
      </c>
    </row>
    <row r="757">
      <c r="A757" s="83">
        <v>44690.0</v>
      </c>
      <c r="B757" s="66">
        <v>2005.0</v>
      </c>
      <c r="C757" s="66">
        <v>1.0</v>
      </c>
      <c r="D757" s="66" t="s">
        <v>227</v>
      </c>
      <c r="E757" s="66">
        <v>1.0</v>
      </c>
      <c r="F757" s="66">
        <v>0.073</v>
      </c>
      <c r="G757" s="66">
        <v>0.036</v>
      </c>
      <c r="I757" s="82">
        <f t="shared" si="1"/>
        <v>1.027777778</v>
      </c>
      <c r="J757" s="82">
        <f t="shared" si="2"/>
        <v>0.4931506849</v>
      </c>
    </row>
    <row r="758">
      <c r="A758" s="83">
        <v>44690.0</v>
      </c>
      <c r="B758" s="66">
        <v>2005.0</v>
      </c>
      <c r="C758" s="66">
        <v>2.0</v>
      </c>
      <c r="D758" s="66" t="s">
        <v>228</v>
      </c>
      <c r="E758" s="66">
        <v>0.0</v>
      </c>
      <c r="F758" s="66">
        <v>1.4926</v>
      </c>
      <c r="G758" s="66">
        <v>0.736</v>
      </c>
      <c r="H758" s="66" t="s">
        <v>277</v>
      </c>
      <c r="I758" s="82">
        <f t="shared" si="1"/>
        <v>1.02798913</v>
      </c>
      <c r="J758" s="82">
        <f t="shared" si="2"/>
        <v>0.4930992898</v>
      </c>
    </row>
    <row r="759">
      <c r="A759" s="83">
        <v>44690.0</v>
      </c>
      <c r="B759" s="66">
        <v>2005.0</v>
      </c>
      <c r="C759" s="66">
        <v>2.0</v>
      </c>
      <c r="D759" s="66" t="s">
        <v>227</v>
      </c>
      <c r="E759" s="66">
        <v>0.0</v>
      </c>
      <c r="F759" s="66">
        <v>0.1663</v>
      </c>
      <c r="G759" s="66">
        <v>0.082</v>
      </c>
      <c r="H759" s="66" t="s">
        <v>277</v>
      </c>
      <c r="I759" s="82">
        <f t="shared" si="1"/>
        <v>1.02804878</v>
      </c>
      <c r="J759" s="82">
        <f t="shared" si="2"/>
        <v>0.4930847865</v>
      </c>
    </row>
    <row r="760">
      <c r="A760" s="83">
        <v>44690.0</v>
      </c>
      <c r="B760" s="66">
        <v>2005.0</v>
      </c>
      <c r="C760" s="66">
        <v>2.0</v>
      </c>
      <c r="D760" s="66" t="s">
        <v>227</v>
      </c>
      <c r="E760" s="66">
        <v>1.0</v>
      </c>
      <c r="F760" s="66">
        <v>0.1217</v>
      </c>
      <c r="G760" s="66">
        <v>0.06</v>
      </c>
      <c r="H760" s="66" t="s">
        <v>276</v>
      </c>
      <c r="I760" s="82">
        <f t="shared" si="1"/>
        <v>1.028333333</v>
      </c>
      <c r="J760" s="82">
        <f t="shared" si="2"/>
        <v>0.4930156122</v>
      </c>
    </row>
    <row r="761">
      <c r="A761" s="83">
        <v>44690.0</v>
      </c>
      <c r="B761" s="66">
        <v>2005.0</v>
      </c>
      <c r="C761" s="66">
        <v>3.0</v>
      </c>
      <c r="D761" s="66" t="s">
        <v>228</v>
      </c>
      <c r="E761" s="66">
        <v>0.0</v>
      </c>
      <c r="F761" s="66">
        <v>0.1639</v>
      </c>
      <c r="G761" s="66">
        <v>0.0808</v>
      </c>
      <c r="H761" s="66" t="s">
        <v>280</v>
      </c>
      <c r="I761" s="82">
        <f t="shared" si="1"/>
        <v>1.028465347</v>
      </c>
      <c r="J761" s="82">
        <f t="shared" si="2"/>
        <v>0.4929835265</v>
      </c>
    </row>
    <row r="762">
      <c r="A762" s="83">
        <v>44690.0</v>
      </c>
      <c r="B762" s="66">
        <v>2005.0</v>
      </c>
      <c r="C762" s="66">
        <v>3.0</v>
      </c>
      <c r="D762" s="66" t="s">
        <v>227</v>
      </c>
      <c r="E762" s="66">
        <v>1.0</v>
      </c>
      <c r="F762" s="66">
        <v>0.2577</v>
      </c>
      <c r="G762" s="66">
        <v>0.127</v>
      </c>
      <c r="I762" s="82">
        <f t="shared" si="1"/>
        <v>1.029133858</v>
      </c>
      <c r="J762" s="82">
        <f t="shared" si="2"/>
        <v>0.4928211098</v>
      </c>
    </row>
    <row r="763">
      <c r="A763" s="83">
        <v>44690.0</v>
      </c>
      <c r="B763" s="66">
        <v>2005.0</v>
      </c>
      <c r="C763" s="66">
        <v>3.0</v>
      </c>
      <c r="D763" s="66" t="s">
        <v>227</v>
      </c>
      <c r="E763" s="66">
        <v>1.0</v>
      </c>
      <c r="F763" s="66">
        <v>0.2456</v>
      </c>
      <c r="G763" s="66">
        <v>0.121</v>
      </c>
      <c r="H763" s="66" t="s">
        <v>277</v>
      </c>
      <c r="I763" s="82">
        <f t="shared" si="1"/>
        <v>1.029752066</v>
      </c>
      <c r="J763" s="82">
        <f t="shared" si="2"/>
        <v>0.4926710098</v>
      </c>
    </row>
    <row r="764">
      <c r="A764" s="83">
        <v>44690.0</v>
      </c>
      <c r="B764" s="66">
        <v>2006.0</v>
      </c>
      <c r="C764" s="66">
        <v>1.0</v>
      </c>
      <c r="D764" s="66" t="s">
        <v>228</v>
      </c>
      <c r="E764" s="66">
        <v>0.0</v>
      </c>
      <c r="F764" s="66">
        <v>0.0745</v>
      </c>
      <c r="G764" s="66">
        <v>0.0367</v>
      </c>
      <c r="H764" s="66" t="s">
        <v>276</v>
      </c>
      <c r="I764" s="82">
        <f t="shared" si="1"/>
        <v>1.029972752</v>
      </c>
      <c r="J764" s="82">
        <f t="shared" si="2"/>
        <v>0.4926174497</v>
      </c>
    </row>
    <row r="765">
      <c r="A765" s="83">
        <v>44690.0</v>
      </c>
      <c r="B765" s="66">
        <v>2006.0</v>
      </c>
      <c r="C765" s="66">
        <v>1.0</v>
      </c>
      <c r="D765" s="66" t="s">
        <v>227</v>
      </c>
      <c r="E765" s="66">
        <v>0.0</v>
      </c>
      <c r="F765" s="66">
        <v>0.404</v>
      </c>
      <c r="G765" s="66">
        <v>0.199</v>
      </c>
      <c r="H765" s="66" t="s">
        <v>277</v>
      </c>
      <c r="I765" s="82">
        <f t="shared" si="1"/>
        <v>1.030150754</v>
      </c>
      <c r="J765" s="82">
        <f t="shared" si="2"/>
        <v>0.4925742574</v>
      </c>
    </row>
    <row r="766">
      <c r="A766" s="83">
        <v>44690.0</v>
      </c>
      <c r="B766" s="66">
        <v>2006.0</v>
      </c>
      <c r="C766" s="66">
        <v>1.0</v>
      </c>
      <c r="D766" s="66" t="s">
        <v>227</v>
      </c>
      <c r="E766" s="66">
        <v>0.0</v>
      </c>
      <c r="F766" s="66">
        <v>0.2079</v>
      </c>
      <c r="G766" s="66">
        <v>0.1024</v>
      </c>
      <c r="H766" s="66" t="s">
        <v>276</v>
      </c>
      <c r="I766" s="82">
        <f t="shared" si="1"/>
        <v>1.030273438</v>
      </c>
      <c r="J766" s="82">
        <f t="shared" si="2"/>
        <v>0.4925444925</v>
      </c>
    </row>
    <row r="767">
      <c r="A767" s="83">
        <v>44690.0</v>
      </c>
      <c r="B767" s="66">
        <v>2006.0</v>
      </c>
      <c r="C767" s="66">
        <v>2.0</v>
      </c>
      <c r="D767" s="66" t="s">
        <v>228</v>
      </c>
      <c r="E767" s="66">
        <v>0.0</v>
      </c>
      <c r="F767" s="66">
        <v>0.6295</v>
      </c>
      <c r="G767" s="66">
        <v>0.31</v>
      </c>
      <c r="I767" s="82">
        <f t="shared" si="1"/>
        <v>1.030645161</v>
      </c>
      <c r="J767" s="82">
        <f t="shared" si="2"/>
        <v>0.4924543288</v>
      </c>
    </row>
    <row r="768">
      <c r="A768" s="83">
        <v>44690.0</v>
      </c>
      <c r="B768" s="66">
        <v>2006.0</v>
      </c>
      <c r="C768" s="66">
        <v>2.0</v>
      </c>
      <c r="D768" s="66" t="s">
        <v>227</v>
      </c>
      <c r="E768" s="66">
        <v>0.0</v>
      </c>
      <c r="F768" s="66">
        <v>0.2843</v>
      </c>
      <c r="G768" s="66">
        <v>0.14</v>
      </c>
      <c r="H768" s="66" t="s">
        <v>277</v>
      </c>
      <c r="I768" s="82">
        <f t="shared" si="1"/>
        <v>1.030714286</v>
      </c>
      <c r="J768" s="82">
        <f t="shared" si="2"/>
        <v>0.492437566</v>
      </c>
    </row>
    <row r="769">
      <c r="A769" s="83">
        <v>44690.0</v>
      </c>
      <c r="B769" s="66">
        <v>2006.0</v>
      </c>
      <c r="C769" s="66">
        <v>2.0</v>
      </c>
      <c r="D769" s="66" t="s">
        <v>227</v>
      </c>
      <c r="E769" s="66">
        <v>1.0</v>
      </c>
      <c r="F769" s="66">
        <v>0.1889</v>
      </c>
      <c r="G769" s="66">
        <v>0.093</v>
      </c>
      <c r="H769" s="66" t="s">
        <v>277</v>
      </c>
      <c r="I769" s="82">
        <f t="shared" si="1"/>
        <v>1.031182796</v>
      </c>
      <c r="J769" s="82">
        <f t="shared" si="2"/>
        <v>0.4923239809</v>
      </c>
    </row>
    <row r="770">
      <c r="A770" s="83">
        <v>44690.0</v>
      </c>
      <c r="B770" s="66">
        <v>2006.0</v>
      </c>
      <c r="C770" s="66">
        <v>3.0</v>
      </c>
      <c r="D770" s="66" t="s">
        <v>228</v>
      </c>
      <c r="E770" s="66">
        <v>0.0</v>
      </c>
      <c r="F770" s="66">
        <v>0.1158</v>
      </c>
      <c r="G770" s="66">
        <v>0.057</v>
      </c>
      <c r="H770" s="66" t="s">
        <v>277</v>
      </c>
      <c r="I770" s="82">
        <f t="shared" si="1"/>
        <v>1.031578947</v>
      </c>
      <c r="J770" s="82">
        <f t="shared" si="2"/>
        <v>0.4922279793</v>
      </c>
    </row>
    <row r="771">
      <c r="A771" s="83">
        <v>44690.0</v>
      </c>
      <c r="B771" s="66">
        <v>2006.0</v>
      </c>
      <c r="C771" s="66">
        <v>3.0</v>
      </c>
      <c r="D771" s="66" t="s">
        <v>227</v>
      </c>
      <c r="E771" s="66">
        <v>0.0</v>
      </c>
      <c r="F771" s="66">
        <v>0.3109</v>
      </c>
      <c r="G771" s="66">
        <v>0.153</v>
      </c>
      <c r="H771" s="66" t="s">
        <v>277</v>
      </c>
      <c r="I771" s="82">
        <f t="shared" si="1"/>
        <v>1.032026144</v>
      </c>
      <c r="J771" s="82">
        <f t="shared" si="2"/>
        <v>0.4921196526</v>
      </c>
    </row>
    <row r="772">
      <c r="A772" s="83">
        <v>44690.0</v>
      </c>
      <c r="B772" s="66">
        <v>2006.0</v>
      </c>
      <c r="C772" s="66">
        <v>3.0</v>
      </c>
      <c r="D772" s="66" t="s">
        <v>227</v>
      </c>
      <c r="E772" s="66">
        <v>1.0</v>
      </c>
      <c r="F772" s="66">
        <v>0.2654</v>
      </c>
      <c r="G772" s="66">
        <v>0.1306</v>
      </c>
      <c r="H772" s="66" t="s">
        <v>280</v>
      </c>
      <c r="I772" s="82">
        <f t="shared" si="1"/>
        <v>1.032159265</v>
      </c>
      <c r="J772" s="82">
        <f t="shared" si="2"/>
        <v>0.4920874152</v>
      </c>
    </row>
    <row r="773">
      <c r="A773" s="83">
        <v>44690.0</v>
      </c>
      <c r="B773" s="66">
        <v>2007.0</v>
      </c>
      <c r="C773" s="66">
        <v>1.0</v>
      </c>
      <c r="D773" s="66" t="s">
        <v>228</v>
      </c>
      <c r="E773" s="66">
        <v>0.0</v>
      </c>
      <c r="F773" s="66">
        <v>0.0805</v>
      </c>
      <c r="G773" s="66">
        <v>0.0396</v>
      </c>
      <c r="H773" s="66" t="s">
        <v>276</v>
      </c>
      <c r="I773" s="82">
        <f t="shared" si="1"/>
        <v>1.032828283</v>
      </c>
      <c r="J773" s="82">
        <f t="shared" si="2"/>
        <v>0.4919254658</v>
      </c>
    </row>
    <row r="774">
      <c r="A774" s="83">
        <v>44690.0</v>
      </c>
      <c r="B774" s="66">
        <v>2007.0</v>
      </c>
      <c r="C774" s="66">
        <v>1.0</v>
      </c>
      <c r="D774" s="66" t="s">
        <v>227</v>
      </c>
      <c r="E774" s="66">
        <v>0.0</v>
      </c>
      <c r="F774" s="66">
        <v>1.624</v>
      </c>
      <c r="G774" s="66">
        <v>0.7983</v>
      </c>
      <c r="H774" s="66" t="s">
        <v>276</v>
      </c>
      <c r="I774" s="82">
        <f t="shared" si="1"/>
        <v>1.034322936</v>
      </c>
      <c r="J774" s="82">
        <f t="shared" si="2"/>
        <v>0.4915640394</v>
      </c>
    </row>
    <row r="775">
      <c r="A775" s="83">
        <v>44690.0</v>
      </c>
      <c r="B775" s="66">
        <v>2007.0</v>
      </c>
      <c r="C775" s="66">
        <v>1.0</v>
      </c>
      <c r="D775" s="66" t="s">
        <v>227</v>
      </c>
      <c r="E775" s="66">
        <v>1.0</v>
      </c>
      <c r="F775" s="66">
        <v>0.057</v>
      </c>
      <c r="G775" s="66">
        <v>0.028</v>
      </c>
      <c r="H775" s="66" t="s">
        <v>277</v>
      </c>
      <c r="I775" s="82">
        <f t="shared" si="1"/>
        <v>1.035714286</v>
      </c>
      <c r="J775" s="82">
        <f t="shared" si="2"/>
        <v>0.4912280702</v>
      </c>
    </row>
    <row r="776">
      <c r="A776" s="83">
        <v>44690.0</v>
      </c>
      <c r="B776" s="66">
        <v>2007.0</v>
      </c>
      <c r="C776" s="66">
        <v>2.0</v>
      </c>
      <c r="D776" s="66" t="s">
        <v>228</v>
      </c>
      <c r="E776" s="66">
        <v>0.0</v>
      </c>
      <c r="F776" s="66">
        <v>0.6319</v>
      </c>
      <c r="G776" s="66">
        <v>0.3104</v>
      </c>
      <c r="H776" s="66" t="s">
        <v>276</v>
      </c>
      <c r="I776" s="82">
        <f t="shared" si="1"/>
        <v>1.035760309</v>
      </c>
      <c r="J776" s="82">
        <f t="shared" si="2"/>
        <v>0.4912169647</v>
      </c>
    </row>
    <row r="777">
      <c r="A777" s="83">
        <v>44690.0</v>
      </c>
      <c r="B777" s="66">
        <v>2007.0</v>
      </c>
      <c r="C777" s="66">
        <v>2.0</v>
      </c>
      <c r="D777" s="66" t="s">
        <v>227</v>
      </c>
      <c r="E777" s="66">
        <v>0.0</v>
      </c>
      <c r="F777" s="66">
        <v>0.6313</v>
      </c>
      <c r="G777" s="66">
        <v>0.3101</v>
      </c>
      <c r="H777" s="66" t="s">
        <v>276</v>
      </c>
      <c r="I777" s="82">
        <f t="shared" si="1"/>
        <v>1.035794905</v>
      </c>
      <c r="J777" s="82">
        <f t="shared" si="2"/>
        <v>0.4912086171</v>
      </c>
    </row>
    <row r="778">
      <c r="A778" s="83">
        <v>44690.0</v>
      </c>
      <c r="B778" s="66">
        <v>2007.0</v>
      </c>
      <c r="C778" s="66">
        <v>2.0</v>
      </c>
      <c r="D778" s="66" t="s">
        <v>227</v>
      </c>
      <c r="E778" s="66">
        <v>1.0</v>
      </c>
      <c r="F778" s="66">
        <v>0.4259</v>
      </c>
      <c r="G778" s="66">
        <v>0.2092</v>
      </c>
      <c r="I778" s="82">
        <f t="shared" si="1"/>
        <v>1.03585086</v>
      </c>
      <c r="J778" s="82">
        <f t="shared" si="2"/>
        <v>0.4911951162</v>
      </c>
    </row>
    <row r="779">
      <c r="A779" s="83">
        <v>44690.0</v>
      </c>
      <c r="B779" s="66">
        <v>2007.0</v>
      </c>
      <c r="C779" s="66">
        <v>3.0</v>
      </c>
      <c r="D779" s="66" t="s">
        <v>228</v>
      </c>
      <c r="E779" s="66">
        <v>0.0</v>
      </c>
      <c r="F779" s="66">
        <v>1.9089</v>
      </c>
      <c r="G779" s="66">
        <v>0.9373</v>
      </c>
      <c r="H779" s="66" t="s">
        <v>276</v>
      </c>
      <c r="I779" s="82">
        <f t="shared" si="1"/>
        <v>1.036594473</v>
      </c>
      <c r="J779" s="82">
        <f t="shared" si="2"/>
        <v>0.4910157682</v>
      </c>
    </row>
    <row r="780">
      <c r="A780" s="83">
        <v>44690.0</v>
      </c>
      <c r="B780" s="66">
        <v>2007.0</v>
      </c>
      <c r="C780" s="66">
        <v>3.0</v>
      </c>
      <c r="D780" s="66" t="s">
        <v>227</v>
      </c>
      <c r="E780" s="66">
        <v>0.0</v>
      </c>
      <c r="F780" s="66">
        <v>0.1131</v>
      </c>
      <c r="G780" s="66">
        <v>0.0555</v>
      </c>
      <c r="H780" s="66" t="s">
        <v>280</v>
      </c>
      <c r="I780" s="82">
        <f t="shared" si="1"/>
        <v>1.037837838</v>
      </c>
      <c r="J780" s="82">
        <f t="shared" si="2"/>
        <v>0.4907161804</v>
      </c>
    </row>
    <row r="781">
      <c r="A781" s="83">
        <v>44690.0</v>
      </c>
      <c r="B781" s="66">
        <v>2007.0</v>
      </c>
      <c r="C781" s="66">
        <v>3.0</v>
      </c>
      <c r="D781" s="66" t="s">
        <v>227</v>
      </c>
      <c r="E781" s="66">
        <v>1.0</v>
      </c>
      <c r="F781" s="66">
        <v>1.4449</v>
      </c>
      <c r="G781" s="66">
        <v>0.7089</v>
      </c>
      <c r="H781" s="66" t="s">
        <v>276</v>
      </c>
      <c r="I781" s="82">
        <f t="shared" si="1"/>
        <v>1.038228241</v>
      </c>
      <c r="J781" s="82">
        <f t="shared" si="2"/>
        <v>0.4906221884</v>
      </c>
    </row>
    <row r="782">
      <c r="A782" s="83">
        <v>44690.0</v>
      </c>
      <c r="B782" s="66">
        <v>2012.0</v>
      </c>
      <c r="C782" s="66">
        <v>1.0</v>
      </c>
      <c r="D782" s="66" t="s">
        <v>228</v>
      </c>
      <c r="E782" s="66">
        <v>0.0</v>
      </c>
      <c r="F782" s="66">
        <v>0.7779</v>
      </c>
      <c r="G782" s="66">
        <v>0.3816</v>
      </c>
      <c r="I782" s="82">
        <f t="shared" si="1"/>
        <v>1.038522013</v>
      </c>
      <c r="J782" s="82">
        <f t="shared" si="2"/>
        <v>0.4905514848</v>
      </c>
    </row>
    <row r="783">
      <c r="A783" s="83">
        <v>44690.0</v>
      </c>
      <c r="B783" s="66">
        <v>2012.0</v>
      </c>
      <c r="C783" s="66">
        <v>1.0</v>
      </c>
      <c r="D783" s="66" t="s">
        <v>227</v>
      </c>
      <c r="E783" s="66">
        <v>1.0</v>
      </c>
      <c r="F783" s="66">
        <v>0.5973</v>
      </c>
      <c r="G783" s="66">
        <v>0.293</v>
      </c>
      <c r="H783" s="66" t="s">
        <v>277</v>
      </c>
      <c r="I783" s="82">
        <f t="shared" si="1"/>
        <v>1.038566553</v>
      </c>
      <c r="J783" s="82">
        <f t="shared" si="2"/>
        <v>0.4905407668</v>
      </c>
    </row>
    <row r="784">
      <c r="A784" s="83">
        <v>44690.0</v>
      </c>
      <c r="B784" s="66">
        <v>2012.0</v>
      </c>
      <c r="C784" s="66">
        <v>2.0</v>
      </c>
      <c r="D784" s="66" t="s">
        <v>228</v>
      </c>
      <c r="E784" s="66">
        <v>0.0</v>
      </c>
      <c r="F784" s="66">
        <v>0.2862</v>
      </c>
      <c r="G784" s="66">
        <v>0.1403</v>
      </c>
      <c r="H784" s="66" t="s">
        <v>280</v>
      </c>
      <c r="I784" s="82">
        <f t="shared" si="1"/>
        <v>1.039914469</v>
      </c>
      <c r="J784" s="82">
        <f t="shared" si="2"/>
        <v>0.4902166317</v>
      </c>
    </row>
    <row r="785">
      <c r="A785" s="83">
        <v>44690.0</v>
      </c>
      <c r="B785" s="66">
        <v>2012.0</v>
      </c>
      <c r="C785" s="66">
        <v>2.0</v>
      </c>
      <c r="D785" s="66" t="s">
        <v>227</v>
      </c>
      <c r="E785" s="66">
        <v>0.0</v>
      </c>
      <c r="F785" s="66">
        <v>0.081</v>
      </c>
      <c r="G785" s="66">
        <v>0.0397</v>
      </c>
      <c r="H785" s="66" t="s">
        <v>280</v>
      </c>
      <c r="I785" s="82">
        <f t="shared" si="1"/>
        <v>1.040302267</v>
      </c>
      <c r="J785" s="82">
        <f t="shared" si="2"/>
        <v>0.4901234568</v>
      </c>
    </row>
    <row r="786">
      <c r="A786" s="83">
        <v>44690.0</v>
      </c>
      <c r="B786" s="66">
        <v>2012.0</v>
      </c>
      <c r="C786" s="66">
        <v>2.0</v>
      </c>
      <c r="D786" s="66" t="s">
        <v>227</v>
      </c>
      <c r="E786" s="66">
        <v>1.0</v>
      </c>
      <c r="F786" s="66">
        <v>0.2559</v>
      </c>
      <c r="G786" s="66">
        <v>0.1254</v>
      </c>
      <c r="I786" s="82">
        <f t="shared" si="1"/>
        <v>1.040669856</v>
      </c>
      <c r="J786" s="82">
        <f t="shared" si="2"/>
        <v>0.49003517</v>
      </c>
    </row>
    <row r="787">
      <c r="A787" s="83">
        <v>44690.0</v>
      </c>
      <c r="B787" s="66">
        <v>2012.0</v>
      </c>
      <c r="C787" s="66">
        <v>3.0</v>
      </c>
      <c r="D787" s="66" t="s">
        <v>228</v>
      </c>
      <c r="E787" s="66">
        <v>0.0</v>
      </c>
      <c r="F787" s="66">
        <v>0.782</v>
      </c>
      <c r="G787" s="66">
        <v>0.383</v>
      </c>
      <c r="H787" s="66" t="s">
        <v>277</v>
      </c>
      <c r="I787" s="82">
        <f t="shared" si="1"/>
        <v>1.041775457</v>
      </c>
      <c r="J787" s="82">
        <f t="shared" si="2"/>
        <v>0.489769821</v>
      </c>
    </row>
    <row r="788">
      <c r="A788" s="83">
        <v>44690.0</v>
      </c>
      <c r="B788" s="66">
        <v>2012.0</v>
      </c>
      <c r="C788" s="66">
        <v>3.0</v>
      </c>
      <c r="D788" s="66" t="s">
        <v>227</v>
      </c>
      <c r="E788" s="66">
        <v>0.0</v>
      </c>
      <c r="F788" s="66">
        <v>0.1593</v>
      </c>
      <c r="G788" s="66">
        <v>0.078</v>
      </c>
      <c r="H788" s="66" t="s">
        <v>277</v>
      </c>
      <c r="I788" s="82">
        <f t="shared" si="1"/>
        <v>1.042307692</v>
      </c>
      <c r="J788" s="82">
        <f t="shared" si="2"/>
        <v>0.4896421846</v>
      </c>
    </row>
    <row r="789">
      <c r="A789" s="83">
        <v>44690.0</v>
      </c>
      <c r="B789" s="66">
        <v>2012.0</v>
      </c>
      <c r="C789" s="66">
        <v>3.0</v>
      </c>
      <c r="D789" s="66" t="s">
        <v>227</v>
      </c>
      <c r="E789" s="66">
        <v>1.0</v>
      </c>
      <c r="F789" s="66">
        <v>0.09809</v>
      </c>
      <c r="G789" s="66">
        <v>0.048</v>
      </c>
      <c r="H789" s="66" t="s">
        <v>277</v>
      </c>
      <c r="I789" s="82">
        <f t="shared" si="1"/>
        <v>1.043541667</v>
      </c>
      <c r="J789" s="82">
        <f t="shared" si="2"/>
        <v>0.4893465185</v>
      </c>
    </row>
    <row r="790">
      <c r="A790" s="83">
        <v>44690.0</v>
      </c>
      <c r="B790" s="66">
        <v>2013.0</v>
      </c>
      <c r="C790" s="66">
        <v>1.0</v>
      </c>
      <c r="D790" s="66" t="s">
        <v>228</v>
      </c>
      <c r="E790" s="66">
        <v>0.0</v>
      </c>
      <c r="F790" s="66">
        <v>0.9799</v>
      </c>
      <c r="G790" s="66">
        <v>0.4795</v>
      </c>
      <c r="H790" s="66" t="s">
        <v>276</v>
      </c>
      <c r="I790" s="82">
        <f t="shared" si="1"/>
        <v>1.04358707</v>
      </c>
      <c r="J790" s="82">
        <f t="shared" si="2"/>
        <v>0.4893356465</v>
      </c>
    </row>
    <row r="791">
      <c r="A791" s="83">
        <v>44690.0</v>
      </c>
      <c r="B791" s="66">
        <v>2013.0</v>
      </c>
      <c r="C791" s="66">
        <v>1.0</v>
      </c>
      <c r="D791" s="66" t="s">
        <v>227</v>
      </c>
      <c r="E791" s="66">
        <v>0.0</v>
      </c>
      <c r="F791" s="66">
        <v>0.6103</v>
      </c>
      <c r="G791" s="66">
        <v>0.2986</v>
      </c>
      <c r="H791" s="66" t="s">
        <v>276</v>
      </c>
      <c r="I791" s="82">
        <f t="shared" si="1"/>
        <v>1.0438714</v>
      </c>
      <c r="J791" s="82">
        <f t="shared" si="2"/>
        <v>0.4892675733</v>
      </c>
    </row>
    <row r="792">
      <c r="A792" s="83">
        <v>44690.0</v>
      </c>
      <c r="B792" s="66">
        <v>2013.0</v>
      </c>
      <c r="C792" s="66">
        <v>1.0</v>
      </c>
      <c r="D792" s="66" t="s">
        <v>227</v>
      </c>
      <c r="E792" s="66">
        <v>1.0</v>
      </c>
      <c r="F792" s="66">
        <v>0.8188</v>
      </c>
      <c r="G792" s="66">
        <v>0.4006</v>
      </c>
      <c r="H792" s="66" t="s">
        <v>276</v>
      </c>
      <c r="I792" s="82">
        <f t="shared" si="1"/>
        <v>1.043934099</v>
      </c>
      <c r="J792" s="82">
        <f t="shared" si="2"/>
        <v>0.4892525647</v>
      </c>
    </row>
    <row r="793">
      <c r="A793" s="83">
        <v>44690.0</v>
      </c>
      <c r="B793" s="66">
        <v>2013.0</v>
      </c>
      <c r="C793" s="66">
        <v>2.0</v>
      </c>
      <c r="D793" s="66" t="s">
        <v>228</v>
      </c>
      <c r="E793" s="66">
        <v>0.0</v>
      </c>
      <c r="F793" s="66">
        <v>0.0186</v>
      </c>
      <c r="G793" s="66">
        <v>0.0091</v>
      </c>
      <c r="H793" s="66" t="s">
        <v>280</v>
      </c>
      <c r="I793" s="82">
        <f t="shared" si="1"/>
        <v>1.043956044</v>
      </c>
      <c r="J793" s="82">
        <f t="shared" si="2"/>
        <v>0.4892473118</v>
      </c>
    </row>
    <row r="794">
      <c r="A794" s="83">
        <v>44690.0</v>
      </c>
      <c r="B794" s="66">
        <v>2013.0</v>
      </c>
      <c r="C794" s="66">
        <v>2.0</v>
      </c>
      <c r="D794" s="66" t="s">
        <v>227</v>
      </c>
      <c r="E794" s="66">
        <v>0.0</v>
      </c>
      <c r="F794" s="66">
        <v>0.4129</v>
      </c>
      <c r="G794" s="66">
        <v>0.202</v>
      </c>
      <c r="H794" s="66" t="s">
        <v>277</v>
      </c>
      <c r="I794" s="82">
        <f t="shared" si="1"/>
        <v>1.044059406</v>
      </c>
      <c r="J794" s="82">
        <f t="shared" si="2"/>
        <v>0.4892225721</v>
      </c>
    </row>
    <row r="795">
      <c r="A795" s="83">
        <v>44690.0</v>
      </c>
      <c r="B795" s="66">
        <v>2013.0</v>
      </c>
      <c r="C795" s="66">
        <v>3.0</v>
      </c>
      <c r="D795" s="66" t="s">
        <v>228</v>
      </c>
      <c r="E795" s="66">
        <v>0.0</v>
      </c>
      <c r="F795" s="66">
        <v>0.9763</v>
      </c>
      <c r="G795" s="66">
        <v>0.4776</v>
      </c>
      <c r="I795" s="82">
        <f t="shared" si="1"/>
        <v>1.044179229</v>
      </c>
      <c r="J795" s="82">
        <f t="shared" si="2"/>
        <v>0.4891938953</v>
      </c>
    </row>
    <row r="796">
      <c r="A796" s="83">
        <v>44690.0</v>
      </c>
      <c r="B796" s="66">
        <v>2013.0</v>
      </c>
      <c r="C796" s="66">
        <v>3.0</v>
      </c>
      <c r="D796" s="66" t="s">
        <v>227</v>
      </c>
      <c r="E796" s="66">
        <v>0.0</v>
      </c>
      <c r="F796" s="66">
        <v>0.2816</v>
      </c>
      <c r="G796" s="66">
        <v>0.1377</v>
      </c>
      <c r="I796" s="82">
        <f t="shared" si="1"/>
        <v>1.045025418</v>
      </c>
      <c r="J796" s="82">
        <f t="shared" si="2"/>
        <v>0.4889914773</v>
      </c>
    </row>
    <row r="797">
      <c r="A797" s="83">
        <v>44690.0</v>
      </c>
      <c r="B797" s="66">
        <v>2013.0</v>
      </c>
      <c r="C797" s="66">
        <v>3.0</v>
      </c>
      <c r="D797" s="66" t="s">
        <v>227</v>
      </c>
      <c r="E797" s="66">
        <v>1.0</v>
      </c>
      <c r="F797" s="66">
        <v>0.4326</v>
      </c>
      <c r="G797" s="66">
        <v>0.2115</v>
      </c>
      <c r="I797" s="82">
        <f t="shared" si="1"/>
        <v>1.045390071</v>
      </c>
      <c r="J797" s="82">
        <f t="shared" si="2"/>
        <v>0.4889042996</v>
      </c>
    </row>
    <row r="798">
      <c r="A798" s="83">
        <v>44690.0</v>
      </c>
      <c r="B798" s="66">
        <v>2015.0</v>
      </c>
      <c r="C798" s="66">
        <v>1.0</v>
      </c>
      <c r="D798" s="66" t="s">
        <v>228</v>
      </c>
      <c r="E798" s="66">
        <v>0.0</v>
      </c>
      <c r="F798" s="66">
        <v>1.4186</v>
      </c>
      <c r="G798" s="66">
        <v>0.6935</v>
      </c>
      <c r="I798" s="82">
        <f t="shared" si="1"/>
        <v>1.04556597</v>
      </c>
      <c r="J798" s="82">
        <f t="shared" si="2"/>
        <v>0.4888622586</v>
      </c>
    </row>
    <row r="799">
      <c r="A799" s="83">
        <v>44690.0</v>
      </c>
      <c r="B799" s="66">
        <v>2015.0</v>
      </c>
      <c r="C799" s="66">
        <v>1.0</v>
      </c>
      <c r="D799" s="66" t="s">
        <v>227</v>
      </c>
      <c r="E799" s="66">
        <v>0.0</v>
      </c>
      <c r="F799" s="66">
        <v>1.5016</v>
      </c>
      <c r="G799" s="66">
        <v>0.734</v>
      </c>
      <c r="I799" s="82">
        <f t="shared" si="1"/>
        <v>1.045776567</v>
      </c>
      <c r="J799" s="82">
        <f t="shared" si="2"/>
        <v>0.4888119339</v>
      </c>
    </row>
    <row r="800">
      <c r="A800" s="83">
        <v>44690.0</v>
      </c>
      <c r="B800" s="66">
        <v>2015.0</v>
      </c>
      <c r="C800" s="66">
        <v>1.0</v>
      </c>
      <c r="D800" s="66" t="s">
        <v>227</v>
      </c>
      <c r="E800" s="66">
        <v>1.0</v>
      </c>
      <c r="F800" s="66">
        <v>0.0714</v>
      </c>
      <c r="G800" s="66">
        <v>0.0349</v>
      </c>
      <c r="I800" s="82">
        <f t="shared" si="1"/>
        <v>1.045845272</v>
      </c>
      <c r="J800" s="82">
        <f t="shared" si="2"/>
        <v>0.4887955182</v>
      </c>
    </row>
    <row r="801">
      <c r="A801" s="83">
        <v>44690.0</v>
      </c>
      <c r="B801" s="66">
        <v>2015.0</v>
      </c>
      <c r="C801" s="66">
        <v>2.0</v>
      </c>
      <c r="D801" s="66" t="s">
        <v>228</v>
      </c>
      <c r="E801" s="66">
        <v>0.0</v>
      </c>
      <c r="F801" s="66">
        <v>0.124</v>
      </c>
      <c r="G801" s="66">
        <v>0.0606</v>
      </c>
      <c r="H801" s="66" t="s">
        <v>280</v>
      </c>
      <c r="I801" s="82">
        <f t="shared" si="1"/>
        <v>1.04620462</v>
      </c>
      <c r="J801" s="82">
        <f t="shared" si="2"/>
        <v>0.4887096774</v>
      </c>
    </row>
    <row r="802">
      <c r="A802" s="83">
        <v>44690.0</v>
      </c>
      <c r="B802" s="66">
        <v>2015.0</v>
      </c>
      <c r="C802" s="66">
        <v>2.0</v>
      </c>
      <c r="D802" s="66" t="s">
        <v>227</v>
      </c>
      <c r="E802" s="66">
        <v>0.0</v>
      </c>
      <c r="F802" s="66">
        <v>0.2988</v>
      </c>
      <c r="G802" s="66">
        <v>0.146</v>
      </c>
      <c r="H802" s="66" t="s">
        <v>276</v>
      </c>
      <c r="I802" s="82">
        <f t="shared" si="1"/>
        <v>1.046575342</v>
      </c>
      <c r="J802" s="82">
        <f t="shared" si="2"/>
        <v>0.4886211513</v>
      </c>
    </row>
    <row r="803">
      <c r="A803" s="83">
        <v>44690.0</v>
      </c>
      <c r="B803" s="66">
        <v>2015.0</v>
      </c>
      <c r="C803" s="66">
        <v>2.0</v>
      </c>
      <c r="D803" s="66" t="s">
        <v>227</v>
      </c>
      <c r="E803" s="66">
        <v>1.0</v>
      </c>
      <c r="F803" s="66">
        <v>0.1269</v>
      </c>
      <c r="G803" s="66">
        <v>0.062</v>
      </c>
      <c r="H803" s="66" t="s">
        <v>276</v>
      </c>
      <c r="I803" s="82">
        <f t="shared" si="1"/>
        <v>1.046774194</v>
      </c>
      <c r="J803" s="82">
        <f t="shared" si="2"/>
        <v>0.4885736801</v>
      </c>
    </row>
    <row r="804">
      <c r="A804" s="83">
        <v>44690.0</v>
      </c>
      <c r="B804" s="66">
        <v>2015.0</v>
      </c>
      <c r="C804" s="66">
        <v>3.0</v>
      </c>
      <c r="D804" s="66" t="s">
        <v>228</v>
      </c>
      <c r="E804" s="66">
        <v>0.0</v>
      </c>
      <c r="F804" s="66">
        <v>0.1912</v>
      </c>
      <c r="G804" s="66">
        <v>0.0934</v>
      </c>
      <c r="H804" s="66" t="s">
        <v>277</v>
      </c>
      <c r="I804" s="82">
        <f t="shared" si="1"/>
        <v>1.047109208</v>
      </c>
      <c r="J804" s="82">
        <f t="shared" si="2"/>
        <v>0.4884937238</v>
      </c>
    </row>
    <row r="805">
      <c r="A805" s="83">
        <v>44690.0</v>
      </c>
      <c r="B805" s="66">
        <v>2015.0</v>
      </c>
      <c r="C805" s="66">
        <v>3.0</v>
      </c>
      <c r="D805" s="66" t="s">
        <v>227</v>
      </c>
      <c r="E805" s="66">
        <v>0.0</v>
      </c>
      <c r="F805" s="66">
        <v>0.1208</v>
      </c>
      <c r="G805" s="66">
        <v>0.059</v>
      </c>
      <c r="I805" s="82">
        <f t="shared" si="1"/>
        <v>1.047457627</v>
      </c>
      <c r="J805" s="82">
        <f t="shared" si="2"/>
        <v>0.488410596</v>
      </c>
    </row>
    <row r="806">
      <c r="A806" s="83">
        <v>44690.0</v>
      </c>
      <c r="B806" s="66">
        <v>2015.0</v>
      </c>
      <c r="C806" s="66">
        <v>3.0</v>
      </c>
      <c r="D806" s="66" t="s">
        <v>227</v>
      </c>
      <c r="E806" s="66">
        <v>1.0</v>
      </c>
      <c r="F806" s="66">
        <v>0.1966</v>
      </c>
      <c r="G806" s="66">
        <v>0.096</v>
      </c>
      <c r="I806" s="82">
        <f t="shared" si="1"/>
        <v>1.047916667</v>
      </c>
      <c r="J806" s="82">
        <f t="shared" si="2"/>
        <v>0.488301119</v>
      </c>
    </row>
    <row r="807">
      <c r="A807" s="83">
        <v>44690.0</v>
      </c>
      <c r="B807" s="66">
        <v>2020.0</v>
      </c>
      <c r="C807" s="66">
        <v>1.0</v>
      </c>
      <c r="D807" s="66" t="s">
        <v>228</v>
      </c>
      <c r="E807" s="66">
        <v>0.0</v>
      </c>
      <c r="F807" s="66">
        <v>0.34</v>
      </c>
      <c r="G807" s="66">
        <v>0.166</v>
      </c>
      <c r="I807" s="82">
        <f t="shared" si="1"/>
        <v>1.048192771</v>
      </c>
      <c r="J807" s="82">
        <f t="shared" si="2"/>
        <v>0.4882352941</v>
      </c>
    </row>
    <row r="808">
      <c r="A808" s="83">
        <v>44690.0</v>
      </c>
      <c r="B808" s="66">
        <v>2020.0</v>
      </c>
      <c r="C808" s="66">
        <v>1.0</v>
      </c>
      <c r="D808" s="66" t="s">
        <v>227</v>
      </c>
      <c r="E808" s="66">
        <v>0.0</v>
      </c>
      <c r="F808" s="66">
        <v>0.0891</v>
      </c>
      <c r="G808" s="66">
        <v>0.0435</v>
      </c>
      <c r="I808" s="82">
        <f t="shared" si="1"/>
        <v>1.048275862</v>
      </c>
      <c r="J808" s="82">
        <f t="shared" si="2"/>
        <v>0.4882154882</v>
      </c>
    </row>
    <row r="809">
      <c r="A809" s="83">
        <v>44690.0</v>
      </c>
      <c r="B809" s="66">
        <v>2020.0</v>
      </c>
      <c r="C809" s="66">
        <v>1.0</v>
      </c>
      <c r="D809" s="66" t="s">
        <v>227</v>
      </c>
      <c r="E809" s="66">
        <v>1.0</v>
      </c>
      <c r="F809" s="66">
        <v>0.6841</v>
      </c>
      <c r="G809" s="66">
        <v>0.3339</v>
      </c>
      <c r="H809" s="66" t="s">
        <v>280</v>
      </c>
      <c r="I809" s="82">
        <f t="shared" si="1"/>
        <v>1.048817011</v>
      </c>
      <c r="J809" s="82">
        <f t="shared" si="2"/>
        <v>0.4880865371</v>
      </c>
    </row>
    <row r="810">
      <c r="A810" s="83">
        <v>44690.0</v>
      </c>
      <c r="B810" s="66">
        <v>2020.0</v>
      </c>
      <c r="C810" s="66">
        <v>2.0</v>
      </c>
      <c r="D810" s="66" t="s">
        <v>227</v>
      </c>
      <c r="E810" s="66">
        <v>0.0</v>
      </c>
      <c r="F810" s="66">
        <v>0.125</v>
      </c>
      <c r="G810" s="66">
        <v>0.061</v>
      </c>
      <c r="H810" s="66" t="s">
        <v>277</v>
      </c>
      <c r="I810" s="82">
        <f t="shared" si="1"/>
        <v>1.049180328</v>
      </c>
      <c r="J810" s="82">
        <f t="shared" si="2"/>
        <v>0.488</v>
      </c>
    </row>
    <row r="811">
      <c r="A811" s="83">
        <v>44690.0</v>
      </c>
      <c r="B811" s="66">
        <v>2020.0</v>
      </c>
      <c r="C811" s="66">
        <v>3.0</v>
      </c>
      <c r="D811" s="66" t="s">
        <v>228</v>
      </c>
      <c r="E811" s="66">
        <v>0.0</v>
      </c>
      <c r="F811" s="66">
        <v>0.1789</v>
      </c>
      <c r="G811" s="66">
        <v>0.0873</v>
      </c>
      <c r="H811" s="66" t="s">
        <v>280</v>
      </c>
      <c r="I811" s="82">
        <f t="shared" si="1"/>
        <v>1.049255441</v>
      </c>
      <c r="J811" s="82">
        <f t="shared" si="2"/>
        <v>0.4879821129</v>
      </c>
    </row>
    <row r="812">
      <c r="A812" s="83">
        <v>44690.0</v>
      </c>
      <c r="B812" s="66">
        <v>2020.0</v>
      </c>
      <c r="C812" s="66">
        <v>3.0</v>
      </c>
      <c r="D812" s="66" t="s">
        <v>227</v>
      </c>
      <c r="E812" s="66">
        <v>0.0</v>
      </c>
      <c r="F812" s="66">
        <v>0.1242</v>
      </c>
      <c r="G812" s="66">
        <v>0.0606</v>
      </c>
      <c r="H812" s="66" t="s">
        <v>280</v>
      </c>
      <c r="I812" s="82">
        <f t="shared" si="1"/>
        <v>1.04950495</v>
      </c>
      <c r="J812" s="82">
        <f t="shared" si="2"/>
        <v>0.4879227053</v>
      </c>
    </row>
    <row r="813">
      <c r="A813" s="83">
        <v>44690.0</v>
      </c>
      <c r="B813" s="66">
        <v>2020.0</v>
      </c>
      <c r="C813" s="66">
        <v>3.0</v>
      </c>
      <c r="D813" s="66" t="s">
        <v>227</v>
      </c>
      <c r="E813" s="66">
        <v>1.0</v>
      </c>
      <c r="F813" s="66">
        <v>0.6251</v>
      </c>
      <c r="G813" s="66">
        <v>0.305</v>
      </c>
      <c r="H813" s="66" t="s">
        <v>277</v>
      </c>
      <c r="I813" s="82">
        <f t="shared" si="1"/>
        <v>1.049508197</v>
      </c>
      <c r="J813" s="82">
        <f t="shared" si="2"/>
        <v>0.4879219325</v>
      </c>
    </row>
    <row r="814">
      <c r="A814" s="83">
        <v>44690.0</v>
      </c>
      <c r="B814" s="66">
        <v>2021.0</v>
      </c>
      <c r="C814" s="66">
        <v>1.0</v>
      </c>
      <c r="D814" s="66" t="s">
        <v>228</v>
      </c>
      <c r="E814" s="66">
        <v>0.0</v>
      </c>
      <c r="F814" s="66">
        <v>2.513</v>
      </c>
      <c r="G814" s="66">
        <v>1.2261</v>
      </c>
      <c r="I814" s="82">
        <f t="shared" si="1"/>
        <v>1.049588125</v>
      </c>
      <c r="J814" s="82">
        <f t="shared" si="2"/>
        <v>0.4879029049</v>
      </c>
    </row>
    <row r="815">
      <c r="A815" s="83">
        <v>44690.0</v>
      </c>
      <c r="B815" s="66">
        <v>2021.0</v>
      </c>
      <c r="C815" s="66">
        <v>1.0</v>
      </c>
      <c r="D815" s="66" t="s">
        <v>227</v>
      </c>
      <c r="E815" s="66">
        <v>0.0</v>
      </c>
      <c r="F815" s="66">
        <v>0.7713</v>
      </c>
      <c r="G815" s="66">
        <v>0.3762</v>
      </c>
      <c r="I815" s="82">
        <f t="shared" si="1"/>
        <v>1.050239234</v>
      </c>
      <c r="J815" s="82">
        <f t="shared" si="2"/>
        <v>0.487747958</v>
      </c>
    </row>
    <row r="816">
      <c r="A816" s="83">
        <v>44690.0</v>
      </c>
      <c r="B816" s="66">
        <v>2021.0</v>
      </c>
      <c r="C816" s="66">
        <v>1.0</v>
      </c>
      <c r="D816" s="66" t="s">
        <v>227</v>
      </c>
      <c r="E816" s="66">
        <v>1.0</v>
      </c>
      <c r="F816" s="66">
        <v>1.4335</v>
      </c>
      <c r="G816" s="66">
        <v>0.699</v>
      </c>
      <c r="H816" s="66" t="s">
        <v>277</v>
      </c>
      <c r="I816" s="82">
        <f t="shared" si="1"/>
        <v>1.050786838</v>
      </c>
      <c r="J816" s="82">
        <f t="shared" si="2"/>
        <v>0.4876177189</v>
      </c>
    </row>
    <row r="817">
      <c r="A817" s="83">
        <v>44690.0</v>
      </c>
      <c r="B817" s="66">
        <v>2021.0</v>
      </c>
      <c r="C817" s="66">
        <v>2.0</v>
      </c>
      <c r="D817" s="66" t="s">
        <v>228</v>
      </c>
      <c r="E817" s="66">
        <v>0.0</v>
      </c>
      <c r="F817" s="66">
        <v>0.3008</v>
      </c>
      <c r="G817" s="66">
        <v>0.1466</v>
      </c>
      <c r="I817" s="82">
        <f t="shared" si="1"/>
        <v>1.051841746</v>
      </c>
      <c r="J817" s="82">
        <f t="shared" si="2"/>
        <v>0.4873670213</v>
      </c>
    </row>
    <row r="818">
      <c r="A818" s="83">
        <v>44690.0</v>
      </c>
      <c r="B818" s="66">
        <v>2021.0</v>
      </c>
      <c r="C818" s="66">
        <v>2.0</v>
      </c>
      <c r="D818" s="66" t="s">
        <v>227</v>
      </c>
      <c r="E818" s="66">
        <v>0.0</v>
      </c>
      <c r="F818" s="66">
        <v>0.0616</v>
      </c>
      <c r="G818" s="66">
        <v>0.03</v>
      </c>
      <c r="H818" s="66" t="s">
        <v>276</v>
      </c>
      <c r="I818" s="82">
        <f t="shared" si="1"/>
        <v>1.053333333</v>
      </c>
      <c r="J818" s="82">
        <f t="shared" si="2"/>
        <v>0.487012987</v>
      </c>
    </row>
    <row r="819">
      <c r="A819" s="83">
        <v>44690.0</v>
      </c>
      <c r="B819" s="66">
        <v>2021.0</v>
      </c>
      <c r="C819" s="66">
        <v>2.0</v>
      </c>
      <c r="D819" s="66" t="s">
        <v>227</v>
      </c>
      <c r="E819" s="66">
        <v>1.0</v>
      </c>
      <c r="F819" s="66">
        <v>0.1561</v>
      </c>
      <c r="G819" s="66">
        <v>0.076</v>
      </c>
      <c r="H819" s="66" t="s">
        <v>277</v>
      </c>
      <c r="I819" s="82">
        <f t="shared" si="1"/>
        <v>1.053947368</v>
      </c>
      <c r="J819" s="82">
        <f t="shared" si="2"/>
        <v>0.4868673927</v>
      </c>
    </row>
    <row r="820">
      <c r="A820" s="83">
        <v>44690.0</v>
      </c>
      <c r="B820" s="66">
        <v>2021.0</v>
      </c>
      <c r="C820" s="66">
        <v>3.0</v>
      </c>
      <c r="D820" s="66" t="s">
        <v>228</v>
      </c>
      <c r="E820" s="66">
        <v>0.0</v>
      </c>
      <c r="F820" s="66">
        <v>0.1294</v>
      </c>
      <c r="G820" s="66">
        <v>0.063</v>
      </c>
      <c r="H820" s="66" t="s">
        <v>277</v>
      </c>
      <c r="I820" s="82">
        <f t="shared" si="1"/>
        <v>1.053968254</v>
      </c>
      <c r="J820" s="82">
        <f t="shared" si="2"/>
        <v>0.486862442</v>
      </c>
    </row>
    <row r="821">
      <c r="A821" s="83">
        <v>44690.0</v>
      </c>
      <c r="B821" s="66">
        <v>2021.0</v>
      </c>
      <c r="C821" s="66">
        <v>3.0</v>
      </c>
      <c r="D821" s="66" t="s">
        <v>227</v>
      </c>
      <c r="E821" s="66">
        <v>0.0</v>
      </c>
      <c r="F821" s="66">
        <v>0.1294</v>
      </c>
      <c r="G821" s="66">
        <v>0.063</v>
      </c>
      <c r="H821" s="66" t="s">
        <v>277</v>
      </c>
      <c r="I821" s="82">
        <f t="shared" si="1"/>
        <v>1.053968254</v>
      </c>
      <c r="J821" s="82">
        <f t="shared" si="2"/>
        <v>0.486862442</v>
      </c>
    </row>
    <row r="822">
      <c r="A822" s="83">
        <v>44690.0</v>
      </c>
      <c r="B822" s="66">
        <v>2021.0</v>
      </c>
      <c r="C822" s="66">
        <v>3.0</v>
      </c>
      <c r="D822" s="66" t="s">
        <v>227</v>
      </c>
      <c r="E822" s="66">
        <v>1.0</v>
      </c>
      <c r="F822" s="66">
        <v>0.1471</v>
      </c>
      <c r="G822" s="66">
        <v>0.0716</v>
      </c>
      <c r="H822" s="66" t="s">
        <v>280</v>
      </c>
      <c r="I822" s="82">
        <f t="shared" si="1"/>
        <v>1.054469274</v>
      </c>
      <c r="J822" s="82">
        <f t="shared" si="2"/>
        <v>0.4867437118</v>
      </c>
    </row>
    <row r="823">
      <c r="A823" s="83">
        <v>44690.0</v>
      </c>
      <c r="B823" s="66">
        <v>2022.0</v>
      </c>
      <c r="C823" s="66">
        <v>1.0</v>
      </c>
      <c r="D823" s="66" t="s">
        <v>228</v>
      </c>
      <c r="E823" s="66">
        <v>0.0</v>
      </c>
      <c r="F823" s="66">
        <v>1.0131</v>
      </c>
      <c r="G823" s="66">
        <v>0.4928</v>
      </c>
      <c r="H823" s="66" t="s">
        <v>276</v>
      </c>
      <c r="I823" s="82">
        <f t="shared" si="1"/>
        <v>1.055803571</v>
      </c>
      <c r="J823" s="82">
        <f t="shared" si="2"/>
        <v>0.4864277959</v>
      </c>
    </row>
    <row r="824">
      <c r="A824" s="83">
        <v>44690.0</v>
      </c>
      <c r="B824" s="66">
        <v>2022.0</v>
      </c>
      <c r="C824" s="66">
        <v>1.0</v>
      </c>
      <c r="D824" s="66" t="s">
        <v>228</v>
      </c>
      <c r="E824" s="66">
        <v>1.0</v>
      </c>
      <c r="F824" s="66">
        <v>0.2786</v>
      </c>
      <c r="G824" s="66">
        <v>0.1355</v>
      </c>
      <c r="H824" s="66" t="s">
        <v>277</v>
      </c>
      <c r="I824" s="82">
        <f t="shared" si="1"/>
        <v>1.056088561</v>
      </c>
      <c r="J824" s="82">
        <f t="shared" si="2"/>
        <v>0.4863603733</v>
      </c>
    </row>
    <row r="825">
      <c r="A825" s="83">
        <v>44690.0</v>
      </c>
      <c r="B825" s="66">
        <v>2022.0</v>
      </c>
      <c r="C825" s="66">
        <v>1.0</v>
      </c>
      <c r="D825" s="66" t="s">
        <v>227</v>
      </c>
      <c r="E825" s="66">
        <v>0.0</v>
      </c>
      <c r="F825" s="66">
        <v>1.9536</v>
      </c>
      <c r="G825" s="66">
        <v>0.95</v>
      </c>
      <c r="H825" s="66" t="s">
        <v>277</v>
      </c>
      <c r="I825" s="82">
        <f t="shared" si="1"/>
        <v>1.056421053</v>
      </c>
      <c r="J825" s="82">
        <f t="shared" si="2"/>
        <v>0.4862817363</v>
      </c>
    </row>
    <row r="826">
      <c r="A826" s="83">
        <v>44690.0</v>
      </c>
      <c r="B826" s="66">
        <v>2022.0</v>
      </c>
      <c r="C826" s="66">
        <v>1.0</v>
      </c>
      <c r="D826" s="66" t="s">
        <v>227</v>
      </c>
      <c r="E826" s="66">
        <v>1.0</v>
      </c>
      <c r="F826" s="66">
        <v>1.8329</v>
      </c>
      <c r="G826" s="66">
        <v>0.8913</v>
      </c>
      <c r="I826" s="82">
        <f t="shared" si="1"/>
        <v>1.056434422</v>
      </c>
      <c r="J826" s="82">
        <f t="shared" si="2"/>
        <v>0.4862785749</v>
      </c>
    </row>
    <row r="827">
      <c r="A827" s="83">
        <v>44690.0</v>
      </c>
      <c r="B827" s="66">
        <v>2022.0</v>
      </c>
      <c r="C827" s="66">
        <v>2.0</v>
      </c>
      <c r="D827" s="66" t="s">
        <v>228</v>
      </c>
      <c r="E827" s="66">
        <v>0.0</v>
      </c>
      <c r="F827" s="66">
        <v>0.4031</v>
      </c>
      <c r="G827" s="66">
        <v>0.196</v>
      </c>
      <c r="H827" s="66" t="s">
        <v>277</v>
      </c>
      <c r="I827" s="82">
        <f t="shared" si="1"/>
        <v>1.056632653</v>
      </c>
      <c r="J827" s="82">
        <f t="shared" si="2"/>
        <v>0.4862317043</v>
      </c>
    </row>
    <row r="828">
      <c r="A828" s="83">
        <v>44690.0</v>
      </c>
      <c r="B828" s="66">
        <v>2022.0</v>
      </c>
      <c r="C828" s="66">
        <v>2.0</v>
      </c>
      <c r="D828" s="66" t="s">
        <v>228</v>
      </c>
      <c r="E828" s="66">
        <v>1.0</v>
      </c>
      <c r="F828" s="66">
        <v>0.0681</v>
      </c>
      <c r="G828" s="66">
        <v>0.0331</v>
      </c>
      <c r="H828" s="66" t="s">
        <v>280</v>
      </c>
      <c r="I828" s="82">
        <f t="shared" si="1"/>
        <v>1.057401813</v>
      </c>
      <c r="J828" s="82">
        <f t="shared" si="2"/>
        <v>0.4860499266</v>
      </c>
    </row>
    <row r="829">
      <c r="A829" s="83">
        <v>44690.0</v>
      </c>
      <c r="B829" s="66">
        <v>2022.0</v>
      </c>
      <c r="C829" s="66">
        <v>2.0</v>
      </c>
      <c r="D829" s="66" t="s">
        <v>227</v>
      </c>
      <c r="E829" s="66">
        <v>0.0</v>
      </c>
      <c r="F829" s="66">
        <v>0.1708</v>
      </c>
      <c r="G829" s="66">
        <v>0.083</v>
      </c>
      <c r="I829" s="82">
        <f t="shared" si="1"/>
        <v>1.057831325</v>
      </c>
      <c r="J829" s="82">
        <f t="shared" si="2"/>
        <v>0.4859484778</v>
      </c>
    </row>
    <row r="830">
      <c r="A830" s="83">
        <v>44690.0</v>
      </c>
      <c r="B830" s="66">
        <v>2022.0</v>
      </c>
      <c r="C830" s="66">
        <v>2.0</v>
      </c>
      <c r="D830" s="66" t="s">
        <v>227</v>
      </c>
      <c r="E830" s="66">
        <v>1.0</v>
      </c>
      <c r="F830" s="66">
        <v>0.3411</v>
      </c>
      <c r="G830" s="66">
        <v>0.1657</v>
      </c>
      <c r="I830" s="82">
        <f t="shared" si="1"/>
        <v>1.058539529</v>
      </c>
      <c r="J830" s="82">
        <f t="shared" si="2"/>
        <v>0.4857812958</v>
      </c>
    </row>
    <row r="831">
      <c r="A831" s="83">
        <v>44690.0</v>
      </c>
      <c r="B831" s="66">
        <v>2022.0</v>
      </c>
      <c r="C831" s="66">
        <v>3.0</v>
      </c>
      <c r="D831" s="66" t="s">
        <v>228</v>
      </c>
      <c r="E831" s="66">
        <v>0.0</v>
      </c>
      <c r="F831" s="66">
        <v>0.3129</v>
      </c>
      <c r="G831" s="66">
        <v>0.152</v>
      </c>
      <c r="I831" s="82">
        <f t="shared" si="1"/>
        <v>1.058552632</v>
      </c>
      <c r="J831" s="82">
        <f t="shared" si="2"/>
        <v>0.4857782039</v>
      </c>
    </row>
    <row r="832">
      <c r="A832" s="83">
        <v>44690.0</v>
      </c>
      <c r="B832" s="66">
        <v>2022.0</v>
      </c>
      <c r="C832" s="66">
        <v>3.0</v>
      </c>
      <c r="D832" s="66" t="s">
        <v>228</v>
      </c>
      <c r="E832" s="66">
        <v>1.0</v>
      </c>
      <c r="F832" s="107">
        <v>0.703</v>
      </c>
      <c r="G832" s="66">
        <v>0.3415</v>
      </c>
      <c r="I832" s="82">
        <f t="shared" si="1"/>
        <v>1.058565154</v>
      </c>
      <c r="J832" s="82">
        <f t="shared" si="2"/>
        <v>0.4857752489</v>
      </c>
    </row>
    <row r="833">
      <c r="A833" s="83">
        <v>44690.0</v>
      </c>
      <c r="B833" s="66">
        <v>2022.0</v>
      </c>
      <c r="C833" s="66">
        <v>3.0</v>
      </c>
      <c r="D833" s="66" t="s">
        <v>227</v>
      </c>
      <c r="E833" s="66">
        <v>0.0</v>
      </c>
      <c r="F833" s="66">
        <v>0.1968</v>
      </c>
      <c r="G833" s="66">
        <v>0.0956</v>
      </c>
      <c r="I833" s="82">
        <f t="shared" si="1"/>
        <v>1.058577406</v>
      </c>
      <c r="J833" s="82">
        <f t="shared" si="2"/>
        <v>0.4857723577</v>
      </c>
    </row>
    <row r="834">
      <c r="A834" s="83">
        <v>44690.0</v>
      </c>
      <c r="B834" s="66">
        <v>2022.0</v>
      </c>
      <c r="C834" s="66">
        <v>3.0</v>
      </c>
      <c r="D834" s="66" t="s">
        <v>227</v>
      </c>
      <c r="E834" s="66">
        <v>1.0</v>
      </c>
      <c r="F834" s="66">
        <v>0.4622</v>
      </c>
      <c r="G834" s="66">
        <v>0.2245</v>
      </c>
      <c r="I834" s="82">
        <f t="shared" si="1"/>
        <v>1.058797327</v>
      </c>
      <c r="J834" s="82">
        <f t="shared" si="2"/>
        <v>0.4857204673</v>
      </c>
    </row>
    <row r="835">
      <c r="A835" s="83">
        <v>44690.0</v>
      </c>
      <c r="B835" s="66">
        <v>2023.0</v>
      </c>
      <c r="C835" s="66">
        <v>1.0</v>
      </c>
      <c r="D835" s="66" t="s">
        <v>228</v>
      </c>
      <c r="E835" s="66">
        <v>0.0</v>
      </c>
      <c r="F835" s="66">
        <v>0.175</v>
      </c>
      <c r="G835" s="66">
        <v>0.085</v>
      </c>
      <c r="H835" s="66" t="s">
        <v>277</v>
      </c>
      <c r="I835" s="82">
        <f t="shared" si="1"/>
        <v>1.058823529</v>
      </c>
      <c r="J835" s="82">
        <f t="shared" si="2"/>
        <v>0.4857142857</v>
      </c>
    </row>
    <row r="836">
      <c r="A836" s="83">
        <v>44690.0</v>
      </c>
      <c r="B836" s="66">
        <v>2023.0</v>
      </c>
      <c r="C836" s="66">
        <v>1.0</v>
      </c>
      <c r="D836" s="66" t="s">
        <v>228</v>
      </c>
      <c r="E836" s="66">
        <v>1.0</v>
      </c>
      <c r="F836" s="66">
        <v>1.1178</v>
      </c>
      <c r="G836" s="66">
        <v>0.5429</v>
      </c>
      <c r="I836" s="82">
        <f t="shared" si="1"/>
        <v>1.058942715</v>
      </c>
      <c r="J836" s="82">
        <f t="shared" si="2"/>
        <v>0.4856861693</v>
      </c>
    </row>
    <row r="837">
      <c r="A837" s="83">
        <v>44690.0</v>
      </c>
      <c r="B837" s="66">
        <v>2023.0</v>
      </c>
      <c r="C837" s="66">
        <v>1.0</v>
      </c>
      <c r="D837" s="66" t="s">
        <v>227</v>
      </c>
      <c r="E837" s="66">
        <v>0.0</v>
      </c>
      <c r="F837" s="66">
        <v>0.1351</v>
      </c>
      <c r="G837" s="66">
        <v>0.0656</v>
      </c>
      <c r="H837" s="66" t="s">
        <v>277</v>
      </c>
      <c r="I837" s="82">
        <f t="shared" si="1"/>
        <v>1.05945122</v>
      </c>
      <c r="J837" s="82">
        <f t="shared" si="2"/>
        <v>0.4855662472</v>
      </c>
    </row>
    <row r="838">
      <c r="A838" s="83">
        <v>44690.0</v>
      </c>
      <c r="B838" s="66">
        <v>2023.0</v>
      </c>
      <c r="C838" s="66">
        <v>1.0</v>
      </c>
      <c r="D838" s="66" t="s">
        <v>227</v>
      </c>
      <c r="E838" s="66">
        <v>1.0</v>
      </c>
      <c r="F838" s="66">
        <v>1.4232</v>
      </c>
      <c r="G838" s="107">
        <v>0.691</v>
      </c>
      <c r="I838" s="82">
        <f t="shared" si="1"/>
        <v>1.059623734</v>
      </c>
      <c r="J838" s="82">
        <f t="shared" si="2"/>
        <v>0.4855255762</v>
      </c>
    </row>
    <row r="839">
      <c r="A839" s="83">
        <v>44690.0</v>
      </c>
      <c r="B839" s="66">
        <v>2023.0</v>
      </c>
      <c r="C839" s="66">
        <v>2.0</v>
      </c>
      <c r="D839" s="66" t="s">
        <v>228</v>
      </c>
      <c r="E839" s="66">
        <v>1.0</v>
      </c>
      <c r="F839" s="66">
        <v>0.075</v>
      </c>
      <c r="G839" s="66">
        <v>0.0364</v>
      </c>
      <c r="H839" s="66" t="s">
        <v>277</v>
      </c>
      <c r="I839" s="82">
        <f t="shared" si="1"/>
        <v>1.06043956</v>
      </c>
      <c r="J839" s="82">
        <f t="shared" si="2"/>
        <v>0.4853333333</v>
      </c>
    </row>
    <row r="840">
      <c r="A840" s="83">
        <v>44690.0</v>
      </c>
      <c r="B840" s="66">
        <v>2023.0</v>
      </c>
      <c r="C840" s="66">
        <v>2.0</v>
      </c>
      <c r="D840" s="66" t="s">
        <v>227</v>
      </c>
      <c r="E840" s="66">
        <v>1.0</v>
      </c>
      <c r="F840" s="66">
        <v>0.1294</v>
      </c>
      <c r="G840" s="66">
        <v>0.0628</v>
      </c>
      <c r="I840" s="82">
        <f t="shared" si="1"/>
        <v>1.060509554</v>
      </c>
      <c r="J840" s="82">
        <f t="shared" si="2"/>
        <v>0.485316847</v>
      </c>
    </row>
    <row r="841">
      <c r="A841" s="83">
        <v>44690.0</v>
      </c>
      <c r="B841" s="66">
        <v>2023.0</v>
      </c>
      <c r="C841" s="66">
        <v>3.0</v>
      </c>
      <c r="D841" s="66" t="s">
        <v>228</v>
      </c>
      <c r="E841" s="66">
        <v>0.0</v>
      </c>
      <c r="F841" s="66">
        <v>0.3265</v>
      </c>
      <c r="G841" s="66">
        <v>0.1584</v>
      </c>
      <c r="I841" s="82">
        <f t="shared" si="1"/>
        <v>1.061237374</v>
      </c>
      <c r="J841" s="82">
        <f t="shared" si="2"/>
        <v>0.4851454824</v>
      </c>
    </row>
    <row r="842">
      <c r="A842" s="83">
        <v>44690.0</v>
      </c>
      <c r="B842" s="66">
        <v>2023.0</v>
      </c>
      <c r="C842" s="66">
        <v>3.0</v>
      </c>
      <c r="D842" s="66" t="s">
        <v>227</v>
      </c>
      <c r="E842" s="66">
        <v>0.0</v>
      </c>
      <c r="F842" s="66">
        <v>0.3094</v>
      </c>
      <c r="G842" s="66">
        <v>0.15</v>
      </c>
      <c r="I842" s="82">
        <f t="shared" si="1"/>
        <v>1.062666667</v>
      </c>
      <c r="J842" s="82">
        <f t="shared" si="2"/>
        <v>0.4848093083</v>
      </c>
    </row>
    <row r="843">
      <c r="A843" s="83">
        <v>44690.0</v>
      </c>
      <c r="B843" s="66">
        <v>2024.0</v>
      </c>
      <c r="C843" s="66">
        <v>1.0</v>
      </c>
      <c r="D843" s="66" t="s">
        <v>228</v>
      </c>
      <c r="E843" s="66">
        <v>0.0</v>
      </c>
      <c r="F843" s="66">
        <v>1.651</v>
      </c>
      <c r="G843" s="66">
        <v>0.8004</v>
      </c>
      <c r="H843" s="66" t="s">
        <v>276</v>
      </c>
      <c r="I843" s="82">
        <f t="shared" si="1"/>
        <v>1.062718641</v>
      </c>
      <c r="J843" s="82">
        <f t="shared" si="2"/>
        <v>0.4847970927</v>
      </c>
    </row>
    <row r="844">
      <c r="A844" s="83">
        <v>44690.0</v>
      </c>
      <c r="B844" s="66">
        <v>2024.0</v>
      </c>
      <c r="C844" s="66">
        <v>1.0</v>
      </c>
      <c r="D844" s="66" t="s">
        <v>227</v>
      </c>
      <c r="E844" s="66">
        <v>0.0</v>
      </c>
      <c r="F844" s="66">
        <v>1.05</v>
      </c>
      <c r="G844" s="66">
        <v>0.509</v>
      </c>
      <c r="H844" s="66" t="s">
        <v>277</v>
      </c>
      <c r="I844" s="82">
        <f t="shared" si="1"/>
        <v>1.062868369</v>
      </c>
      <c r="J844" s="82">
        <f t="shared" si="2"/>
        <v>0.4847619048</v>
      </c>
    </row>
    <row r="845">
      <c r="A845" s="83">
        <v>44690.0</v>
      </c>
      <c r="B845" s="66">
        <v>2024.0</v>
      </c>
      <c r="C845" s="66">
        <v>1.0</v>
      </c>
      <c r="D845" s="66" t="s">
        <v>227</v>
      </c>
      <c r="E845" s="66">
        <v>1.0</v>
      </c>
      <c r="F845" s="66">
        <v>0.1073</v>
      </c>
      <c r="G845" s="66">
        <v>0.052</v>
      </c>
      <c r="H845" s="66" t="s">
        <v>277</v>
      </c>
      <c r="I845" s="82">
        <f t="shared" si="1"/>
        <v>1.063461538</v>
      </c>
      <c r="J845" s="82">
        <f t="shared" si="2"/>
        <v>0.4846225536</v>
      </c>
    </row>
    <row r="846">
      <c r="A846" s="83">
        <v>44690.0</v>
      </c>
      <c r="B846" s="66">
        <v>2024.0</v>
      </c>
      <c r="C846" s="66">
        <v>2.0</v>
      </c>
      <c r="D846" s="66" t="s">
        <v>228</v>
      </c>
      <c r="E846" s="66">
        <v>0.0</v>
      </c>
      <c r="F846" s="66">
        <v>0.1063</v>
      </c>
      <c r="G846" s="66">
        <v>0.0515</v>
      </c>
      <c r="I846" s="82">
        <f t="shared" si="1"/>
        <v>1.06407767</v>
      </c>
      <c r="J846" s="82">
        <f t="shared" si="2"/>
        <v>0.4844778928</v>
      </c>
    </row>
    <row r="847">
      <c r="A847" s="83">
        <v>44690.0</v>
      </c>
      <c r="B847" s="66">
        <v>2024.0</v>
      </c>
      <c r="C847" s="66">
        <v>2.0</v>
      </c>
      <c r="D847" s="66" t="s">
        <v>227</v>
      </c>
      <c r="E847" s="66">
        <v>0.0</v>
      </c>
      <c r="F847" s="66">
        <v>0.2663</v>
      </c>
      <c r="G847" s="66">
        <v>0.129</v>
      </c>
      <c r="H847" s="66" t="s">
        <v>276</v>
      </c>
      <c r="I847" s="82">
        <f t="shared" si="1"/>
        <v>1.064341085</v>
      </c>
      <c r="J847" s="82">
        <f t="shared" si="2"/>
        <v>0.4844160721</v>
      </c>
    </row>
    <row r="848">
      <c r="A848" s="83">
        <v>44690.0</v>
      </c>
      <c r="B848" s="66">
        <v>2024.0</v>
      </c>
      <c r="C848" s="66">
        <v>2.0</v>
      </c>
      <c r="D848" s="66" t="s">
        <v>227</v>
      </c>
      <c r="E848" s="66">
        <v>1.0</v>
      </c>
      <c r="F848" s="66">
        <v>0.4792</v>
      </c>
      <c r="G848" s="66">
        <v>0.232</v>
      </c>
      <c r="H848" s="66" t="s">
        <v>276</v>
      </c>
      <c r="I848" s="82">
        <f t="shared" si="1"/>
        <v>1.065517241</v>
      </c>
      <c r="J848" s="82">
        <f t="shared" si="2"/>
        <v>0.4841402337</v>
      </c>
    </row>
    <row r="849">
      <c r="A849" s="83">
        <v>44690.0</v>
      </c>
      <c r="B849" s="66">
        <v>2024.0</v>
      </c>
      <c r="C849" s="66">
        <v>3.0</v>
      </c>
      <c r="D849" s="66" t="s">
        <v>228</v>
      </c>
      <c r="E849" s="66">
        <v>0.0</v>
      </c>
      <c r="F849" s="66">
        <v>0.34</v>
      </c>
      <c r="G849" s="66">
        <v>0.1646</v>
      </c>
      <c r="H849" s="66" t="s">
        <v>276</v>
      </c>
      <c r="I849" s="82">
        <f t="shared" si="1"/>
        <v>1.065613609</v>
      </c>
      <c r="J849" s="82">
        <f t="shared" si="2"/>
        <v>0.4841176471</v>
      </c>
    </row>
    <row r="850">
      <c r="A850" s="83">
        <v>44690.0</v>
      </c>
      <c r="B850" s="66">
        <v>2024.0</v>
      </c>
      <c r="C850" s="66">
        <v>3.0</v>
      </c>
      <c r="D850" s="66" t="s">
        <v>227</v>
      </c>
      <c r="E850" s="66">
        <v>0.0</v>
      </c>
      <c r="F850" s="66">
        <v>2.0733</v>
      </c>
      <c r="G850" s="66">
        <v>1.0037</v>
      </c>
      <c r="I850" s="82">
        <f t="shared" si="1"/>
        <v>1.065657069</v>
      </c>
      <c r="J850" s="82">
        <f t="shared" si="2"/>
        <v>0.4841074615</v>
      </c>
    </row>
    <row r="851">
      <c r="A851" s="83">
        <v>44690.0</v>
      </c>
      <c r="B851" s="66">
        <v>2024.0</v>
      </c>
      <c r="C851" s="66">
        <v>3.0</v>
      </c>
      <c r="D851" s="66" t="s">
        <v>227</v>
      </c>
      <c r="E851" s="66">
        <v>1.0</v>
      </c>
      <c r="F851" s="66">
        <v>0.0847</v>
      </c>
      <c r="G851" s="66">
        <v>0.041</v>
      </c>
      <c r="H851" s="66" t="s">
        <v>277</v>
      </c>
      <c r="I851" s="82">
        <f t="shared" si="1"/>
        <v>1.065853659</v>
      </c>
      <c r="J851" s="82">
        <f t="shared" si="2"/>
        <v>0.4840613932</v>
      </c>
    </row>
    <row r="852">
      <c r="A852" s="83">
        <v>44690.0</v>
      </c>
      <c r="B852" s="66">
        <v>2025.0</v>
      </c>
      <c r="C852" s="66">
        <v>1.0</v>
      </c>
      <c r="D852" s="66" t="s">
        <v>228</v>
      </c>
      <c r="E852" s="66">
        <v>0.0</v>
      </c>
      <c r="F852" s="66">
        <v>0.0469</v>
      </c>
      <c r="G852" s="66">
        <v>0.0227</v>
      </c>
      <c r="H852" s="66" t="s">
        <v>280</v>
      </c>
      <c r="I852" s="82">
        <f t="shared" si="1"/>
        <v>1.066079295</v>
      </c>
      <c r="J852" s="82">
        <f t="shared" si="2"/>
        <v>0.4840085288</v>
      </c>
    </row>
    <row r="853">
      <c r="A853" s="83">
        <v>44690.0</v>
      </c>
      <c r="B853" s="66">
        <v>2025.0</v>
      </c>
      <c r="C853" s="66">
        <v>1.0</v>
      </c>
      <c r="D853" s="66" t="s">
        <v>227</v>
      </c>
      <c r="E853" s="66">
        <v>0.0</v>
      </c>
      <c r="F853" s="66">
        <v>0.2376</v>
      </c>
      <c r="G853" s="66">
        <v>0.115</v>
      </c>
      <c r="H853" s="66" t="s">
        <v>277</v>
      </c>
      <c r="I853" s="82">
        <f t="shared" si="1"/>
        <v>1.066086957</v>
      </c>
      <c r="J853" s="82">
        <f t="shared" si="2"/>
        <v>0.484006734</v>
      </c>
    </row>
    <row r="854">
      <c r="A854" s="83">
        <v>44690.0</v>
      </c>
      <c r="B854" s="66">
        <v>2025.0</v>
      </c>
      <c r="C854" s="66">
        <v>1.0</v>
      </c>
      <c r="D854" s="66" t="s">
        <v>227</v>
      </c>
      <c r="E854" s="66">
        <v>1.0</v>
      </c>
      <c r="F854" s="66">
        <v>0.0715</v>
      </c>
      <c r="G854" s="66">
        <v>0.0346</v>
      </c>
      <c r="H854" s="66" t="s">
        <v>280</v>
      </c>
      <c r="I854" s="82">
        <f t="shared" si="1"/>
        <v>1.066473988</v>
      </c>
      <c r="J854" s="82">
        <f t="shared" si="2"/>
        <v>0.4839160839</v>
      </c>
    </row>
    <row r="855">
      <c r="A855" s="83">
        <v>44690.0</v>
      </c>
      <c r="B855" s="66">
        <v>2025.0</v>
      </c>
      <c r="C855" s="66">
        <v>2.0</v>
      </c>
      <c r="D855" s="66" t="s">
        <v>228</v>
      </c>
      <c r="E855" s="66">
        <v>0.0</v>
      </c>
      <c r="F855" s="66">
        <v>0.6946</v>
      </c>
      <c r="G855" s="66">
        <v>0.3361</v>
      </c>
      <c r="H855" s="66" t="s">
        <v>276</v>
      </c>
      <c r="I855" s="82">
        <f t="shared" si="1"/>
        <v>1.066646831</v>
      </c>
      <c r="J855" s="82">
        <f t="shared" si="2"/>
        <v>0.4838756119</v>
      </c>
    </row>
    <row r="856">
      <c r="A856" s="83">
        <v>44690.0</v>
      </c>
      <c r="B856" s="66">
        <v>2025.0</v>
      </c>
      <c r="C856" s="66">
        <v>2.0</v>
      </c>
      <c r="D856" s="66" t="s">
        <v>227</v>
      </c>
      <c r="E856" s="66">
        <v>0.0</v>
      </c>
      <c r="F856" s="66">
        <v>0.1116</v>
      </c>
      <c r="G856" s="107">
        <v>0.054</v>
      </c>
      <c r="I856" s="82">
        <f t="shared" si="1"/>
        <v>1.066666667</v>
      </c>
      <c r="J856" s="82">
        <f t="shared" si="2"/>
        <v>0.4838709677</v>
      </c>
    </row>
    <row r="857">
      <c r="A857" s="83">
        <v>44690.0</v>
      </c>
      <c r="B857" s="66">
        <v>2025.0</v>
      </c>
      <c r="C857" s="66">
        <v>2.0</v>
      </c>
      <c r="D857" s="66" t="s">
        <v>227</v>
      </c>
      <c r="E857" s="66">
        <v>1.0</v>
      </c>
      <c r="F857" s="66">
        <v>0.0951</v>
      </c>
      <c r="G857" s="66">
        <v>0.046</v>
      </c>
      <c r="I857" s="82">
        <f t="shared" si="1"/>
        <v>1.067391304</v>
      </c>
      <c r="J857" s="82">
        <f t="shared" si="2"/>
        <v>0.483701367</v>
      </c>
    </row>
    <row r="858">
      <c r="A858" s="83">
        <v>44690.0</v>
      </c>
      <c r="B858" s="66">
        <v>2025.0</v>
      </c>
      <c r="C858" s="66">
        <v>3.0</v>
      </c>
      <c r="D858" s="66" t="s">
        <v>228</v>
      </c>
      <c r="E858" s="66">
        <v>0.0</v>
      </c>
      <c r="F858" s="66">
        <v>1.2847</v>
      </c>
      <c r="G858" s="66">
        <v>0.6212</v>
      </c>
      <c r="I858" s="82">
        <f t="shared" si="1"/>
        <v>1.068094012</v>
      </c>
      <c r="J858" s="82">
        <f t="shared" si="2"/>
        <v>0.4835370125</v>
      </c>
    </row>
    <row r="859">
      <c r="A859" s="83">
        <v>44690.0</v>
      </c>
      <c r="B859" s="66">
        <v>2025.0</v>
      </c>
      <c r="C859" s="66">
        <v>3.0</v>
      </c>
      <c r="D859" s="66" t="s">
        <v>227</v>
      </c>
      <c r="E859" s="66">
        <v>0.0</v>
      </c>
      <c r="F859" s="66">
        <v>2.363</v>
      </c>
      <c r="G859" s="66">
        <v>1.1424</v>
      </c>
      <c r="I859" s="82">
        <f t="shared" si="1"/>
        <v>1.068452381</v>
      </c>
      <c r="J859" s="82">
        <f t="shared" si="2"/>
        <v>0.4834532374</v>
      </c>
    </row>
    <row r="860">
      <c r="A860" s="83">
        <v>44690.0</v>
      </c>
      <c r="B860" s="66">
        <v>2025.0</v>
      </c>
      <c r="C860" s="66">
        <v>3.0</v>
      </c>
      <c r="D860" s="66" t="s">
        <v>227</v>
      </c>
      <c r="E860" s="66">
        <v>1.0</v>
      </c>
      <c r="F860" s="66">
        <v>1.2377</v>
      </c>
      <c r="G860" s="66">
        <v>0.5983</v>
      </c>
      <c r="I860" s="82">
        <f t="shared" si="1"/>
        <v>1.068694635</v>
      </c>
      <c r="J860" s="82">
        <f t="shared" si="2"/>
        <v>0.4833966228</v>
      </c>
    </row>
    <row r="861">
      <c r="A861" s="83">
        <v>44690.0</v>
      </c>
      <c r="B861" s="66">
        <v>2026.0</v>
      </c>
      <c r="C861" s="66">
        <v>1.0</v>
      </c>
      <c r="D861" s="66" t="s">
        <v>228</v>
      </c>
      <c r="E861" s="66">
        <v>0.0</v>
      </c>
      <c r="F861" s="66">
        <v>0.1795</v>
      </c>
      <c r="G861" s="66">
        <v>0.0867</v>
      </c>
      <c r="H861" s="66" t="s">
        <v>276</v>
      </c>
      <c r="I861" s="82">
        <f t="shared" si="1"/>
        <v>1.070357555</v>
      </c>
      <c r="J861" s="82">
        <f t="shared" si="2"/>
        <v>0.4830083565</v>
      </c>
    </row>
    <row r="862">
      <c r="A862" s="83">
        <v>44690.0</v>
      </c>
      <c r="B862" s="66">
        <v>2026.0</v>
      </c>
      <c r="C862" s="66">
        <v>1.0</v>
      </c>
      <c r="D862" s="66" t="s">
        <v>227</v>
      </c>
      <c r="E862" s="66">
        <v>0.0</v>
      </c>
      <c r="F862" s="66">
        <v>0.145</v>
      </c>
      <c r="G862" s="66">
        <v>0.07</v>
      </c>
      <c r="I862" s="82">
        <f t="shared" si="1"/>
        <v>1.071428571</v>
      </c>
      <c r="J862" s="82">
        <f t="shared" si="2"/>
        <v>0.4827586207</v>
      </c>
    </row>
    <row r="863">
      <c r="A863" s="83">
        <v>44690.0</v>
      </c>
      <c r="B863" s="66">
        <v>2026.0</v>
      </c>
      <c r="C863" s="66">
        <v>1.0</v>
      </c>
      <c r="D863" s="66" t="s">
        <v>227</v>
      </c>
      <c r="E863" s="66">
        <v>1.0</v>
      </c>
      <c r="F863" s="66">
        <v>0.143</v>
      </c>
      <c r="G863" s="66">
        <v>0.069</v>
      </c>
      <c r="H863" s="66" t="s">
        <v>277</v>
      </c>
      <c r="I863" s="82">
        <f t="shared" si="1"/>
        <v>1.072463768</v>
      </c>
      <c r="J863" s="82">
        <f t="shared" si="2"/>
        <v>0.4825174825</v>
      </c>
    </row>
    <row r="864">
      <c r="A864" s="83">
        <v>44690.0</v>
      </c>
      <c r="B864" s="66">
        <v>2026.0</v>
      </c>
      <c r="C864" s="66">
        <v>2.0</v>
      </c>
      <c r="D864" s="66" t="s">
        <v>228</v>
      </c>
      <c r="E864" s="66">
        <v>0.0</v>
      </c>
      <c r="F864" s="66">
        <v>0.1656</v>
      </c>
      <c r="G864" s="66">
        <v>0.0799</v>
      </c>
      <c r="H864" s="66" t="s">
        <v>277</v>
      </c>
      <c r="I864" s="82">
        <f t="shared" si="1"/>
        <v>1.072590738</v>
      </c>
      <c r="J864" s="82">
        <f t="shared" si="2"/>
        <v>0.4824879227</v>
      </c>
    </row>
    <row r="865">
      <c r="A865" s="83">
        <v>44690.0</v>
      </c>
      <c r="B865" s="66">
        <v>2026.0</v>
      </c>
      <c r="C865" s="66">
        <v>2.0</v>
      </c>
      <c r="D865" s="66" t="s">
        <v>227</v>
      </c>
      <c r="E865" s="66">
        <v>0.0</v>
      </c>
      <c r="F865" s="66">
        <v>0.1534</v>
      </c>
      <c r="G865" s="66">
        <v>0.074</v>
      </c>
      <c r="I865" s="82">
        <f t="shared" si="1"/>
        <v>1.072972973</v>
      </c>
      <c r="J865" s="82">
        <f t="shared" si="2"/>
        <v>0.482398957</v>
      </c>
    </row>
    <row r="866">
      <c r="A866" s="83">
        <v>44690.0</v>
      </c>
      <c r="B866" s="66">
        <v>2026.0</v>
      </c>
      <c r="C866" s="66">
        <v>2.0</v>
      </c>
      <c r="D866" s="66" t="s">
        <v>227</v>
      </c>
      <c r="E866" s="66">
        <v>1.0</v>
      </c>
      <c r="F866" s="66">
        <v>0.9794</v>
      </c>
      <c r="G866" s="66">
        <v>0.4723</v>
      </c>
      <c r="I866" s="82">
        <f t="shared" si="1"/>
        <v>1.073681982</v>
      </c>
      <c r="J866" s="82">
        <f t="shared" si="2"/>
        <v>0.4822340208</v>
      </c>
    </row>
    <row r="867">
      <c r="A867" s="83">
        <v>44690.0</v>
      </c>
      <c r="B867" s="66">
        <v>2026.0</v>
      </c>
      <c r="C867" s="66">
        <v>3.0</v>
      </c>
      <c r="D867" s="66" t="s">
        <v>228</v>
      </c>
      <c r="E867" s="66">
        <v>0.0</v>
      </c>
      <c r="F867" s="66">
        <v>0.253</v>
      </c>
      <c r="G867" s="66">
        <v>0.122</v>
      </c>
      <c r="H867" s="66" t="s">
        <v>277</v>
      </c>
      <c r="I867" s="82">
        <f t="shared" si="1"/>
        <v>1.073770492</v>
      </c>
      <c r="J867" s="82">
        <f t="shared" si="2"/>
        <v>0.4822134387</v>
      </c>
    </row>
    <row r="868">
      <c r="A868" s="83">
        <v>44690.0</v>
      </c>
      <c r="B868" s="66">
        <v>2026.0</v>
      </c>
      <c r="C868" s="66">
        <v>3.0</v>
      </c>
      <c r="D868" s="66" t="s">
        <v>227</v>
      </c>
      <c r="E868" s="66">
        <v>0.0</v>
      </c>
      <c r="F868" s="66">
        <v>0.056</v>
      </c>
      <c r="G868" s="66">
        <v>0.027</v>
      </c>
      <c r="H868" s="66" t="s">
        <v>277</v>
      </c>
      <c r="I868" s="82">
        <f t="shared" si="1"/>
        <v>1.074074074</v>
      </c>
      <c r="J868" s="82">
        <f t="shared" si="2"/>
        <v>0.4821428571</v>
      </c>
    </row>
    <row r="869">
      <c r="A869" s="83">
        <v>44690.0</v>
      </c>
      <c r="B869" s="66">
        <v>2026.0</v>
      </c>
      <c r="C869" s="66">
        <v>3.0</v>
      </c>
      <c r="D869" s="66" t="s">
        <v>227</v>
      </c>
      <c r="E869" s="66">
        <v>1.0</v>
      </c>
      <c r="F869" s="66">
        <v>0.2314</v>
      </c>
      <c r="G869" s="66">
        <v>0.1115</v>
      </c>
      <c r="H869" s="66" t="s">
        <v>276</v>
      </c>
      <c r="I869" s="82">
        <f t="shared" si="1"/>
        <v>1.075336323</v>
      </c>
      <c r="J869" s="82">
        <f t="shared" si="2"/>
        <v>0.4818496111</v>
      </c>
    </row>
    <row r="870">
      <c r="A870" s="83">
        <v>44690.0</v>
      </c>
      <c r="B870" s="66">
        <v>2027.0</v>
      </c>
      <c r="C870" s="66">
        <v>1.0</v>
      </c>
      <c r="D870" s="66" t="s">
        <v>228</v>
      </c>
      <c r="E870" s="66">
        <v>0.0</v>
      </c>
      <c r="F870" s="66">
        <v>0.0519</v>
      </c>
      <c r="G870" s="66">
        <v>0.025</v>
      </c>
      <c r="I870" s="82">
        <f t="shared" si="1"/>
        <v>1.076</v>
      </c>
      <c r="J870" s="82">
        <f t="shared" si="2"/>
        <v>0.4816955684</v>
      </c>
    </row>
    <row r="871">
      <c r="A871" s="83">
        <v>44690.0</v>
      </c>
      <c r="B871" s="66">
        <v>2027.0</v>
      </c>
      <c r="C871" s="66">
        <v>1.0</v>
      </c>
      <c r="D871" s="66" t="s">
        <v>227</v>
      </c>
      <c r="E871" s="66">
        <v>0.0</v>
      </c>
      <c r="F871" s="66">
        <v>2.8076</v>
      </c>
      <c r="G871" s="66">
        <v>1.3516</v>
      </c>
      <c r="H871" s="66" t="s">
        <v>276</v>
      </c>
      <c r="I871" s="82">
        <f t="shared" si="1"/>
        <v>1.077241788</v>
      </c>
      <c r="J871" s="82">
        <f t="shared" si="2"/>
        <v>0.4814076079</v>
      </c>
    </row>
    <row r="872">
      <c r="A872" s="83">
        <v>44690.0</v>
      </c>
      <c r="B872" s="66">
        <v>2027.0</v>
      </c>
      <c r="C872" s="66">
        <v>1.0</v>
      </c>
      <c r="D872" s="66" t="s">
        <v>227</v>
      </c>
      <c r="E872" s="66">
        <v>1.0</v>
      </c>
      <c r="F872" s="66">
        <v>0.2396</v>
      </c>
      <c r="G872" s="66">
        <v>0.1153</v>
      </c>
      <c r="I872" s="82">
        <f t="shared" si="1"/>
        <v>1.078057242</v>
      </c>
      <c r="J872" s="82">
        <f t="shared" si="2"/>
        <v>0.4812186978</v>
      </c>
    </row>
    <row r="873">
      <c r="A873" s="83">
        <v>44690.0</v>
      </c>
      <c r="B873" s="66">
        <v>2027.0</v>
      </c>
      <c r="C873" s="66">
        <v>2.0</v>
      </c>
      <c r="D873" s="66" t="s">
        <v>228</v>
      </c>
      <c r="E873" s="66">
        <v>0.0</v>
      </c>
      <c r="F873" s="66">
        <v>0.3263</v>
      </c>
      <c r="G873" s="66">
        <v>0.157</v>
      </c>
      <c r="H873" s="66" t="s">
        <v>277</v>
      </c>
      <c r="I873" s="82">
        <f t="shared" si="1"/>
        <v>1.078343949</v>
      </c>
      <c r="J873" s="82">
        <f t="shared" si="2"/>
        <v>0.4811523138</v>
      </c>
    </row>
    <row r="874">
      <c r="A874" s="83">
        <v>44690.0</v>
      </c>
      <c r="B874" s="66">
        <v>2027.0</v>
      </c>
      <c r="C874" s="66">
        <v>2.0</v>
      </c>
      <c r="D874" s="66" t="s">
        <v>227</v>
      </c>
      <c r="E874" s="66">
        <v>0.0</v>
      </c>
      <c r="F874" s="66">
        <v>1.2608</v>
      </c>
      <c r="G874" s="66">
        <v>0.6066</v>
      </c>
      <c r="H874" s="66" t="s">
        <v>276</v>
      </c>
      <c r="I874" s="82">
        <f t="shared" si="1"/>
        <v>1.078470162</v>
      </c>
      <c r="J874" s="82">
        <f t="shared" si="2"/>
        <v>0.4811230964</v>
      </c>
    </row>
    <row r="875">
      <c r="A875" s="83">
        <v>44690.0</v>
      </c>
      <c r="B875" s="66">
        <v>2027.0</v>
      </c>
      <c r="C875" s="66">
        <v>2.0</v>
      </c>
      <c r="D875" s="66" t="s">
        <v>227</v>
      </c>
      <c r="E875" s="66">
        <v>1.0</v>
      </c>
      <c r="F875" s="66">
        <v>0.1746</v>
      </c>
      <c r="G875" s="66">
        <v>0.084</v>
      </c>
      <c r="H875" s="66" t="s">
        <v>277</v>
      </c>
      <c r="I875" s="82">
        <f t="shared" si="1"/>
        <v>1.078571429</v>
      </c>
      <c r="J875" s="82">
        <f t="shared" si="2"/>
        <v>0.4810996564</v>
      </c>
    </row>
    <row r="876">
      <c r="A876" s="83">
        <v>44690.0</v>
      </c>
      <c r="B876" s="66">
        <v>2027.0</v>
      </c>
      <c r="C876" s="66">
        <v>3.0</v>
      </c>
      <c r="D876" s="66" t="s">
        <v>228</v>
      </c>
      <c r="E876" s="66">
        <v>0.0</v>
      </c>
      <c r="F876" s="66">
        <v>0.1082</v>
      </c>
      <c r="G876" s="66">
        <v>0.052</v>
      </c>
      <c r="H876" s="66" t="s">
        <v>277</v>
      </c>
      <c r="I876" s="82">
        <f t="shared" si="1"/>
        <v>1.080769231</v>
      </c>
      <c r="J876" s="82">
        <f t="shared" si="2"/>
        <v>0.4805914972</v>
      </c>
    </row>
    <row r="877">
      <c r="A877" s="83">
        <v>44690.0</v>
      </c>
      <c r="B877" s="66">
        <v>2027.0</v>
      </c>
      <c r="C877" s="66">
        <v>3.0</v>
      </c>
      <c r="D877" s="66" t="s">
        <v>227</v>
      </c>
      <c r="E877" s="66">
        <v>0.0</v>
      </c>
      <c r="F877" s="66">
        <v>0.1023</v>
      </c>
      <c r="G877" s="66">
        <v>0.0491</v>
      </c>
      <c r="I877" s="82">
        <f t="shared" si="1"/>
        <v>1.083503055</v>
      </c>
      <c r="J877" s="82">
        <f t="shared" si="2"/>
        <v>0.4799608993</v>
      </c>
    </row>
    <row r="878">
      <c r="A878" s="83">
        <v>44690.0</v>
      </c>
      <c r="B878" s="66">
        <v>2027.0</v>
      </c>
      <c r="C878" s="66">
        <v>3.0</v>
      </c>
      <c r="D878" s="66" t="s">
        <v>227</v>
      </c>
      <c r="E878" s="66">
        <v>1.0</v>
      </c>
      <c r="F878" s="66">
        <v>0.0748</v>
      </c>
      <c r="G878" s="66">
        <v>0.0359</v>
      </c>
      <c r="I878" s="82">
        <f t="shared" si="1"/>
        <v>1.08356546</v>
      </c>
      <c r="J878" s="82">
        <f t="shared" si="2"/>
        <v>0.4799465241</v>
      </c>
    </row>
    <row r="879">
      <c r="A879" s="83">
        <v>44690.0</v>
      </c>
      <c r="B879" s="66">
        <v>2028.0</v>
      </c>
      <c r="C879" s="66">
        <v>1.0</v>
      </c>
      <c r="D879" s="66" t="s">
        <v>228</v>
      </c>
      <c r="E879" s="66">
        <v>0.0</v>
      </c>
      <c r="F879" s="66">
        <v>0.3115</v>
      </c>
      <c r="G879" s="66">
        <v>0.1495</v>
      </c>
      <c r="H879" s="66" t="s">
        <v>276</v>
      </c>
      <c r="I879" s="82">
        <f t="shared" si="1"/>
        <v>1.08361204</v>
      </c>
      <c r="J879" s="82">
        <f t="shared" si="2"/>
        <v>0.4799357945</v>
      </c>
    </row>
    <row r="880">
      <c r="A880" s="83">
        <v>44690.0</v>
      </c>
      <c r="B880" s="66">
        <v>2028.0</v>
      </c>
      <c r="C880" s="66">
        <v>1.0</v>
      </c>
      <c r="D880" s="66" t="s">
        <v>227</v>
      </c>
      <c r="E880" s="66">
        <v>0.0</v>
      </c>
      <c r="F880" s="66">
        <v>0.8364</v>
      </c>
      <c r="G880" s="66">
        <v>0.4013</v>
      </c>
      <c r="H880" s="66" t="s">
        <v>280</v>
      </c>
      <c r="I880" s="82">
        <f t="shared" si="1"/>
        <v>1.084226265</v>
      </c>
      <c r="J880" s="82">
        <f t="shared" si="2"/>
        <v>0.4797943568</v>
      </c>
    </row>
    <row r="881">
      <c r="A881" s="83">
        <v>44690.0</v>
      </c>
      <c r="B881" s="66">
        <v>2028.0</v>
      </c>
      <c r="C881" s="66">
        <v>1.0</v>
      </c>
      <c r="D881" s="66" t="s">
        <v>227</v>
      </c>
      <c r="E881" s="66">
        <v>1.0</v>
      </c>
      <c r="F881" s="66">
        <v>0.711</v>
      </c>
      <c r="G881" s="66">
        <v>0.341</v>
      </c>
      <c r="H881" s="66" t="s">
        <v>277</v>
      </c>
      <c r="I881" s="82">
        <f t="shared" si="1"/>
        <v>1.085043988</v>
      </c>
      <c r="J881" s="82">
        <f t="shared" si="2"/>
        <v>0.4796061885</v>
      </c>
    </row>
    <row r="882">
      <c r="A882" s="83">
        <v>44690.0</v>
      </c>
      <c r="B882" s="66">
        <v>2028.0</v>
      </c>
      <c r="C882" s="66">
        <v>2.0</v>
      </c>
      <c r="D882" s="66" t="s">
        <v>228</v>
      </c>
      <c r="E882" s="66">
        <v>0.0</v>
      </c>
      <c r="F882" s="66">
        <v>0.0584</v>
      </c>
      <c r="G882" s="66">
        <v>0.028</v>
      </c>
      <c r="H882" s="66" t="s">
        <v>280</v>
      </c>
      <c r="I882" s="82">
        <f t="shared" si="1"/>
        <v>1.085714286</v>
      </c>
      <c r="J882" s="82">
        <f t="shared" si="2"/>
        <v>0.4794520548</v>
      </c>
    </row>
    <row r="883">
      <c r="A883" s="83">
        <v>44690.0</v>
      </c>
      <c r="B883" s="66">
        <v>2028.0</v>
      </c>
      <c r="C883" s="66">
        <v>2.0</v>
      </c>
      <c r="D883" s="66" t="s">
        <v>228</v>
      </c>
      <c r="E883" s="66">
        <v>0.0</v>
      </c>
      <c r="F883" s="66">
        <v>0.1481</v>
      </c>
      <c r="G883" s="66">
        <v>0.071</v>
      </c>
      <c r="H883" s="66" t="s">
        <v>277</v>
      </c>
      <c r="I883" s="82">
        <f t="shared" si="1"/>
        <v>1.085915493</v>
      </c>
      <c r="J883" s="82">
        <f t="shared" si="2"/>
        <v>0.4794058069</v>
      </c>
    </row>
    <row r="884">
      <c r="A884" s="83">
        <v>44690.0</v>
      </c>
      <c r="B884" s="66">
        <v>2028.0</v>
      </c>
      <c r="C884" s="66">
        <v>2.0</v>
      </c>
      <c r="D884" s="66" t="s">
        <v>227</v>
      </c>
      <c r="E884" s="66">
        <v>0.0</v>
      </c>
      <c r="F884" s="66">
        <v>0.0891</v>
      </c>
      <c r="G884" s="66">
        <v>0.0427</v>
      </c>
      <c r="I884" s="82">
        <f t="shared" si="1"/>
        <v>1.086651054</v>
      </c>
      <c r="J884" s="82">
        <f t="shared" si="2"/>
        <v>0.4792368126</v>
      </c>
    </row>
    <row r="885">
      <c r="A885" s="83">
        <v>44690.0</v>
      </c>
      <c r="B885" s="66">
        <v>2028.0</v>
      </c>
      <c r="C885" s="66">
        <v>2.0</v>
      </c>
      <c r="D885" s="66" t="s">
        <v>227</v>
      </c>
      <c r="E885" s="66">
        <v>1.0</v>
      </c>
      <c r="F885" s="66">
        <v>0.602</v>
      </c>
      <c r="G885" s="66">
        <v>0.2885</v>
      </c>
      <c r="I885" s="82">
        <f t="shared" si="1"/>
        <v>1.086655113</v>
      </c>
      <c r="J885" s="82">
        <f t="shared" si="2"/>
        <v>0.4792358804</v>
      </c>
    </row>
    <row r="886">
      <c r="A886" s="83">
        <v>44690.0</v>
      </c>
      <c r="B886" s="66">
        <v>2028.0</v>
      </c>
      <c r="C886" s="66">
        <v>2.0</v>
      </c>
      <c r="D886" s="66" t="s">
        <v>227</v>
      </c>
      <c r="E886" s="66">
        <v>1.0</v>
      </c>
      <c r="F886" s="66">
        <v>0.048</v>
      </c>
      <c r="G886" s="66">
        <v>0.023</v>
      </c>
      <c r="I886" s="82">
        <f t="shared" si="1"/>
        <v>1.086956522</v>
      </c>
      <c r="J886" s="82">
        <f t="shared" si="2"/>
        <v>0.4791666667</v>
      </c>
    </row>
    <row r="887">
      <c r="A887" s="83">
        <v>44690.0</v>
      </c>
      <c r="B887" s="66">
        <v>2028.0</v>
      </c>
      <c r="C887" s="66">
        <v>3.0</v>
      </c>
      <c r="D887" s="66" t="s">
        <v>228</v>
      </c>
      <c r="E887" s="66">
        <v>0.0</v>
      </c>
      <c r="F887" s="66">
        <v>0.1292</v>
      </c>
      <c r="G887" s="66">
        <v>0.0619</v>
      </c>
      <c r="I887" s="82">
        <f t="shared" si="1"/>
        <v>1.08723748</v>
      </c>
      <c r="J887" s="82">
        <f t="shared" si="2"/>
        <v>0.4791021672</v>
      </c>
    </row>
    <row r="888">
      <c r="A888" s="83">
        <v>44690.0</v>
      </c>
      <c r="B888" s="66">
        <v>2028.0</v>
      </c>
      <c r="C888" s="66">
        <v>3.0</v>
      </c>
      <c r="D888" s="66" t="s">
        <v>227</v>
      </c>
      <c r="E888" s="66">
        <v>0.0</v>
      </c>
      <c r="F888" s="66">
        <v>0.6672</v>
      </c>
      <c r="G888" s="66">
        <v>0.3196</v>
      </c>
      <c r="H888" s="66" t="s">
        <v>276</v>
      </c>
      <c r="I888" s="82">
        <f t="shared" si="1"/>
        <v>1.087609512</v>
      </c>
      <c r="J888" s="82">
        <f t="shared" si="2"/>
        <v>0.4790167866</v>
      </c>
    </row>
    <row r="889">
      <c r="A889" s="83">
        <v>44690.0</v>
      </c>
      <c r="B889" s="66">
        <v>2028.0</v>
      </c>
      <c r="C889" s="66">
        <v>3.0</v>
      </c>
      <c r="D889" s="66" t="s">
        <v>227</v>
      </c>
      <c r="E889" s="66">
        <v>0.0</v>
      </c>
      <c r="F889" s="66">
        <v>1.3069</v>
      </c>
      <c r="G889" s="66">
        <v>0.6255</v>
      </c>
      <c r="H889" s="66" t="s">
        <v>276</v>
      </c>
      <c r="I889" s="82">
        <f t="shared" si="1"/>
        <v>1.089368505</v>
      </c>
      <c r="J889" s="82">
        <f t="shared" si="2"/>
        <v>0.4786135129</v>
      </c>
    </row>
    <row r="890">
      <c r="A890" s="83">
        <v>44690.0</v>
      </c>
      <c r="B890" s="66">
        <v>2029.0</v>
      </c>
      <c r="C890" s="66">
        <v>1.0</v>
      </c>
      <c r="D890" s="66" t="s">
        <v>228</v>
      </c>
      <c r="E890" s="66">
        <v>0.0</v>
      </c>
      <c r="F890" s="66">
        <v>0.7021</v>
      </c>
      <c r="G890" s="107">
        <v>0.336</v>
      </c>
      <c r="I890" s="82">
        <f t="shared" si="1"/>
        <v>1.089583333</v>
      </c>
      <c r="J890" s="82">
        <f t="shared" si="2"/>
        <v>0.4785643071</v>
      </c>
    </row>
    <row r="891">
      <c r="A891" s="83">
        <v>44690.0</v>
      </c>
      <c r="B891" s="66">
        <v>2029.0</v>
      </c>
      <c r="C891" s="66">
        <v>1.0</v>
      </c>
      <c r="D891" s="66" t="s">
        <v>227</v>
      </c>
      <c r="E891" s="66">
        <v>0.0</v>
      </c>
      <c r="F891" s="66">
        <v>0.4823</v>
      </c>
      <c r="G891" s="66">
        <v>0.2307</v>
      </c>
      <c r="I891" s="82">
        <f t="shared" si="1"/>
        <v>1.090593845</v>
      </c>
      <c r="J891" s="82">
        <f t="shared" si="2"/>
        <v>0.4783329878</v>
      </c>
    </row>
    <row r="892">
      <c r="A892" s="83">
        <v>44690.0</v>
      </c>
      <c r="B892" s="66">
        <v>2029.0</v>
      </c>
      <c r="C892" s="66">
        <v>2.0</v>
      </c>
      <c r="D892" s="66" t="s">
        <v>228</v>
      </c>
      <c r="E892" s="66">
        <v>0.0</v>
      </c>
      <c r="F892" s="66">
        <v>0.046</v>
      </c>
      <c r="G892" s="66">
        <v>0.022</v>
      </c>
      <c r="H892" s="66" t="s">
        <v>277</v>
      </c>
      <c r="I892" s="82">
        <f t="shared" si="1"/>
        <v>1.090909091</v>
      </c>
      <c r="J892" s="82">
        <f t="shared" si="2"/>
        <v>0.4782608696</v>
      </c>
    </row>
    <row r="893">
      <c r="A893" s="83">
        <v>44690.0</v>
      </c>
      <c r="B893" s="66">
        <v>2029.0</v>
      </c>
      <c r="C893" s="66">
        <v>2.0</v>
      </c>
      <c r="D893" s="66" t="s">
        <v>228</v>
      </c>
      <c r="E893" s="66">
        <v>1.0</v>
      </c>
      <c r="F893" s="66">
        <v>0.2865</v>
      </c>
      <c r="G893" s="66">
        <v>0.137</v>
      </c>
      <c r="H893" s="66" t="s">
        <v>277</v>
      </c>
      <c r="I893" s="82">
        <f t="shared" si="1"/>
        <v>1.091240876</v>
      </c>
      <c r="J893" s="82">
        <f t="shared" si="2"/>
        <v>0.4781849913</v>
      </c>
    </row>
    <row r="894">
      <c r="A894" s="83">
        <v>44690.0</v>
      </c>
      <c r="B894" s="66">
        <v>2029.0</v>
      </c>
      <c r="C894" s="66">
        <v>2.0</v>
      </c>
      <c r="D894" s="66" t="s">
        <v>227</v>
      </c>
      <c r="E894" s="66">
        <v>0.0</v>
      </c>
      <c r="F894" s="66">
        <v>1.456</v>
      </c>
      <c r="G894" s="66">
        <v>0.696</v>
      </c>
      <c r="H894" s="66" t="s">
        <v>278</v>
      </c>
      <c r="I894" s="82">
        <f t="shared" si="1"/>
        <v>1.091954023</v>
      </c>
      <c r="J894" s="82">
        <f t="shared" si="2"/>
        <v>0.478021978</v>
      </c>
    </row>
    <row r="895">
      <c r="A895" s="83">
        <v>44690.0</v>
      </c>
      <c r="B895" s="66">
        <v>2029.0</v>
      </c>
      <c r="C895" s="66">
        <v>2.0</v>
      </c>
      <c r="D895" s="66" t="s">
        <v>227</v>
      </c>
      <c r="E895" s="66">
        <v>1.0</v>
      </c>
      <c r="F895" s="66">
        <v>1.1223</v>
      </c>
      <c r="G895" s="66">
        <v>0.5362</v>
      </c>
      <c r="H895" s="66" t="s">
        <v>276</v>
      </c>
      <c r="I895" s="82">
        <f t="shared" si="1"/>
        <v>1.09306229</v>
      </c>
      <c r="J895" s="82">
        <f t="shared" si="2"/>
        <v>0.4777688675</v>
      </c>
    </row>
    <row r="896">
      <c r="A896" s="83">
        <v>44690.0</v>
      </c>
      <c r="B896" s="66">
        <v>2029.0</v>
      </c>
      <c r="C896" s="66">
        <v>3.0</v>
      </c>
      <c r="D896" s="66" t="s">
        <v>228</v>
      </c>
      <c r="E896" s="66">
        <v>0.0</v>
      </c>
      <c r="F896" s="66">
        <v>1.9718</v>
      </c>
      <c r="G896" s="66">
        <v>0.9419</v>
      </c>
      <c r="I896" s="82">
        <f t="shared" si="1"/>
        <v>1.093428177</v>
      </c>
      <c r="J896" s="82">
        <f t="shared" si="2"/>
        <v>0.4776853636</v>
      </c>
    </row>
    <row r="897">
      <c r="A897" s="83">
        <v>44690.0</v>
      </c>
      <c r="B897" s="66">
        <v>2029.0</v>
      </c>
      <c r="C897" s="66">
        <v>3.0</v>
      </c>
      <c r="D897" s="66" t="s">
        <v>228</v>
      </c>
      <c r="E897" s="66">
        <v>1.0</v>
      </c>
      <c r="F897" s="66">
        <v>0.1947</v>
      </c>
      <c r="G897" s="66">
        <v>0.093</v>
      </c>
      <c r="I897" s="82">
        <f t="shared" si="1"/>
        <v>1.093548387</v>
      </c>
      <c r="J897" s="82">
        <f t="shared" si="2"/>
        <v>0.4776579353</v>
      </c>
    </row>
    <row r="898">
      <c r="A898" s="83">
        <v>44690.0</v>
      </c>
      <c r="B898" s="66">
        <v>2029.0</v>
      </c>
      <c r="C898" s="66">
        <v>3.0</v>
      </c>
      <c r="D898" s="66" t="s">
        <v>227</v>
      </c>
      <c r="E898" s="66">
        <v>0.0</v>
      </c>
      <c r="F898" s="66">
        <v>0.6243</v>
      </c>
      <c r="G898" s="66">
        <v>0.2982</v>
      </c>
      <c r="I898" s="82">
        <f t="shared" si="1"/>
        <v>1.093561368</v>
      </c>
      <c r="J898" s="82">
        <f t="shared" si="2"/>
        <v>0.4776549736</v>
      </c>
    </row>
    <row r="899">
      <c r="A899" s="83">
        <v>44690.0</v>
      </c>
      <c r="B899" s="66">
        <v>2029.0</v>
      </c>
      <c r="C899" s="66">
        <v>3.0</v>
      </c>
      <c r="D899" s="66" t="s">
        <v>227</v>
      </c>
      <c r="E899" s="66">
        <v>1.0</v>
      </c>
      <c r="F899" s="66">
        <v>0.6539</v>
      </c>
      <c r="G899" s="66">
        <v>0.312</v>
      </c>
      <c r="H899" s="66" t="s">
        <v>280</v>
      </c>
      <c r="I899" s="82">
        <f t="shared" si="1"/>
        <v>1.095833333</v>
      </c>
      <c r="J899" s="82">
        <f t="shared" si="2"/>
        <v>0.4771371769</v>
      </c>
    </row>
    <row r="900">
      <c r="A900" s="83">
        <v>44690.0</v>
      </c>
      <c r="B900" s="66">
        <v>2030.0</v>
      </c>
      <c r="C900" s="66">
        <v>1.0</v>
      </c>
      <c r="D900" s="66" t="s">
        <v>228</v>
      </c>
      <c r="E900" s="66">
        <v>0.0</v>
      </c>
      <c r="F900" s="66">
        <v>0.1292</v>
      </c>
      <c r="G900" s="66">
        <v>0.0616</v>
      </c>
      <c r="I900" s="82">
        <f t="shared" si="1"/>
        <v>1.097402597</v>
      </c>
      <c r="J900" s="82">
        <f t="shared" si="2"/>
        <v>0.4767801858</v>
      </c>
    </row>
    <row r="901">
      <c r="A901" s="83">
        <v>44690.0</v>
      </c>
      <c r="B901" s="66">
        <v>2030.0</v>
      </c>
      <c r="C901" s="66">
        <v>1.0</v>
      </c>
      <c r="D901" s="66" t="s">
        <v>228</v>
      </c>
      <c r="E901" s="66">
        <v>1.0</v>
      </c>
      <c r="F901" s="66">
        <v>0.5181</v>
      </c>
      <c r="G901" s="66">
        <v>0.247</v>
      </c>
      <c r="H901" s="66" t="s">
        <v>276</v>
      </c>
      <c r="I901" s="82">
        <f t="shared" si="1"/>
        <v>1.09757085</v>
      </c>
      <c r="J901" s="82">
        <f t="shared" si="2"/>
        <v>0.4767419417</v>
      </c>
    </row>
    <row r="902">
      <c r="A902" s="83">
        <v>44690.0</v>
      </c>
      <c r="B902" s="66">
        <v>2030.0</v>
      </c>
      <c r="C902" s="66">
        <v>1.0</v>
      </c>
      <c r="D902" s="66" t="s">
        <v>227</v>
      </c>
      <c r="E902" s="66">
        <v>0.0</v>
      </c>
      <c r="F902" s="66">
        <v>0.0781</v>
      </c>
      <c r="G902" s="66">
        <v>0.0372</v>
      </c>
      <c r="H902" s="66" t="s">
        <v>276</v>
      </c>
      <c r="I902" s="82">
        <f t="shared" si="1"/>
        <v>1.099462366</v>
      </c>
      <c r="J902" s="82">
        <f t="shared" si="2"/>
        <v>0.47631242</v>
      </c>
    </row>
    <row r="903">
      <c r="A903" s="83">
        <v>44690.0</v>
      </c>
      <c r="B903" s="66">
        <v>2030.0</v>
      </c>
      <c r="C903" s="66">
        <v>1.0</v>
      </c>
      <c r="D903" s="66" t="s">
        <v>227</v>
      </c>
      <c r="E903" s="66">
        <v>1.0</v>
      </c>
      <c r="F903" s="66">
        <v>0.4302</v>
      </c>
      <c r="G903" s="66">
        <v>0.2049</v>
      </c>
      <c r="I903" s="82">
        <f t="shared" si="1"/>
        <v>1.099560761</v>
      </c>
      <c r="J903" s="82">
        <f t="shared" si="2"/>
        <v>0.4762900976</v>
      </c>
    </row>
    <row r="904">
      <c r="A904" s="83">
        <v>44690.0</v>
      </c>
      <c r="B904" s="66">
        <v>2030.0</v>
      </c>
      <c r="C904" s="66">
        <v>2.0</v>
      </c>
      <c r="D904" s="66" t="s">
        <v>228</v>
      </c>
      <c r="E904" s="66">
        <v>0.0</v>
      </c>
      <c r="F904" s="66">
        <v>0.147</v>
      </c>
      <c r="G904" s="66">
        <v>0.07</v>
      </c>
      <c r="I904" s="82">
        <f t="shared" si="1"/>
        <v>1.1</v>
      </c>
      <c r="J904" s="82">
        <f t="shared" si="2"/>
        <v>0.4761904762</v>
      </c>
    </row>
    <row r="905">
      <c r="A905" s="83">
        <v>44690.0</v>
      </c>
      <c r="B905" s="66">
        <v>2030.0</v>
      </c>
      <c r="C905" s="66">
        <v>2.0</v>
      </c>
      <c r="D905" s="66" t="s">
        <v>228</v>
      </c>
      <c r="E905" s="66">
        <v>1.0</v>
      </c>
      <c r="F905" s="66">
        <v>0.0399</v>
      </c>
      <c r="G905" s="66">
        <v>0.019</v>
      </c>
      <c r="I905" s="82">
        <f t="shared" si="1"/>
        <v>1.1</v>
      </c>
      <c r="J905" s="82">
        <f t="shared" si="2"/>
        <v>0.4761904762</v>
      </c>
    </row>
    <row r="906">
      <c r="A906" s="83">
        <v>44690.0</v>
      </c>
      <c r="B906" s="66">
        <v>2030.0</v>
      </c>
      <c r="C906" s="66">
        <v>2.0</v>
      </c>
      <c r="D906" s="66" t="s">
        <v>227</v>
      </c>
      <c r="E906" s="66">
        <v>0.0</v>
      </c>
      <c r="F906" s="66">
        <v>0.2654</v>
      </c>
      <c r="G906" s="66">
        <v>0.1263</v>
      </c>
      <c r="H906" s="66" t="s">
        <v>276</v>
      </c>
      <c r="I906" s="82">
        <f t="shared" si="1"/>
        <v>1.101346002</v>
      </c>
      <c r="J906" s="82">
        <f t="shared" si="2"/>
        <v>0.4758854559</v>
      </c>
    </row>
    <row r="907">
      <c r="A907" s="83">
        <v>44690.0</v>
      </c>
      <c r="B907" s="66">
        <v>2030.0</v>
      </c>
      <c r="C907" s="66">
        <v>2.0</v>
      </c>
      <c r="D907" s="66" t="s">
        <v>227</v>
      </c>
      <c r="E907" s="66">
        <v>1.0</v>
      </c>
      <c r="F907" s="66">
        <v>2.5311</v>
      </c>
      <c r="G907" s="66">
        <v>1.2044</v>
      </c>
      <c r="H907" s="66" t="s">
        <v>276</v>
      </c>
      <c r="I907" s="82">
        <f t="shared" si="1"/>
        <v>1.101544337</v>
      </c>
      <c r="J907" s="82">
        <f t="shared" si="2"/>
        <v>0.4758405436</v>
      </c>
    </row>
    <row r="908">
      <c r="A908" s="83">
        <v>44690.0</v>
      </c>
      <c r="B908" s="66">
        <v>2030.0</v>
      </c>
      <c r="C908" s="66">
        <v>3.0</v>
      </c>
      <c r="D908" s="66" t="s">
        <v>228</v>
      </c>
      <c r="E908" s="66">
        <v>0.0</v>
      </c>
      <c r="F908" s="66">
        <v>0.1373</v>
      </c>
      <c r="G908" s="66">
        <v>0.0653</v>
      </c>
      <c r="H908" s="66" t="s">
        <v>280</v>
      </c>
      <c r="I908" s="82">
        <f t="shared" si="1"/>
        <v>1.102603369</v>
      </c>
      <c r="J908" s="82">
        <f t="shared" si="2"/>
        <v>0.475600874</v>
      </c>
    </row>
    <row r="909">
      <c r="A909" s="83">
        <v>44690.0</v>
      </c>
      <c r="B909" s="66">
        <v>2030.0</v>
      </c>
      <c r="C909" s="66">
        <v>3.0</v>
      </c>
      <c r="D909" s="66" t="s">
        <v>228</v>
      </c>
      <c r="E909" s="66">
        <v>1.0</v>
      </c>
      <c r="F909" s="66">
        <v>0.1199</v>
      </c>
      <c r="G909" s="66">
        <v>0.057</v>
      </c>
      <c r="H909" s="66" t="s">
        <v>276</v>
      </c>
      <c r="I909" s="82">
        <f t="shared" si="1"/>
        <v>1.103508772</v>
      </c>
      <c r="J909" s="82">
        <f t="shared" si="2"/>
        <v>0.4753961635</v>
      </c>
    </row>
    <row r="910">
      <c r="A910" s="83">
        <v>44690.0</v>
      </c>
      <c r="B910" s="66">
        <v>2030.0</v>
      </c>
      <c r="C910" s="66">
        <v>3.0</v>
      </c>
      <c r="D910" s="66" t="s">
        <v>227</v>
      </c>
      <c r="E910" s="66">
        <v>0.0</v>
      </c>
      <c r="F910" s="66">
        <v>0.1948</v>
      </c>
      <c r="G910" s="66">
        <v>0.0926</v>
      </c>
      <c r="H910" s="66" t="s">
        <v>276</v>
      </c>
      <c r="I910" s="82">
        <f t="shared" si="1"/>
        <v>1.103671706</v>
      </c>
      <c r="J910" s="82">
        <f t="shared" si="2"/>
        <v>0.4753593429</v>
      </c>
    </row>
    <row r="911">
      <c r="A911" s="83">
        <v>44690.0</v>
      </c>
      <c r="B911" s="66">
        <v>2030.0</v>
      </c>
      <c r="C911" s="66">
        <v>3.0</v>
      </c>
      <c r="D911" s="66" t="s">
        <v>227</v>
      </c>
      <c r="E911" s="66">
        <v>1.0</v>
      </c>
      <c r="F911" s="66">
        <v>0.0484</v>
      </c>
      <c r="G911" s="66">
        <v>0.023</v>
      </c>
      <c r="H911" s="66" t="s">
        <v>276</v>
      </c>
      <c r="I911" s="82">
        <f t="shared" si="1"/>
        <v>1.104347826</v>
      </c>
      <c r="J911" s="82">
        <f t="shared" si="2"/>
        <v>0.4752066116</v>
      </c>
    </row>
    <row r="912">
      <c r="A912" s="83">
        <v>44690.0</v>
      </c>
      <c r="B912" s="66">
        <v>2031.0</v>
      </c>
      <c r="C912" s="66">
        <v>1.0</v>
      </c>
      <c r="D912" s="66" t="s">
        <v>228</v>
      </c>
      <c r="E912" s="66">
        <v>0.0</v>
      </c>
      <c r="F912" s="66">
        <v>0.2923</v>
      </c>
      <c r="G912" s="66">
        <v>0.1389</v>
      </c>
      <c r="I912" s="82">
        <f t="shared" si="1"/>
        <v>1.104391649</v>
      </c>
      <c r="J912" s="82">
        <f t="shared" si="2"/>
        <v>0.4751967157</v>
      </c>
    </row>
    <row r="913">
      <c r="A913" s="83">
        <v>44690.0</v>
      </c>
      <c r="B913" s="66">
        <v>2031.0</v>
      </c>
      <c r="C913" s="66">
        <v>1.0</v>
      </c>
      <c r="D913" s="66" t="s">
        <v>227</v>
      </c>
      <c r="E913" s="66">
        <v>0.0</v>
      </c>
      <c r="F913" s="66">
        <v>0.7054</v>
      </c>
      <c r="G913" s="66">
        <v>0.335</v>
      </c>
      <c r="H913" s="66" t="s">
        <v>277</v>
      </c>
      <c r="I913" s="82">
        <f t="shared" si="1"/>
        <v>1.105671642</v>
      </c>
      <c r="J913" s="82">
        <f t="shared" si="2"/>
        <v>0.4749078537</v>
      </c>
    </row>
    <row r="914">
      <c r="A914" s="83">
        <v>44690.0</v>
      </c>
      <c r="B914" s="66">
        <v>2031.0</v>
      </c>
      <c r="C914" s="66">
        <v>1.0</v>
      </c>
      <c r="D914" s="66" t="s">
        <v>227</v>
      </c>
      <c r="E914" s="66">
        <v>1.0</v>
      </c>
      <c r="F914" s="66">
        <v>0.3643</v>
      </c>
      <c r="G914" s="66">
        <v>0.173</v>
      </c>
      <c r="H914" s="66" t="s">
        <v>276</v>
      </c>
      <c r="I914" s="82">
        <f t="shared" si="1"/>
        <v>1.105780347</v>
      </c>
      <c r="J914" s="82">
        <f t="shared" si="2"/>
        <v>0.4748833379</v>
      </c>
    </row>
    <row r="915">
      <c r="A915" s="83">
        <v>44690.0</v>
      </c>
      <c r="B915" s="66">
        <v>2031.0</v>
      </c>
      <c r="C915" s="66">
        <v>2.0</v>
      </c>
      <c r="D915" s="66" t="s">
        <v>228</v>
      </c>
      <c r="E915" s="66">
        <v>0.0</v>
      </c>
      <c r="F915" s="66">
        <v>0.2609</v>
      </c>
      <c r="G915" s="66">
        <v>0.1238</v>
      </c>
      <c r="H915" s="66" t="s">
        <v>276</v>
      </c>
      <c r="I915" s="82">
        <f t="shared" si="1"/>
        <v>1.107431341</v>
      </c>
      <c r="J915" s="82">
        <f t="shared" si="2"/>
        <v>0.474511307</v>
      </c>
    </row>
    <row r="916">
      <c r="A916" s="83">
        <v>44690.0</v>
      </c>
      <c r="B916" s="66">
        <v>2031.0</v>
      </c>
      <c r="C916" s="66">
        <v>2.0</v>
      </c>
      <c r="D916" s="66" t="s">
        <v>227</v>
      </c>
      <c r="E916" s="66">
        <v>0.0</v>
      </c>
      <c r="F916" s="66">
        <v>0.1189</v>
      </c>
      <c r="G916" s="66">
        <v>0.0564</v>
      </c>
      <c r="I916" s="82">
        <f t="shared" si="1"/>
        <v>1.108156028</v>
      </c>
      <c r="J916" s="82">
        <f t="shared" si="2"/>
        <v>0.4743481918</v>
      </c>
    </row>
    <row r="917">
      <c r="A917" s="83">
        <v>44690.0</v>
      </c>
      <c r="B917" s="66">
        <v>2031.0</v>
      </c>
      <c r="C917" s="66">
        <v>2.0</v>
      </c>
      <c r="D917" s="66" t="s">
        <v>227</v>
      </c>
      <c r="E917" s="66">
        <v>1.0</v>
      </c>
      <c r="F917" s="66">
        <v>0.2579</v>
      </c>
      <c r="G917" s="66">
        <v>0.1223</v>
      </c>
      <c r="I917" s="82">
        <f t="shared" si="1"/>
        <v>1.108748978</v>
      </c>
      <c r="J917" s="82">
        <f t="shared" si="2"/>
        <v>0.4742148119</v>
      </c>
    </row>
    <row r="918">
      <c r="A918" s="83">
        <v>44690.0</v>
      </c>
      <c r="B918" s="66">
        <v>2031.0</v>
      </c>
      <c r="C918" s="66">
        <v>3.0</v>
      </c>
      <c r="D918" s="66" t="s">
        <v>228</v>
      </c>
      <c r="E918" s="66">
        <v>0.0</v>
      </c>
      <c r="F918" s="66">
        <v>0.6069</v>
      </c>
      <c r="G918" s="66">
        <v>0.2878</v>
      </c>
      <c r="I918" s="82">
        <f t="shared" si="1"/>
        <v>1.108756081</v>
      </c>
      <c r="J918" s="82">
        <f t="shared" si="2"/>
        <v>0.4742132147</v>
      </c>
    </row>
    <row r="919">
      <c r="A919" s="83">
        <v>44690.0</v>
      </c>
      <c r="B919" s="66">
        <v>2031.0</v>
      </c>
      <c r="C919" s="66">
        <v>3.0</v>
      </c>
      <c r="D919" s="66" t="s">
        <v>227</v>
      </c>
      <c r="E919" s="66">
        <v>0.0</v>
      </c>
      <c r="F919" s="66">
        <v>0.1464</v>
      </c>
      <c r="G919" s="66">
        <v>0.0694</v>
      </c>
      <c r="I919" s="82">
        <f t="shared" si="1"/>
        <v>1.109510086</v>
      </c>
      <c r="J919" s="82">
        <f t="shared" si="2"/>
        <v>0.4740437158</v>
      </c>
    </row>
    <row r="920">
      <c r="A920" s="83">
        <v>44690.0</v>
      </c>
      <c r="B920" s="66">
        <v>2031.0</v>
      </c>
      <c r="C920" s="66">
        <v>3.0</v>
      </c>
      <c r="D920" s="66" t="s">
        <v>227</v>
      </c>
      <c r="E920" s="66">
        <v>1.0</v>
      </c>
      <c r="F920" s="66">
        <v>1.4029</v>
      </c>
      <c r="G920" s="66">
        <v>0.6649</v>
      </c>
      <c r="H920" s="66" t="s">
        <v>276</v>
      </c>
      <c r="I920" s="82">
        <f t="shared" si="1"/>
        <v>1.109941345</v>
      </c>
      <c r="J920" s="82">
        <f t="shared" si="2"/>
        <v>0.4739468244</v>
      </c>
    </row>
    <row r="921">
      <c r="A921" s="83">
        <v>44690.0</v>
      </c>
      <c r="B921" s="66">
        <v>2080.0</v>
      </c>
      <c r="C921" s="66">
        <v>1.0</v>
      </c>
      <c r="D921" s="66" t="s">
        <v>228</v>
      </c>
      <c r="E921" s="66">
        <v>0.0</v>
      </c>
      <c r="F921" s="66">
        <v>0.0422</v>
      </c>
      <c r="G921" s="66">
        <v>0.02</v>
      </c>
      <c r="H921" s="66" t="s">
        <v>277</v>
      </c>
      <c r="I921" s="82">
        <f t="shared" si="1"/>
        <v>1.11</v>
      </c>
      <c r="J921" s="82">
        <f t="shared" si="2"/>
        <v>0.4739336493</v>
      </c>
    </row>
    <row r="922">
      <c r="A922" s="83">
        <v>44690.0</v>
      </c>
      <c r="B922" s="66">
        <v>2085.0</v>
      </c>
      <c r="C922" s="66">
        <v>1.0</v>
      </c>
      <c r="D922" s="66" t="s">
        <v>228</v>
      </c>
      <c r="E922" s="66">
        <v>0.0</v>
      </c>
      <c r="F922" s="66">
        <v>0.2414</v>
      </c>
      <c r="G922" s="66">
        <v>0.1144</v>
      </c>
      <c r="H922" s="66" t="s">
        <v>276</v>
      </c>
      <c r="I922" s="82">
        <f t="shared" si="1"/>
        <v>1.11013986</v>
      </c>
      <c r="J922" s="82">
        <f t="shared" si="2"/>
        <v>0.473902237</v>
      </c>
    </row>
    <row r="923">
      <c r="A923" s="83">
        <v>44690.0</v>
      </c>
      <c r="B923" s="66">
        <v>2085.0</v>
      </c>
      <c r="C923" s="66">
        <v>1.0</v>
      </c>
      <c r="D923" s="66" t="s">
        <v>227</v>
      </c>
      <c r="E923" s="66">
        <v>0.0</v>
      </c>
      <c r="F923" s="66">
        <v>0.133</v>
      </c>
      <c r="G923" s="66">
        <v>0.063</v>
      </c>
      <c r="H923" s="66" t="s">
        <v>277</v>
      </c>
      <c r="I923" s="82">
        <f t="shared" si="1"/>
        <v>1.111111111</v>
      </c>
      <c r="J923" s="82">
        <f t="shared" si="2"/>
        <v>0.4736842105</v>
      </c>
    </row>
    <row r="924">
      <c r="A924" s="83">
        <v>44690.0</v>
      </c>
      <c r="B924" s="66">
        <v>2085.0</v>
      </c>
      <c r="C924" s="66">
        <v>1.0</v>
      </c>
      <c r="D924" s="66" t="s">
        <v>227</v>
      </c>
      <c r="E924" s="66">
        <v>1.0</v>
      </c>
      <c r="F924" s="66">
        <v>0.7958</v>
      </c>
      <c r="G924" s="66">
        <v>0.3769</v>
      </c>
      <c r="I924" s="82">
        <f t="shared" si="1"/>
        <v>1.111435394</v>
      </c>
      <c r="J924" s="82">
        <f t="shared" si="2"/>
        <v>0.4736114602</v>
      </c>
    </row>
    <row r="925">
      <c r="A925" s="83">
        <v>44690.0</v>
      </c>
      <c r="B925" s="66">
        <v>2085.0</v>
      </c>
      <c r="C925" s="66">
        <v>2.0</v>
      </c>
      <c r="D925" s="66" t="s">
        <v>228</v>
      </c>
      <c r="E925" s="66">
        <v>0.0</v>
      </c>
      <c r="F925" s="66">
        <v>0.521</v>
      </c>
      <c r="G925" s="66">
        <v>0.2465</v>
      </c>
      <c r="I925" s="82">
        <f t="shared" si="1"/>
        <v>1.113590264</v>
      </c>
      <c r="J925" s="82">
        <f t="shared" si="2"/>
        <v>0.4731285988</v>
      </c>
    </row>
    <row r="926">
      <c r="A926" s="83">
        <v>44690.0</v>
      </c>
      <c r="B926" s="66">
        <v>2085.0</v>
      </c>
      <c r="C926" s="66">
        <v>2.0</v>
      </c>
      <c r="D926" s="66" t="s">
        <v>227</v>
      </c>
      <c r="E926" s="66">
        <v>0.0</v>
      </c>
      <c r="F926" s="66">
        <v>0.6439</v>
      </c>
      <c r="G926" s="66">
        <v>0.3046</v>
      </c>
      <c r="H926" s="66" t="s">
        <v>276</v>
      </c>
      <c r="I926" s="82">
        <f t="shared" si="1"/>
        <v>1.113919895</v>
      </c>
      <c r="J926" s="82">
        <f t="shared" si="2"/>
        <v>0.4730548222</v>
      </c>
    </row>
    <row r="927">
      <c r="A927" s="83">
        <v>44690.0</v>
      </c>
      <c r="B927" s="66">
        <v>2085.0</v>
      </c>
      <c r="C927" s="66">
        <v>2.0</v>
      </c>
      <c r="D927" s="66" t="s">
        <v>227</v>
      </c>
      <c r="E927" s="66">
        <v>1.0</v>
      </c>
      <c r="F927" s="66">
        <v>0.167</v>
      </c>
      <c r="G927" s="66">
        <v>0.079</v>
      </c>
      <c r="H927" s="66" t="s">
        <v>277</v>
      </c>
      <c r="I927" s="82">
        <f t="shared" si="1"/>
        <v>1.113924051</v>
      </c>
      <c r="J927" s="82">
        <f t="shared" si="2"/>
        <v>0.4730538922</v>
      </c>
    </row>
    <row r="928">
      <c r="A928" s="83">
        <v>44690.0</v>
      </c>
      <c r="B928" s="66">
        <v>2086.0</v>
      </c>
      <c r="C928" s="66">
        <v>1.0</v>
      </c>
      <c r="D928" s="66" t="s">
        <v>227</v>
      </c>
      <c r="E928" s="66">
        <v>0.0</v>
      </c>
      <c r="F928" s="66">
        <v>0.2859</v>
      </c>
      <c r="G928" s="66">
        <v>0.1352</v>
      </c>
      <c r="I928" s="82">
        <f t="shared" si="1"/>
        <v>1.11464497</v>
      </c>
      <c r="J928" s="82">
        <f t="shared" si="2"/>
        <v>0.4728926198</v>
      </c>
    </row>
    <row r="929">
      <c r="A929" s="83">
        <v>44690.0</v>
      </c>
      <c r="B929" s="66">
        <v>2086.0</v>
      </c>
      <c r="C929" s="66">
        <v>1.0</v>
      </c>
      <c r="D929" s="66" t="s">
        <v>227</v>
      </c>
      <c r="E929" s="66">
        <v>1.0</v>
      </c>
      <c r="F929" s="66">
        <v>0.165</v>
      </c>
      <c r="G929" s="66">
        <v>0.078</v>
      </c>
      <c r="H929" s="66" t="s">
        <v>277</v>
      </c>
      <c r="I929" s="82">
        <f t="shared" si="1"/>
        <v>1.115384615</v>
      </c>
      <c r="J929" s="82">
        <f t="shared" si="2"/>
        <v>0.4727272727</v>
      </c>
    </row>
    <row r="930">
      <c r="A930" s="83">
        <v>44690.0</v>
      </c>
      <c r="B930" s="66">
        <v>2086.0</v>
      </c>
      <c r="C930" s="66">
        <v>2.0</v>
      </c>
      <c r="D930" s="66" t="s">
        <v>228</v>
      </c>
      <c r="E930" s="66">
        <v>0.0</v>
      </c>
      <c r="F930" s="66">
        <v>0.0728</v>
      </c>
      <c r="G930" s="66">
        <v>0.0344</v>
      </c>
      <c r="H930" s="66" t="s">
        <v>276</v>
      </c>
      <c r="I930" s="82">
        <f t="shared" si="1"/>
        <v>1.11627907</v>
      </c>
      <c r="J930" s="82">
        <f t="shared" si="2"/>
        <v>0.4725274725</v>
      </c>
    </row>
    <row r="931">
      <c r="A931" s="83">
        <v>44690.0</v>
      </c>
      <c r="B931" s="66">
        <v>2086.0</v>
      </c>
      <c r="C931" s="66">
        <v>2.0</v>
      </c>
      <c r="D931" s="66" t="s">
        <v>227</v>
      </c>
      <c r="E931" s="66">
        <v>0.0</v>
      </c>
      <c r="F931" s="66">
        <v>0.544</v>
      </c>
      <c r="G931" s="66">
        <v>0.257</v>
      </c>
      <c r="H931" s="66" t="s">
        <v>277</v>
      </c>
      <c r="I931" s="82">
        <f t="shared" si="1"/>
        <v>1.116731518</v>
      </c>
      <c r="J931" s="82">
        <f t="shared" si="2"/>
        <v>0.4724264706</v>
      </c>
    </row>
    <row r="932">
      <c r="A932" s="83">
        <v>44690.0</v>
      </c>
      <c r="B932" s="66">
        <v>2086.0</v>
      </c>
      <c r="C932" s="66">
        <v>2.0</v>
      </c>
      <c r="D932" s="66" t="s">
        <v>227</v>
      </c>
      <c r="E932" s="66">
        <v>1.0</v>
      </c>
      <c r="F932" s="66">
        <v>0.9787</v>
      </c>
      <c r="G932" s="66">
        <v>0.4623</v>
      </c>
      <c r="H932" s="66" t="s">
        <v>276</v>
      </c>
      <c r="I932" s="82">
        <f t="shared" si="1"/>
        <v>1.117023578</v>
      </c>
      <c r="J932" s="82">
        <f t="shared" si="2"/>
        <v>0.4723612956</v>
      </c>
    </row>
    <row r="933">
      <c r="A933" s="83">
        <v>44690.0</v>
      </c>
      <c r="B933" s="66">
        <v>2086.0</v>
      </c>
      <c r="C933" s="66">
        <v>3.0</v>
      </c>
      <c r="D933" s="66" t="s">
        <v>228</v>
      </c>
      <c r="E933" s="66">
        <v>0.0</v>
      </c>
      <c r="F933" s="66">
        <v>0.2668</v>
      </c>
      <c r="G933" s="66">
        <v>0.126</v>
      </c>
      <c r="H933" s="66" t="s">
        <v>276</v>
      </c>
      <c r="I933" s="82">
        <f t="shared" si="1"/>
        <v>1.117460317</v>
      </c>
      <c r="J933" s="82">
        <f t="shared" si="2"/>
        <v>0.4722638681</v>
      </c>
    </row>
    <row r="934">
      <c r="A934" s="83">
        <v>44690.0</v>
      </c>
      <c r="B934" s="66">
        <v>2086.0</v>
      </c>
      <c r="C934" s="66">
        <v>3.0</v>
      </c>
      <c r="D934" s="66" t="s">
        <v>227</v>
      </c>
      <c r="E934" s="66">
        <v>0.0</v>
      </c>
      <c r="F934" s="66">
        <v>0.5421</v>
      </c>
      <c r="G934" s="66">
        <v>0.256</v>
      </c>
      <c r="H934" s="66" t="s">
        <v>276</v>
      </c>
      <c r="I934" s="82">
        <f t="shared" si="1"/>
        <v>1.117578125</v>
      </c>
      <c r="J934" s="82">
        <f t="shared" si="2"/>
        <v>0.4722375945</v>
      </c>
    </row>
    <row r="935">
      <c r="A935" s="83">
        <v>44690.0</v>
      </c>
      <c r="B935" s="66">
        <v>2086.0</v>
      </c>
      <c r="C935" s="66">
        <v>3.0</v>
      </c>
      <c r="D935" s="66" t="s">
        <v>227</v>
      </c>
      <c r="E935" s="66">
        <v>1.0</v>
      </c>
      <c r="F935" s="66">
        <v>0.2857</v>
      </c>
      <c r="G935" s="66">
        <v>0.1349</v>
      </c>
      <c r="H935" s="66" t="s">
        <v>276</v>
      </c>
      <c r="I935" s="82">
        <f t="shared" si="1"/>
        <v>1.117865085</v>
      </c>
      <c r="J935" s="82">
        <f t="shared" si="2"/>
        <v>0.4721736087</v>
      </c>
    </row>
    <row r="936">
      <c r="A936" s="83">
        <v>44690.0</v>
      </c>
      <c r="B936" s="66">
        <v>2087.0</v>
      </c>
      <c r="C936" s="66">
        <v>1.0</v>
      </c>
      <c r="D936" s="66" t="s">
        <v>228</v>
      </c>
      <c r="E936" s="66">
        <v>0.0</v>
      </c>
      <c r="F936" s="66">
        <v>0.9582</v>
      </c>
      <c r="G936" s="66">
        <v>0.4522</v>
      </c>
      <c r="H936" s="66" t="s">
        <v>276</v>
      </c>
      <c r="I936" s="82">
        <f t="shared" si="1"/>
        <v>1.118973905</v>
      </c>
      <c r="J936" s="82">
        <f t="shared" si="2"/>
        <v>0.4719265289</v>
      </c>
    </row>
    <row r="937">
      <c r="A937" s="83">
        <v>44690.0</v>
      </c>
      <c r="B937" s="66">
        <v>2087.0</v>
      </c>
      <c r="C937" s="66">
        <v>1.0</v>
      </c>
      <c r="D937" s="66" t="s">
        <v>227</v>
      </c>
      <c r="E937" s="66">
        <v>0.0</v>
      </c>
      <c r="F937" s="66">
        <v>0.7836</v>
      </c>
      <c r="G937" s="66">
        <v>0.3696</v>
      </c>
      <c r="H937" s="66" t="s">
        <v>276</v>
      </c>
      <c r="I937" s="82">
        <f t="shared" si="1"/>
        <v>1.12012987</v>
      </c>
      <c r="J937" s="82">
        <f t="shared" si="2"/>
        <v>0.471669219</v>
      </c>
    </row>
    <row r="938">
      <c r="A938" s="83">
        <v>44690.0</v>
      </c>
      <c r="B938" s="66">
        <v>2087.0</v>
      </c>
      <c r="C938" s="66">
        <v>1.0</v>
      </c>
      <c r="D938" s="66" t="s">
        <v>227</v>
      </c>
      <c r="E938" s="66">
        <v>1.0</v>
      </c>
      <c r="F938" s="66">
        <v>0.3371</v>
      </c>
      <c r="G938" s="66">
        <v>0.1589</v>
      </c>
      <c r="I938" s="82">
        <f t="shared" si="1"/>
        <v>1.121460038</v>
      </c>
      <c r="J938" s="82">
        <f t="shared" si="2"/>
        <v>0.4713734797</v>
      </c>
    </row>
    <row r="939">
      <c r="A939" s="83">
        <v>44690.0</v>
      </c>
      <c r="B939" s="66">
        <v>2087.0</v>
      </c>
      <c r="C939" s="66">
        <v>2.0</v>
      </c>
      <c r="D939" s="66" t="s">
        <v>228</v>
      </c>
      <c r="E939" s="66">
        <v>0.0</v>
      </c>
      <c r="F939" s="66">
        <v>0.3374</v>
      </c>
      <c r="G939" s="66">
        <v>0.159</v>
      </c>
      <c r="H939" s="66" t="s">
        <v>276</v>
      </c>
      <c r="I939" s="82">
        <f t="shared" si="1"/>
        <v>1.122012579</v>
      </c>
      <c r="J939" s="82">
        <f t="shared" si="2"/>
        <v>0.471250741</v>
      </c>
    </row>
    <row r="940">
      <c r="A940" s="83">
        <v>44690.0</v>
      </c>
      <c r="B940" s="66">
        <v>2087.0</v>
      </c>
      <c r="C940" s="66">
        <v>2.0</v>
      </c>
      <c r="D940" s="66" t="s">
        <v>227</v>
      </c>
      <c r="E940" s="66">
        <v>0.0</v>
      </c>
      <c r="F940" s="66">
        <v>0.6964</v>
      </c>
      <c r="G940" s="66">
        <v>0.328</v>
      </c>
      <c r="H940" s="66" t="s">
        <v>277</v>
      </c>
      <c r="I940" s="82">
        <f t="shared" si="1"/>
        <v>1.123170732</v>
      </c>
      <c r="J940" s="82">
        <f t="shared" si="2"/>
        <v>0.4709936818</v>
      </c>
    </row>
    <row r="941">
      <c r="A941" s="83">
        <v>44690.0</v>
      </c>
      <c r="B941" s="66">
        <v>2087.0</v>
      </c>
      <c r="C941" s="66">
        <v>2.0</v>
      </c>
      <c r="D941" s="66" t="s">
        <v>227</v>
      </c>
      <c r="E941" s="66">
        <v>1.0</v>
      </c>
      <c r="F941" s="66">
        <v>0.1912</v>
      </c>
      <c r="G941" s="66">
        <v>0.09</v>
      </c>
      <c r="H941" s="66" t="s">
        <v>276</v>
      </c>
      <c r="I941" s="82">
        <f t="shared" si="1"/>
        <v>1.124444444</v>
      </c>
      <c r="J941" s="82">
        <f t="shared" si="2"/>
        <v>0.4707112971</v>
      </c>
    </row>
    <row r="942">
      <c r="A942" s="83">
        <v>44690.0</v>
      </c>
      <c r="B942" s="66">
        <v>2087.0</v>
      </c>
      <c r="C942" s="66">
        <v>3.0</v>
      </c>
      <c r="D942" s="66" t="s">
        <v>228</v>
      </c>
      <c r="E942" s="66">
        <v>0.0</v>
      </c>
      <c r="F942" s="66">
        <v>0.0765</v>
      </c>
      <c r="G942" s="66">
        <v>0.036</v>
      </c>
      <c r="H942" s="66" t="s">
        <v>277</v>
      </c>
      <c r="I942" s="82">
        <f t="shared" si="1"/>
        <v>1.125</v>
      </c>
      <c r="J942" s="82">
        <f t="shared" si="2"/>
        <v>0.4705882353</v>
      </c>
    </row>
    <row r="943">
      <c r="A943" s="83">
        <v>44690.0</v>
      </c>
      <c r="B943" s="66">
        <v>2087.0</v>
      </c>
      <c r="C943" s="66">
        <v>3.0</v>
      </c>
      <c r="D943" s="66" t="s">
        <v>227</v>
      </c>
      <c r="E943" s="66">
        <v>0.0</v>
      </c>
      <c r="F943" s="66">
        <v>0.5908</v>
      </c>
      <c r="G943" s="66">
        <v>0.278</v>
      </c>
      <c r="H943" s="66" t="s">
        <v>277</v>
      </c>
      <c r="I943" s="82">
        <f t="shared" si="1"/>
        <v>1.125179856</v>
      </c>
      <c r="J943" s="82">
        <f t="shared" si="2"/>
        <v>0.4705484089</v>
      </c>
    </row>
    <row r="944">
      <c r="A944" s="83">
        <v>44690.0</v>
      </c>
      <c r="B944" s="66">
        <v>2087.0</v>
      </c>
      <c r="C944" s="66">
        <v>3.0</v>
      </c>
      <c r="D944" s="66" t="s">
        <v>227</v>
      </c>
      <c r="E944" s="66">
        <v>1.0</v>
      </c>
      <c r="F944" s="66">
        <v>0.1403</v>
      </c>
      <c r="G944" s="66">
        <v>0.066</v>
      </c>
      <c r="I944" s="82">
        <f t="shared" si="1"/>
        <v>1.125757576</v>
      </c>
      <c r="J944" s="82">
        <f t="shared" si="2"/>
        <v>0.4704205274</v>
      </c>
    </row>
    <row r="945">
      <c r="A945" s="83">
        <v>44690.0</v>
      </c>
      <c r="B945" s="66">
        <v>2088.0</v>
      </c>
      <c r="C945" s="66">
        <v>1.0</v>
      </c>
      <c r="D945" s="66" t="s">
        <v>228</v>
      </c>
      <c r="E945" s="66">
        <v>1.0</v>
      </c>
      <c r="F945" s="66">
        <v>0.0574</v>
      </c>
      <c r="G945" s="66">
        <v>0.027</v>
      </c>
      <c r="H945" s="66" t="s">
        <v>277</v>
      </c>
      <c r="I945" s="82">
        <f t="shared" si="1"/>
        <v>1.125925926</v>
      </c>
      <c r="J945" s="82">
        <f t="shared" si="2"/>
        <v>0.4703832753</v>
      </c>
    </row>
    <row r="946">
      <c r="A946" s="83">
        <v>44690.0</v>
      </c>
      <c r="B946" s="66">
        <v>2088.0</v>
      </c>
      <c r="C946" s="66">
        <v>1.0</v>
      </c>
      <c r="D946" s="66" t="s">
        <v>227</v>
      </c>
      <c r="E946" s="66">
        <v>0.0</v>
      </c>
      <c r="F946" s="66">
        <v>0.2798</v>
      </c>
      <c r="G946" s="66">
        <v>0.1316</v>
      </c>
      <c r="H946" s="66" t="s">
        <v>280</v>
      </c>
      <c r="I946" s="82">
        <f t="shared" si="1"/>
        <v>1.126139818</v>
      </c>
      <c r="J946" s="82">
        <f t="shared" si="2"/>
        <v>0.4703359543</v>
      </c>
    </row>
    <row r="947">
      <c r="A947" s="83">
        <v>44690.0</v>
      </c>
      <c r="B947" s="66">
        <v>2088.0</v>
      </c>
      <c r="C947" s="66">
        <v>1.0</v>
      </c>
      <c r="D947" s="66" t="s">
        <v>227</v>
      </c>
      <c r="E947" s="66">
        <v>1.0</v>
      </c>
      <c r="F947" s="66">
        <v>0.1859</v>
      </c>
      <c r="G947" s="66">
        <v>0.0874</v>
      </c>
      <c r="I947" s="82">
        <f t="shared" si="1"/>
        <v>1.127002288</v>
      </c>
      <c r="J947" s="82">
        <f t="shared" si="2"/>
        <v>0.4701452394</v>
      </c>
    </row>
    <row r="948">
      <c r="A948" s="83">
        <v>44690.0</v>
      </c>
      <c r="B948" s="66">
        <v>2088.0</v>
      </c>
      <c r="C948" s="66">
        <v>2.0</v>
      </c>
      <c r="D948" s="66" t="s">
        <v>228</v>
      </c>
      <c r="E948" s="66">
        <v>0.0</v>
      </c>
      <c r="F948" s="66">
        <v>1.705</v>
      </c>
      <c r="G948" s="66">
        <v>0.8015</v>
      </c>
      <c r="I948" s="82">
        <f t="shared" si="1"/>
        <v>1.127261385</v>
      </c>
      <c r="J948" s="82">
        <f t="shared" si="2"/>
        <v>0.4700879765</v>
      </c>
    </row>
    <row r="949">
      <c r="A949" s="83">
        <v>44690.0</v>
      </c>
      <c r="B949" s="66">
        <v>2088.0</v>
      </c>
      <c r="C949" s="66">
        <v>2.0</v>
      </c>
      <c r="D949" s="66" t="s">
        <v>227</v>
      </c>
      <c r="E949" s="66">
        <v>0.0</v>
      </c>
      <c r="F949" s="66">
        <v>0.0751</v>
      </c>
      <c r="G949" s="66">
        <v>0.0353</v>
      </c>
      <c r="I949" s="82">
        <f t="shared" si="1"/>
        <v>1.127478754</v>
      </c>
      <c r="J949" s="82">
        <f t="shared" si="2"/>
        <v>0.4700399467</v>
      </c>
    </row>
    <row r="950">
      <c r="A950" s="83">
        <v>44690.0</v>
      </c>
      <c r="B950" s="66">
        <v>2088.0</v>
      </c>
      <c r="C950" s="66">
        <v>2.0</v>
      </c>
      <c r="D950" s="66" t="s">
        <v>227</v>
      </c>
      <c r="E950" s="66">
        <v>1.0</v>
      </c>
      <c r="F950" s="66">
        <v>0.9738</v>
      </c>
      <c r="G950" s="66">
        <v>0.4575</v>
      </c>
      <c r="I950" s="82">
        <f t="shared" si="1"/>
        <v>1.12852459</v>
      </c>
      <c r="J950" s="82">
        <f t="shared" si="2"/>
        <v>0.4698089957</v>
      </c>
    </row>
    <row r="951">
      <c r="A951" s="83">
        <v>44690.0</v>
      </c>
      <c r="B951" s="66">
        <v>2088.0</v>
      </c>
      <c r="C951" s="66">
        <v>3.0</v>
      </c>
      <c r="D951" s="66" t="s">
        <v>228</v>
      </c>
      <c r="E951" s="66">
        <v>0.0</v>
      </c>
      <c r="F951" s="66">
        <v>0.1968</v>
      </c>
      <c r="G951" s="66">
        <v>0.0924</v>
      </c>
      <c r="I951" s="82">
        <f t="shared" si="1"/>
        <v>1.12987013</v>
      </c>
      <c r="J951" s="82">
        <f t="shared" si="2"/>
        <v>0.4695121951</v>
      </c>
    </row>
    <row r="952">
      <c r="A952" s="83">
        <v>44690.0</v>
      </c>
      <c r="B952" s="66">
        <v>2088.0</v>
      </c>
      <c r="C952" s="66">
        <v>3.0</v>
      </c>
      <c r="D952" s="66" t="s">
        <v>227</v>
      </c>
      <c r="E952" s="66">
        <v>0.0</v>
      </c>
      <c r="F952" s="66">
        <v>0.1451</v>
      </c>
      <c r="G952" s="66">
        <v>0.0681</v>
      </c>
      <c r="H952" s="66" t="s">
        <v>280</v>
      </c>
      <c r="I952" s="82">
        <f t="shared" si="1"/>
        <v>1.130690162</v>
      </c>
      <c r="J952" s="82">
        <f t="shared" si="2"/>
        <v>0.4693314955</v>
      </c>
    </row>
    <row r="953">
      <c r="A953" s="83">
        <v>44690.0</v>
      </c>
      <c r="B953" s="66">
        <v>2088.0</v>
      </c>
      <c r="C953" s="66">
        <v>3.0</v>
      </c>
      <c r="D953" s="66" t="s">
        <v>227</v>
      </c>
      <c r="E953" s="66">
        <v>1.0</v>
      </c>
      <c r="F953" s="66">
        <v>0.3283</v>
      </c>
      <c r="G953" s="66">
        <v>0.154</v>
      </c>
      <c r="H953" s="66" t="s">
        <v>276</v>
      </c>
      <c r="I953" s="82">
        <f t="shared" si="1"/>
        <v>1.131818182</v>
      </c>
      <c r="J953" s="82">
        <f t="shared" si="2"/>
        <v>0.4690831557</v>
      </c>
    </row>
    <row r="954">
      <c r="A954" s="83">
        <v>44690.0</v>
      </c>
      <c r="B954" s="66">
        <v>2089.0</v>
      </c>
      <c r="C954" s="66">
        <v>1.0</v>
      </c>
      <c r="D954" s="66" t="s">
        <v>228</v>
      </c>
      <c r="E954" s="66">
        <v>0.0</v>
      </c>
      <c r="F954" s="66">
        <v>0.2746</v>
      </c>
      <c r="G954" s="66">
        <v>0.1288</v>
      </c>
      <c r="I954" s="82">
        <f t="shared" si="1"/>
        <v>1.131987578</v>
      </c>
      <c r="J954" s="82">
        <f t="shared" si="2"/>
        <v>0.4690458849</v>
      </c>
    </row>
    <row r="955">
      <c r="A955" s="83">
        <v>44690.0</v>
      </c>
      <c r="B955" s="66">
        <v>2089.0</v>
      </c>
      <c r="C955" s="66">
        <v>1.0</v>
      </c>
      <c r="D955" s="66" t="s">
        <v>228</v>
      </c>
      <c r="E955" s="66">
        <v>1.0</v>
      </c>
      <c r="F955" s="66">
        <v>1.1207</v>
      </c>
      <c r="G955" s="66">
        <v>0.525</v>
      </c>
      <c r="H955" s="66" t="s">
        <v>276</v>
      </c>
      <c r="I955" s="82">
        <f t="shared" si="1"/>
        <v>1.134666667</v>
      </c>
      <c r="J955" s="82">
        <f t="shared" si="2"/>
        <v>0.4684572142</v>
      </c>
    </row>
    <row r="956">
      <c r="A956" s="83">
        <v>44690.0</v>
      </c>
      <c r="B956" s="66">
        <v>2089.0</v>
      </c>
      <c r="C956" s="66">
        <v>1.0</v>
      </c>
      <c r="D956" s="66" t="s">
        <v>227</v>
      </c>
      <c r="E956" s="66">
        <v>0.0</v>
      </c>
      <c r="F956" s="66">
        <v>0.6404</v>
      </c>
      <c r="G956" s="66">
        <v>0.3</v>
      </c>
      <c r="H956" s="66" t="s">
        <v>276</v>
      </c>
      <c r="I956" s="82">
        <f t="shared" si="1"/>
        <v>1.134666667</v>
      </c>
      <c r="J956" s="82">
        <f t="shared" si="2"/>
        <v>0.4684572142</v>
      </c>
    </row>
    <row r="957">
      <c r="A957" s="83">
        <v>44690.0</v>
      </c>
      <c r="B957" s="66">
        <v>2089.0</v>
      </c>
      <c r="C957" s="66">
        <v>1.0</v>
      </c>
      <c r="D957" s="66" t="s">
        <v>227</v>
      </c>
      <c r="E957" s="66">
        <v>1.0</v>
      </c>
      <c r="F957" s="66">
        <v>0.4046</v>
      </c>
      <c r="G957" s="66">
        <v>0.1895</v>
      </c>
      <c r="H957" s="66" t="s">
        <v>276</v>
      </c>
      <c r="I957" s="82">
        <f t="shared" si="1"/>
        <v>1.135092348</v>
      </c>
      <c r="J957" s="82">
        <f t="shared" si="2"/>
        <v>0.4683638161</v>
      </c>
    </row>
    <row r="958">
      <c r="A958" s="83">
        <v>44690.0</v>
      </c>
      <c r="B958" s="66">
        <v>2089.0</v>
      </c>
      <c r="C958" s="66">
        <v>2.0</v>
      </c>
      <c r="D958" s="66" t="s">
        <v>228</v>
      </c>
      <c r="E958" s="66">
        <v>0.0</v>
      </c>
      <c r="F958" s="66">
        <v>0.0079</v>
      </c>
      <c r="G958" s="66">
        <v>0.0037</v>
      </c>
      <c r="H958" s="66" t="s">
        <v>276</v>
      </c>
      <c r="I958" s="82">
        <f t="shared" si="1"/>
        <v>1.135135135</v>
      </c>
      <c r="J958" s="82">
        <f t="shared" si="2"/>
        <v>0.4683544304</v>
      </c>
    </row>
    <row r="959">
      <c r="A959" s="83">
        <v>44690.0</v>
      </c>
      <c r="B959" s="66">
        <v>2089.0</v>
      </c>
      <c r="C959" s="66">
        <v>2.0</v>
      </c>
      <c r="D959" s="66" t="s">
        <v>227</v>
      </c>
      <c r="E959" s="66">
        <v>0.0</v>
      </c>
      <c r="F959" s="66">
        <v>0.1232</v>
      </c>
      <c r="G959" s="66">
        <v>0.0577</v>
      </c>
      <c r="H959" s="66" t="s">
        <v>276</v>
      </c>
      <c r="I959" s="82">
        <f t="shared" si="1"/>
        <v>1.135181976</v>
      </c>
      <c r="J959" s="82">
        <f t="shared" si="2"/>
        <v>0.4683441558</v>
      </c>
    </row>
    <row r="960">
      <c r="A960" s="83">
        <v>44690.0</v>
      </c>
      <c r="B960" s="66">
        <v>2090.0</v>
      </c>
      <c r="C960" s="66">
        <v>1.0</v>
      </c>
      <c r="D960" s="66" t="s">
        <v>228</v>
      </c>
      <c r="E960" s="66">
        <v>0.0</v>
      </c>
      <c r="F960" s="66">
        <v>0.1516</v>
      </c>
      <c r="G960" s="66">
        <v>0.071</v>
      </c>
      <c r="H960" s="66" t="s">
        <v>277</v>
      </c>
      <c r="I960" s="82">
        <f t="shared" si="1"/>
        <v>1.135211268</v>
      </c>
      <c r="J960" s="82">
        <f t="shared" si="2"/>
        <v>0.4683377309</v>
      </c>
    </row>
    <row r="961">
      <c r="A961" s="83">
        <v>44690.0</v>
      </c>
      <c r="B961" s="66">
        <v>2090.0</v>
      </c>
      <c r="C961" s="66">
        <v>1.0</v>
      </c>
      <c r="D961" s="66" t="s">
        <v>227</v>
      </c>
      <c r="E961" s="66">
        <v>0.0</v>
      </c>
      <c r="F961" s="66">
        <v>0.126</v>
      </c>
      <c r="G961" s="66">
        <v>0.059</v>
      </c>
      <c r="H961" s="66" t="s">
        <v>277</v>
      </c>
      <c r="I961" s="82">
        <f t="shared" si="1"/>
        <v>1.13559322</v>
      </c>
      <c r="J961" s="82">
        <f t="shared" si="2"/>
        <v>0.4682539683</v>
      </c>
    </row>
    <row r="962">
      <c r="A962" s="83">
        <v>44690.0</v>
      </c>
      <c r="B962" s="66">
        <v>2090.0</v>
      </c>
      <c r="C962" s="66">
        <v>1.0</v>
      </c>
      <c r="D962" s="66" t="s">
        <v>227</v>
      </c>
      <c r="E962" s="66">
        <v>1.0</v>
      </c>
      <c r="F962" s="66">
        <v>0.0361</v>
      </c>
      <c r="G962" s="66">
        <v>0.0169</v>
      </c>
      <c r="H962" s="66" t="s">
        <v>280</v>
      </c>
      <c r="I962" s="82">
        <f t="shared" si="1"/>
        <v>1.136094675</v>
      </c>
      <c r="J962" s="82">
        <f t="shared" si="2"/>
        <v>0.4681440443</v>
      </c>
    </row>
    <row r="963">
      <c r="A963" s="83">
        <v>44690.0</v>
      </c>
      <c r="B963" s="66">
        <v>2090.0</v>
      </c>
      <c r="C963" s="66">
        <v>2.0</v>
      </c>
      <c r="D963" s="66" t="s">
        <v>228</v>
      </c>
      <c r="E963" s="66">
        <v>0.0</v>
      </c>
      <c r="F963" s="66">
        <v>0.1239</v>
      </c>
      <c r="G963" s="66">
        <v>0.058</v>
      </c>
      <c r="H963" s="66" t="s">
        <v>277</v>
      </c>
      <c r="I963" s="82">
        <f t="shared" si="1"/>
        <v>1.136206897</v>
      </c>
      <c r="J963" s="82">
        <f t="shared" si="2"/>
        <v>0.4681194512</v>
      </c>
    </row>
    <row r="964">
      <c r="A964" s="83">
        <v>44690.0</v>
      </c>
      <c r="B964" s="66">
        <v>2090.0</v>
      </c>
      <c r="C964" s="66">
        <v>2.0</v>
      </c>
      <c r="D964" s="66" t="s">
        <v>227</v>
      </c>
      <c r="E964" s="66">
        <v>0.0</v>
      </c>
      <c r="F964" s="66">
        <v>0.3418</v>
      </c>
      <c r="G964" s="66">
        <v>0.1599</v>
      </c>
      <c r="I964" s="82">
        <f t="shared" si="1"/>
        <v>1.137585991</v>
      </c>
      <c r="J964" s="82">
        <f t="shared" si="2"/>
        <v>0.4678174371</v>
      </c>
    </row>
    <row r="965">
      <c r="A965" s="83">
        <v>44690.0</v>
      </c>
      <c r="B965" s="66">
        <v>2090.0</v>
      </c>
      <c r="C965" s="66">
        <v>2.0</v>
      </c>
      <c r="D965" s="66" t="s">
        <v>227</v>
      </c>
      <c r="E965" s="66">
        <v>1.0</v>
      </c>
      <c r="F965" s="66">
        <v>0.1411</v>
      </c>
      <c r="G965" s="66">
        <v>0.066</v>
      </c>
      <c r="H965" s="66" t="s">
        <v>277</v>
      </c>
      <c r="I965" s="82">
        <f t="shared" si="1"/>
        <v>1.137878788</v>
      </c>
      <c r="J965" s="82">
        <f t="shared" si="2"/>
        <v>0.4677533664</v>
      </c>
    </row>
    <row r="966">
      <c r="A966" s="83">
        <v>44690.0</v>
      </c>
      <c r="B966" s="66">
        <v>2090.0</v>
      </c>
      <c r="C966" s="66">
        <v>3.0</v>
      </c>
      <c r="D966" s="66" t="s">
        <v>228</v>
      </c>
      <c r="E966" s="66">
        <v>0.0</v>
      </c>
      <c r="F966" s="66">
        <v>0.17</v>
      </c>
      <c r="G966" s="66">
        <v>0.0795</v>
      </c>
      <c r="H966" s="66" t="s">
        <v>277</v>
      </c>
      <c r="I966" s="82">
        <f t="shared" si="1"/>
        <v>1.13836478</v>
      </c>
      <c r="J966" s="82">
        <f t="shared" si="2"/>
        <v>0.4676470588</v>
      </c>
    </row>
    <row r="967">
      <c r="A967" s="83">
        <v>44690.0</v>
      </c>
      <c r="B967" s="66">
        <v>2090.0</v>
      </c>
      <c r="C967" s="66">
        <v>3.0</v>
      </c>
      <c r="D967" s="66" t="s">
        <v>227</v>
      </c>
      <c r="E967" s="66">
        <v>0.0</v>
      </c>
      <c r="F967" s="66">
        <v>0.1668</v>
      </c>
      <c r="G967" s="66">
        <v>0.078</v>
      </c>
      <c r="H967" s="66" t="s">
        <v>277</v>
      </c>
      <c r="I967" s="82">
        <f t="shared" si="1"/>
        <v>1.138461538</v>
      </c>
      <c r="J967" s="82">
        <f t="shared" si="2"/>
        <v>0.4676258993</v>
      </c>
    </row>
    <row r="968">
      <c r="A968" s="83">
        <v>44690.0</v>
      </c>
      <c r="B968" s="66">
        <v>2090.0</v>
      </c>
      <c r="C968" s="66">
        <v>3.0</v>
      </c>
      <c r="D968" s="66" t="s">
        <v>227</v>
      </c>
      <c r="E968" s="66">
        <v>1.0</v>
      </c>
      <c r="F968" s="66">
        <v>0.678</v>
      </c>
      <c r="G968" s="66">
        <v>0.317</v>
      </c>
      <c r="H968" s="66" t="s">
        <v>276</v>
      </c>
      <c r="I968" s="82">
        <f t="shared" si="1"/>
        <v>1.138801262</v>
      </c>
      <c r="J968" s="82">
        <f t="shared" si="2"/>
        <v>0.4675516224</v>
      </c>
    </row>
    <row r="969">
      <c r="A969" s="83">
        <v>44690.0</v>
      </c>
      <c r="B969" s="66">
        <v>2091.0</v>
      </c>
      <c r="C969" s="66">
        <v>1.0</v>
      </c>
      <c r="D969" s="66" t="s">
        <v>228</v>
      </c>
      <c r="E969" s="66">
        <v>0.0</v>
      </c>
      <c r="F969" s="107">
        <v>0.58</v>
      </c>
      <c r="G969" s="66">
        <v>0.2711</v>
      </c>
      <c r="I969" s="82">
        <f t="shared" si="1"/>
        <v>1.139431944</v>
      </c>
      <c r="J969" s="82">
        <f t="shared" si="2"/>
        <v>0.4674137931</v>
      </c>
    </row>
    <row r="970">
      <c r="A970" s="83">
        <v>44690.0</v>
      </c>
      <c r="B970" s="66">
        <v>2091.0</v>
      </c>
      <c r="C970" s="66">
        <v>1.0</v>
      </c>
      <c r="D970" s="66" t="s">
        <v>228</v>
      </c>
      <c r="E970" s="66">
        <v>1.0</v>
      </c>
      <c r="F970" s="66">
        <v>0.4911</v>
      </c>
      <c r="G970" s="66">
        <v>0.2295</v>
      </c>
      <c r="I970" s="82">
        <f t="shared" si="1"/>
        <v>1.139869281</v>
      </c>
      <c r="J970" s="82">
        <f t="shared" si="2"/>
        <v>0.4673182651</v>
      </c>
    </row>
    <row r="971">
      <c r="A971" s="83">
        <v>44690.0</v>
      </c>
      <c r="B971" s="66">
        <v>2091.0</v>
      </c>
      <c r="C971" s="66">
        <v>1.0</v>
      </c>
      <c r="D971" s="66" t="s">
        <v>227</v>
      </c>
      <c r="E971" s="66">
        <v>0.0</v>
      </c>
      <c r="F971" s="66">
        <v>0.0953</v>
      </c>
      <c r="G971" s="66">
        <v>0.0445</v>
      </c>
      <c r="H971" s="66" t="s">
        <v>276</v>
      </c>
      <c r="I971" s="82">
        <f t="shared" si="1"/>
        <v>1.141573034</v>
      </c>
      <c r="J971" s="82">
        <f t="shared" si="2"/>
        <v>0.4669464848</v>
      </c>
    </row>
    <row r="972">
      <c r="A972" s="83">
        <v>44690.0</v>
      </c>
      <c r="B972" s="66">
        <v>2091.0</v>
      </c>
      <c r="C972" s="66">
        <v>1.0</v>
      </c>
      <c r="D972" s="66" t="s">
        <v>227</v>
      </c>
      <c r="E972" s="66">
        <v>1.0</v>
      </c>
      <c r="F972" s="66">
        <v>1.4565</v>
      </c>
      <c r="G972" s="66">
        <v>0.68</v>
      </c>
      <c r="H972" s="66" t="s">
        <v>276</v>
      </c>
      <c r="I972" s="82">
        <f t="shared" si="1"/>
        <v>1.141911765</v>
      </c>
      <c r="J972" s="82">
        <f t="shared" si="2"/>
        <v>0.4668726399</v>
      </c>
    </row>
    <row r="973">
      <c r="A973" s="83">
        <v>44690.0</v>
      </c>
      <c r="B973" s="66">
        <v>2091.0</v>
      </c>
      <c r="C973" s="66">
        <v>3.0</v>
      </c>
      <c r="D973" s="66" t="s">
        <v>228</v>
      </c>
      <c r="E973" s="66">
        <v>0.0</v>
      </c>
      <c r="F973" s="66">
        <v>0.0707</v>
      </c>
      <c r="G973" s="66">
        <v>0.033</v>
      </c>
      <c r="I973" s="82">
        <f t="shared" si="1"/>
        <v>1.142424242</v>
      </c>
      <c r="J973" s="82">
        <f t="shared" si="2"/>
        <v>0.4667609618</v>
      </c>
    </row>
    <row r="974">
      <c r="A974" s="83">
        <v>44690.0</v>
      </c>
      <c r="B974" s="66">
        <v>2091.0</v>
      </c>
      <c r="C974" s="66">
        <v>3.0</v>
      </c>
      <c r="D974" s="66" t="s">
        <v>227</v>
      </c>
      <c r="E974" s="66">
        <v>0.0</v>
      </c>
      <c r="F974" s="66">
        <v>0.8544</v>
      </c>
      <c r="G974" s="66">
        <v>0.3987</v>
      </c>
      <c r="H974" s="66" t="s">
        <v>280</v>
      </c>
      <c r="I974" s="82">
        <f t="shared" si="1"/>
        <v>1.142964635</v>
      </c>
      <c r="J974" s="82">
        <f t="shared" si="2"/>
        <v>0.4666432584</v>
      </c>
    </row>
    <row r="975">
      <c r="A975" s="83">
        <v>44690.0</v>
      </c>
      <c r="B975" s="66">
        <v>2092.0</v>
      </c>
      <c r="C975" s="66">
        <v>1.0</v>
      </c>
      <c r="D975" s="66" t="s">
        <v>228</v>
      </c>
      <c r="E975" s="66">
        <v>1.0</v>
      </c>
      <c r="F975" s="66">
        <v>0.0193</v>
      </c>
      <c r="G975" s="66">
        <v>0.009</v>
      </c>
      <c r="H975" s="66" t="s">
        <v>277</v>
      </c>
      <c r="I975" s="82">
        <f t="shared" si="1"/>
        <v>1.144444444</v>
      </c>
      <c r="J975" s="82">
        <f t="shared" si="2"/>
        <v>0.4663212435</v>
      </c>
    </row>
    <row r="976">
      <c r="A976" s="83">
        <v>44690.0</v>
      </c>
      <c r="B976" s="66">
        <v>2092.0</v>
      </c>
      <c r="C976" s="66">
        <v>1.0</v>
      </c>
      <c r="D976" s="66" t="s">
        <v>227</v>
      </c>
      <c r="E976" s="66">
        <v>1.0</v>
      </c>
      <c r="F976" s="66">
        <v>0.2381</v>
      </c>
      <c r="G976" s="66">
        <v>0.111</v>
      </c>
      <c r="I976" s="82">
        <f t="shared" si="1"/>
        <v>1.145045045</v>
      </c>
      <c r="J976" s="82">
        <f t="shared" si="2"/>
        <v>0.4661906762</v>
      </c>
    </row>
    <row r="977">
      <c r="A977" s="83">
        <v>44690.0</v>
      </c>
      <c r="B977" s="66">
        <v>2092.0</v>
      </c>
      <c r="C977" s="66">
        <v>1.0</v>
      </c>
      <c r="D977" s="66" t="s">
        <v>227</v>
      </c>
      <c r="E977" s="66">
        <v>1.0</v>
      </c>
      <c r="F977" s="66">
        <v>0.9132</v>
      </c>
      <c r="G977" s="66">
        <v>0.4257</v>
      </c>
      <c r="I977" s="82">
        <f t="shared" si="1"/>
        <v>1.145172657</v>
      </c>
      <c r="J977" s="82">
        <f t="shared" si="2"/>
        <v>0.4661629435</v>
      </c>
    </row>
    <row r="978">
      <c r="A978" s="83">
        <v>44690.0</v>
      </c>
      <c r="B978" s="66">
        <v>2092.0</v>
      </c>
      <c r="C978" s="66">
        <v>2.0</v>
      </c>
      <c r="D978" s="66" t="s">
        <v>228</v>
      </c>
      <c r="E978" s="66">
        <v>0.0</v>
      </c>
      <c r="F978" s="66">
        <v>0.747</v>
      </c>
      <c r="G978" s="66">
        <v>0.3482</v>
      </c>
      <c r="I978" s="82">
        <f t="shared" si="1"/>
        <v>1.145318782</v>
      </c>
      <c r="J978" s="82">
        <f t="shared" si="2"/>
        <v>0.4661311914</v>
      </c>
    </row>
    <row r="979">
      <c r="A979" s="83">
        <v>44690.0</v>
      </c>
      <c r="B979" s="66">
        <v>2092.0</v>
      </c>
      <c r="C979" s="66">
        <v>2.0</v>
      </c>
      <c r="D979" s="66" t="s">
        <v>228</v>
      </c>
      <c r="E979" s="66">
        <v>1.0</v>
      </c>
      <c r="F979" s="66">
        <v>0.1908</v>
      </c>
      <c r="G979" s="66">
        <v>0.0889</v>
      </c>
      <c r="I979" s="82">
        <f t="shared" si="1"/>
        <v>1.146231721</v>
      </c>
      <c r="J979" s="82">
        <f t="shared" si="2"/>
        <v>0.465932914</v>
      </c>
    </row>
    <row r="980">
      <c r="A980" s="83">
        <v>44690.0</v>
      </c>
      <c r="B980" s="66">
        <v>2092.0</v>
      </c>
      <c r="C980" s="66">
        <v>2.0</v>
      </c>
      <c r="D980" s="66" t="s">
        <v>227</v>
      </c>
      <c r="E980" s="66">
        <v>0.0</v>
      </c>
      <c r="F980" s="66">
        <v>0.2919</v>
      </c>
      <c r="G980" s="66">
        <v>0.136</v>
      </c>
      <c r="H980" s="66" t="s">
        <v>277</v>
      </c>
      <c r="I980" s="82">
        <f t="shared" si="1"/>
        <v>1.146323529</v>
      </c>
      <c r="J980" s="82">
        <f t="shared" si="2"/>
        <v>0.4659129839</v>
      </c>
    </row>
    <row r="981">
      <c r="A981" s="83">
        <v>44690.0</v>
      </c>
      <c r="B981" s="66">
        <v>2092.0</v>
      </c>
      <c r="C981" s="66">
        <v>3.0</v>
      </c>
      <c r="D981" s="66" t="s">
        <v>228</v>
      </c>
      <c r="E981" s="66">
        <v>0.0</v>
      </c>
      <c r="F981" s="66">
        <v>0.0966</v>
      </c>
      <c r="G981" s="66">
        <v>0.045</v>
      </c>
      <c r="H981" s="66" t="s">
        <v>277</v>
      </c>
      <c r="I981" s="82">
        <f t="shared" si="1"/>
        <v>1.146666667</v>
      </c>
      <c r="J981" s="82">
        <f t="shared" si="2"/>
        <v>0.4658385093</v>
      </c>
    </row>
    <row r="982">
      <c r="A982" s="83">
        <v>44690.0</v>
      </c>
      <c r="B982" s="66">
        <v>2092.0</v>
      </c>
      <c r="C982" s="66">
        <v>3.0</v>
      </c>
      <c r="D982" s="66" t="s">
        <v>228</v>
      </c>
      <c r="E982" s="66">
        <v>1.0</v>
      </c>
      <c r="F982" s="66">
        <v>0.3071</v>
      </c>
      <c r="G982" s="66">
        <v>0.143</v>
      </c>
      <c r="H982" s="66" t="s">
        <v>276</v>
      </c>
      <c r="I982" s="82">
        <f t="shared" si="1"/>
        <v>1.147552448</v>
      </c>
      <c r="J982" s="82">
        <f t="shared" si="2"/>
        <v>0.4656463693</v>
      </c>
    </row>
    <row r="983">
      <c r="A983" s="83">
        <v>44690.0</v>
      </c>
      <c r="B983" s="66">
        <v>2092.0</v>
      </c>
      <c r="C983" s="66">
        <v>3.0</v>
      </c>
      <c r="D983" s="66" t="s">
        <v>227</v>
      </c>
      <c r="E983" s="66">
        <v>0.0</v>
      </c>
      <c r="F983" s="66">
        <v>1.1447</v>
      </c>
      <c r="G983" s="66">
        <v>0.533</v>
      </c>
      <c r="H983" s="66" t="s">
        <v>277</v>
      </c>
      <c r="I983" s="82">
        <f t="shared" si="1"/>
        <v>1.147654784</v>
      </c>
      <c r="J983" s="82">
        <f t="shared" si="2"/>
        <v>0.465624181</v>
      </c>
    </row>
    <row r="984">
      <c r="A984" s="83">
        <v>44690.0</v>
      </c>
      <c r="B984" s="66">
        <v>2092.0</v>
      </c>
      <c r="C984" s="66">
        <v>3.0</v>
      </c>
      <c r="D984" s="66" t="s">
        <v>227</v>
      </c>
      <c r="E984" s="66">
        <v>1.0</v>
      </c>
      <c r="F984" s="66">
        <v>0.4596</v>
      </c>
      <c r="G984" s="66">
        <v>0.214</v>
      </c>
      <c r="H984" s="66" t="s">
        <v>277</v>
      </c>
      <c r="I984" s="82">
        <f t="shared" si="1"/>
        <v>1.147663551</v>
      </c>
      <c r="J984" s="82">
        <f t="shared" si="2"/>
        <v>0.4656222802</v>
      </c>
    </row>
    <row r="985">
      <c r="A985" s="83">
        <v>44690.0</v>
      </c>
      <c r="B985" s="66">
        <v>2093.0</v>
      </c>
      <c r="C985" s="66">
        <v>1.0</v>
      </c>
      <c r="D985" s="66" t="s">
        <v>228</v>
      </c>
      <c r="E985" s="66">
        <v>0.0</v>
      </c>
      <c r="F985" s="66">
        <v>0.6176</v>
      </c>
      <c r="G985" s="66">
        <v>0.2874</v>
      </c>
      <c r="I985" s="82">
        <f t="shared" si="1"/>
        <v>1.148921364</v>
      </c>
      <c r="J985" s="82">
        <f t="shared" si="2"/>
        <v>0.4653497409</v>
      </c>
    </row>
    <row r="986">
      <c r="A986" s="83">
        <v>44690.0</v>
      </c>
      <c r="B986" s="66">
        <v>2093.0</v>
      </c>
      <c r="C986" s="66">
        <v>1.0</v>
      </c>
      <c r="D986" s="66" t="s">
        <v>228</v>
      </c>
      <c r="E986" s="66">
        <v>1.0</v>
      </c>
      <c r="F986" s="66">
        <v>0.268</v>
      </c>
      <c r="G986" s="66">
        <v>0.1247</v>
      </c>
      <c r="H986" s="66" t="s">
        <v>276</v>
      </c>
      <c r="I986" s="82">
        <f t="shared" si="1"/>
        <v>1.149157979</v>
      </c>
      <c r="J986" s="82">
        <f t="shared" si="2"/>
        <v>0.4652985075</v>
      </c>
    </row>
    <row r="987">
      <c r="A987" s="83">
        <v>44690.0</v>
      </c>
      <c r="B987" s="66">
        <v>2093.0</v>
      </c>
      <c r="C987" s="66">
        <v>1.0</v>
      </c>
      <c r="D987" s="66" t="s">
        <v>227</v>
      </c>
      <c r="E987" s="66">
        <v>0.0</v>
      </c>
      <c r="F987" s="66">
        <v>0.5382</v>
      </c>
      <c r="G987" s="66">
        <v>0.2504</v>
      </c>
      <c r="H987" s="66" t="s">
        <v>276</v>
      </c>
      <c r="I987" s="82">
        <f t="shared" si="1"/>
        <v>1.149361022</v>
      </c>
      <c r="J987" s="82">
        <f t="shared" si="2"/>
        <v>0.4652545522</v>
      </c>
    </row>
    <row r="988">
      <c r="A988" s="83">
        <v>44690.0</v>
      </c>
      <c r="B988" s="66">
        <v>2093.0</v>
      </c>
      <c r="C988" s="66">
        <v>1.0</v>
      </c>
      <c r="D988" s="66" t="s">
        <v>227</v>
      </c>
      <c r="E988" s="66">
        <v>1.0</v>
      </c>
      <c r="F988" s="66">
        <v>1.6937</v>
      </c>
      <c r="G988" s="66">
        <v>0.788</v>
      </c>
      <c r="H988" s="66" t="s">
        <v>276</v>
      </c>
      <c r="I988" s="82">
        <f t="shared" si="1"/>
        <v>1.149365482</v>
      </c>
      <c r="J988" s="82">
        <f t="shared" si="2"/>
        <v>0.4652535868</v>
      </c>
    </row>
    <row r="989">
      <c r="A989" s="83">
        <v>44690.0</v>
      </c>
      <c r="B989" s="66">
        <v>2093.0</v>
      </c>
      <c r="C989" s="66">
        <v>2.0</v>
      </c>
      <c r="D989" s="66" t="s">
        <v>228</v>
      </c>
      <c r="E989" s="66">
        <v>0.0</v>
      </c>
      <c r="F989" s="66">
        <v>0.1097</v>
      </c>
      <c r="G989" s="66">
        <v>0.051</v>
      </c>
      <c r="H989" s="66" t="s">
        <v>277</v>
      </c>
      <c r="I989" s="82">
        <f t="shared" si="1"/>
        <v>1.150980392</v>
      </c>
      <c r="J989" s="82">
        <f t="shared" si="2"/>
        <v>0.4649042844</v>
      </c>
    </row>
    <row r="990">
      <c r="A990" s="83">
        <v>44690.0</v>
      </c>
      <c r="B990" s="66">
        <v>2093.0</v>
      </c>
      <c r="C990" s="66">
        <v>2.0</v>
      </c>
      <c r="D990" s="66" t="s">
        <v>228</v>
      </c>
      <c r="E990" s="66">
        <v>1.0</v>
      </c>
      <c r="F990" s="66">
        <v>0.0568</v>
      </c>
      <c r="G990" s="66">
        <v>0.0264</v>
      </c>
      <c r="H990" s="66" t="s">
        <v>280</v>
      </c>
      <c r="I990" s="82">
        <f t="shared" si="1"/>
        <v>1.151515152</v>
      </c>
      <c r="J990" s="82">
        <f t="shared" si="2"/>
        <v>0.4647887324</v>
      </c>
    </row>
    <row r="991">
      <c r="A991" s="83">
        <v>44690.0</v>
      </c>
      <c r="B991" s="66">
        <v>2093.0</v>
      </c>
      <c r="C991" s="66">
        <v>2.0</v>
      </c>
      <c r="D991" s="66" t="s">
        <v>227</v>
      </c>
      <c r="E991" s="66">
        <v>0.0</v>
      </c>
      <c r="F991" s="66">
        <v>0.2143</v>
      </c>
      <c r="G991" s="66">
        <v>0.0996</v>
      </c>
      <c r="H991" s="66" t="s">
        <v>280</v>
      </c>
      <c r="I991" s="82">
        <f t="shared" si="1"/>
        <v>1.151606426</v>
      </c>
      <c r="J991" s="82">
        <f t="shared" si="2"/>
        <v>0.4647690154</v>
      </c>
    </row>
    <row r="992">
      <c r="A992" s="83">
        <v>44690.0</v>
      </c>
      <c r="B992" s="66">
        <v>2093.0</v>
      </c>
      <c r="C992" s="66">
        <v>2.0</v>
      </c>
      <c r="D992" s="66" t="s">
        <v>227</v>
      </c>
      <c r="E992" s="66">
        <v>1.0</v>
      </c>
      <c r="F992" s="66">
        <v>0.099</v>
      </c>
      <c r="G992" s="66">
        <v>0.046</v>
      </c>
      <c r="H992" s="66" t="s">
        <v>277</v>
      </c>
      <c r="I992" s="82">
        <f t="shared" si="1"/>
        <v>1.152173913</v>
      </c>
      <c r="J992" s="82">
        <f t="shared" si="2"/>
        <v>0.4646464646</v>
      </c>
    </row>
    <row r="993">
      <c r="A993" s="83">
        <v>44690.0</v>
      </c>
      <c r="B993" s="66">
        <v>2093.0</v>
      </c>
      <c r="C993" s="66">
        <v>3.0</v>
      </c>
      <c r="D993" s="66" t="s">
        <v>228</v>
      </c>
      <c r="E993" s="66">
        <v>0.0</v>
      </c>
      <c r="F993" s="66">
        <v>0.0773</v>
      </c>
      <c r="G993" s="66">
        <v>0.0359</v>
      </c>
      <c r="I993" s="82">
        <f t="shared" si="1"/>
        <v>1.153203343</v>
      </c>
      <c r="J993" s="82">
        <f t="shared" si="2"/>
        <v>0.4644243208</v>
      </c>
    </row>
    <row r="994">
      <c r="A994" s="83">
        <v>44690.0</v>
      </c>
      <c r="B994" s="66">
        <v>2093.0</v>
      </c>
      <c r="C994" s="66">
        <v>3.0</v>
      </c>
      <c r="D994" s="66" t="s">
        <v>228</v>
      </c>
      <c r="E994" s="66">
        <v>1.0</v>
      </c>
      <c r="F994" s="66">
        <v>0.2175</v>
      </c>
      <c r="G994" s="66">
        <v>0.101</v>
      </c>
      <c r="H994" s="66" t="s">
        <v>276</v>
      </c>
      <c r="I994" s="82">
        <f t="shared" si="1"/>
        <v>1.153465347</v>
      </c>
      <c r="J994" s="82">
        <f t="shared" si="2"/>
        <v>0.4643678161</v>
      </c>
    </row>
    <row r="995">
      <c r="A995" s="83">
        <v>44690.0</v>
      </c>
      <c r="B995" s="66">
        <v>2093.0</v>
      </c>
      <c r="C995" s="66">
        <v>3.0</v>
      </c>
      <c r="D995" s="66" t="s">
        <v>227</v>
      </c>
      <c r="E995" s="66">
        <v>0.0</v>
      </c>
      <c r="F995" s="66">
        <v>2.0931</v>
      </c>
      <c r="G995" s="66">
        <v>0.9718</v>
      </c>
      <c r="H995" s="66" t="s">
        <v>276</v>
      </c>
      <c r="I995" s="82">
        <f t="shared" si="1"/>
        <v>1.153838238</v>
      </c>
      <c r="J995" s="82">
        <f t="shared" si="2"/>
        <v>0.4642874206</v>
      </c>
    </row>
    <row r="996">
      <c r="A996" s="83">
        <v>44690.0</v>
      </c>
      <c r="B996" s="66">
        <v>2093.0</v>
      </c>
      <c r="C996" s="66">
        <v>3.0</v>
      </c>
      <c r="D996" s="66" t="s">
        <v>227</v>
      </c>
      <c r="E996" s="66">
        <v>1.0</v>
      </c>
      <c r="F996" s="66">
        <v>0.3042</v>
      </c>
      <c r="G996" s="66">
        <v>0.1412</v>
      </c>
      <c r="H996" s="66" t="s">
        <v>276</v>
      </c>
      <c r="I996" s="82">
        <f t="shared" si="1"/>
        <v>1.154390935</v>
      </c>
      <c r="J996" s="82">
        <f t="shared" si="2"/>
        <v>0.4641683103</v>
      </c>
    </row>
    <row r="997">
      <c r="A997" s="83">
        <v>44704.0</v>
      </c>
      <c r="B997" s="66">
        <v>2021.0</v>
      </c>
      <c r="C997" s="66">
        <v>1.0</v>
      </c>
      <c r="D997" s="66" t="s">
        <v>227</v>
      </c>
      <c r="E997" s="66">
        <v>0.0</v>
      </c>
      <c r="F997" s="66">
        <v>0.4954</v>
      </c>
      <c r="G997" s="66">
        <v>0.2298</v>
      </c>
      <c r="I997" s="82">
        <f t="shared" si="1"/>
        <v>1.155787641</v>
      </c>
      <c r="J997" s="82">
        <f t="shared" si="2"/>
        <v>0.4638675818</v>
      </c>
    </row>
    <row r="998">
      <c r="A998" s="83">
        <v>44704.0</v>
      </c>
      <c r="B998" s="66">
        <v>2021.0</v>
      </c>
      <c r="C998" s="66">
        <v>1.0</v>
      </c>
      <c r="D998" s="66" t="s">
        <v>227</v>
      </c>
      <c r="E998" s="66">
        <v>1.0</v>
      </c>
      <c r="F998" s="66">
        <v>0.973</v>
      </c>
      <c r="G998" s="66">
        <v>0.4512</v>
      </c>
      <c r="I998" s="82">
        <f t="shared" si="1"/>
        <v>1.156471631</v>
      </c>
      <c r="J998" s="82">
        <f t="shared" si="2"/>
        <v>0.4637204522</v>
      </c>
    </row>
    <row r="999">
      <c r="A999" s="83">
        <v>44704.0</v>
      </c>
      <c r="B999" s="66">
        <v>2021.0</v>
      </c>
      <c r="C999" s="66">
        <v>2.0</v>
      </c>
      <c r="D999" s="66" t="s">
        <v>228</v>
      </c>
      <c r="E999" s="66">
        <v>0.0</v>
      </c>
      <c r="F999" s="66">
        <v>2.2081</v>
      </c>
      <c r="G999" s="66">
        <v>1.0237</v>
      </c>
      <c r="I999" s="82">
        <f t="shared" si="1"/>
        <v>1.156979584</v>
      </c>
      <c r="J999" s="82">
        <f t="shared" si="2"/>
        <v>0.4636112495</v>
      </c>
    </row>
    <row r="1000">
      <c r="A1000" s="83">
        <v>44704.0</v>
      </c>
      <c r="B1000" s="66">
        <v>2021.0</v>
      </c>
      <c r="C1000" s="66">
        <v>2.0</v>
      </c>
      <c r="D1000" s="66" t="s">
        <v>227</v>
      </c>
      <c r="E1000" s="66">
        <v>0.0</v>
      </c>
      <c r="F1000" s="66">
        <v>0.2143</v>
      </c>
      <c r="G1000" s="66">
        <v>0.0993</v>
      </c>
      <c r="H1000" s="66" t="s">
        <v>280</v>
      </c>
      <c r="I1000" s="82">
        <f t="shared" si="1"/>
        <v>1.158106747</v>
      </c>
      <c r="J1000" s="82">
        <f t="shared" si="2"/>
        <v>0.4633691087</v>
      </c>
    </row>
    <row r="1001">
      <c r="A1001" s="83">
        <v>44704.0</v>
      </c>
      <c r="B1001" s="66">
        <v>2021.0</v>
      </c>
      <c r="C1001" s="66">
        <v>2.0</v>
      </c>
      <c r="D1001" s="66" t="s">
        <v>227</v>
      </c>
      <c r="E1001" s="66">
        <v>1.0</v>
      </c>
      <c r="F1001" s="66">
        <v>0.0842</v>
      </c>
      <c r="G1001" s="66">
        <v>0.039</v>
      </c>
      <c r="H1001" s="66" t="s">
        <v>277</v>
      </c>
      <c r="I1001" s="82">
        <f t="shared" si="1"/>
        <v>1.158974359</v>
      </c>
      <c r="J1001" s="82">
        <f t="shared" si="2"/>
        <v>0.4631828979</v>
      </c>
    </row>
    <row r="1002">
      <c r="A1002" s="83">
        <v>44704.0</v>
      </c>
      <c r="B1002" s="66">
        <v>2021.0</v>
      </c>
      <c r="C1002" s="66">
        <v>3.0</v>
      </c>
      <c r="D1002" s="66" t="s">
        <v>228</v>
      </c>
      <c r="E1002" s="66">
        <v>0.0</v>
      </c>
      <c r="F1002" s="66">
        <v>0.0976</v>
      </c>
      <c r="G1002" s="66">
        <v>0.0451</v>
      </c>
      <c r="H1002" s="66" t="s">
        <v>277</v>
      </c>
      <c r="I1002" s="82">
        <f t="shared" si="1"/>
        <v>1.164079823</v>
      </c>
      <c r="J1002" s="82">
        <f t="shared" si="2"/>
        <v>0.4620901639</v>
      </c>
    </row>
    <row r="1003">
      <c r="A1003" s="83">
        <v>44704.0</v>
      </c>
      <c r="B1003" s="66">
        <v>2021.0</v>
      </c>
      <c r="C1003" s="66">
        <v>3.0</v>
      </c>
      <c r="D1003" s="66" t="s">
        <v>227</v>
      </c>
      <c r="E1003" s="66">
        <v>0.0</v>
      </c>
      <c r="F1003" s="66">
        <v>0.526</v>
      </c>
      <c r="G1003" s="66">
        <v>0.243</v>
      </c>
      <c r="I1003" s="82">
        <f t="shared" si="1"/>
        <v>1.164609053</v>
      </c>
      <c r="J1003" s="82">
        <f t="shared" si="2"/>
        <v>0.4619771863</v>
      </c>
    </row>
    <row r="1004">
      <c r="A1004" s="83">
        <v>44704.0</v>
      </c>
      <c r="B1004" s="66">
        <v>2021.0</v>
      </c>
      <c r="C1004" s="66">
        <v>3.0</v>
      </c>
      <c r="D1004" s="66" t="s">
        <v>227</v>
      </c>
      <c r="E1004" s="66">
        <v>1.0</v>
      </c>
      <c r="F1004" s="66">
        <v>0.5629</v>
      </c>
      <c r="G1004" s="66">
        <v>0.26</v>
      </c>
      <c r="H1004" s="66" t="s">
        <v>277</v>
      </c>
      <c r="I1004" s="82">
        <f t="shared" si="1"/>
        <v>1.165</v>
      </c>
      <c r="J1004" s="82">
        <f t="shared" si="2"/>
        <v>0.4618937644</v>
      </c>
    </row>
    <row r="1005">
      <c r="A1005" s="83">
        <v>44704.0</v>
      </c>
      <c r="B1005" s="66">
        <v>2022.0</v>
      </c>
      <c r="C1005" s="66">
        <v>1.0</v>
      </c>
      <c r="D1005" s="66" t="s">
        <v>228</v>
      </c>
      <c r="E1005" s="66">
        <v>0.0</v>
      </c>
      <c r="F1005" s="66">
        <v>0.0996</v>
      </c>
      <c r="G1005" s="66">
        <v>0.046</v>
      </c>
      <c r="I1005" s="82">
        <f t="shared" si="1"/>
        <v>1.165217391</v>
      </c>
      <c r="J1005" s="82">
        <f t="shared" si="2"/>
        <v>0.4618473896</v>
      </c>
    </row>
    <row r="1006">
      <c r="A1006" s="83">
        <v>44704.0</v>
      </c>
      <c r="B1006" s="66">
        <v>2022.0</v>
      </c>
      <c r="C1006" s="66">
        <v>1.0</v>
      </c>
      <c r="D1006" s="66" t="s">
        <v>228</v>
      </c>
      <c r="E1006" s="66">
        <v>1.0</v>
      </c>
      <c r="F1006" s="66">
        <v>0.825</v>
      </c>
      <c r="G1006" s="66">
        <v>0.381</v>
      </c>
      <c r="H1006" s="66" t="s">
        <v>277</v>
      </c>
      <c r="I1006" s="82">
        <f t="shared" si="1"/>
        <v>1.165354331</v>
      </c>
      <c r="J1006" s="82">
        <f t="shared" si="2"/>
        <v>0.4618181818</v>
      </c>
    </row>
    <row r="1007">
      <c r="A1007" s="83">
        <v>44704.0</v>
      </c>
      <c r="B1007" s="66">
        <v>2022.0</v>
      </c>
      <c r="C1007" s="66">
        <v>1.0</v>
      </c>
      <c r="D1007" s="66" t="s">
        <v>227</v>
      </c>
      <c r="E1007" s="66">
        <v>0.0</v>
      </c>
      <c r="F1007" s="66">
        <v>0.209</v>
      </c>
      <c r="G1007" s="66">
        <v>0.0965</v>
      </c>
      <c r="I1007" s="82">
        <f t="shared" si="1"/>
        <v>1.165803109</v>
      </c>
      <c r="J1007" s="82">
        <f t="shared" si="2"/>
        <v>0.461722488</v>
      </c>
    </row>
    <row r="1008">
      <c r="A1008" s="83">
        <v>44704.0</v>
      </c>
      <c r="B1008" s="66">
        <v>2022.0</v>
      </c>
      <c r="C1008" s="66">
        <v>1.0</v>
      </c>
      <c r="D1008" s="66" t="s">
        <v>227</v>
      </c>
      <c r="E1008" s="66">
        <v>1.0</v>
      </c>
      <c r="F1008" s="66">
        <v>0.0481</v>
      </c>
      <c r="G1008" s="66">
        <v>0.0222</v>
      </c>
      <c r="I1008" s="82">
        <f t="shared" si="1"/>
        <v>1.166666667</v>
      </c>
      <c r="J1008" s="82">
        <f t="shared" si="2"/>
        <v>0.4615384615</v>
      </c>
    </row>
    <row r="1009">
      <c r="A1009" s="83">
        <v>44704.0</v>
      </c>
      <c r="B1009" s="66">
        <v>2022.0</v>
      </c>
      <c r="C1009" s="66">
        <v>2.0</v>
      </c>
      <c r="D1009" s="66" t="s">
        <v>228</v>
      </c>
      <c r="E1009" s="66">
        <v>0.0</v>
      </c>
      <c r="F1009" s="66">
        <v>0.273</v>
      </c>
      <c r="G1009" s="66">
        <v>0.126</v>
      </c>
      <c r="H1009" s="66" t="s">
        <v>276</v>
      </c>
      <c r="I1009" s="82">
        <f t="shared" si="1"/>
        <v>1.166666667</v>
      </c>
      <c r="J1009" s="82">
        <f t="shared" si="2"/>
        <v>0.4615384615</v>
      </c>
    </row>
    <row r="1010">
      <c r="A1010" s="83">
        <v>44704.0</v>
      </c>
      <c r="B1010" s="66">
        <v>2022.0</v>
      </c>
      <c r="C1010" s="66">
        <v>2.0</v>
      </c>
      <c r="D1010" s="66" t="s">
        <v>228</v>
      </c>
      <c r="E1010" s="66">
        <v>1.0</v>
      </c>
      <c r="F1010" s="66">
        <v>0.2341</v>
      </c>
      <c r="G1010" s="66">
        <v>0.108</v>
      </c>
      <c r="H1010" s="66" t="s">
        <v>277</v>
      </c>
      <c r="I1010" s="82">
        <f t="shared" si="1"/>
        <v>1.167592593</v>
      </c>
      <c r="J1010" s="82">
        <f t="shared" si="2"/>
        <v>0.4613413071</v>
      </c>
    </row>
    <row r="1011">
      <c r="A1011" s="83">
        <v>44704.0</v>
      </c>
      <c r="B1011" s="66">
        <v>2022.0</v>
      </c>
      <c r="C1011" s="66">
        <v>2.0</v>
      </c>
      <c r="D1011" s="66" t="s">
        <v>227</v>
      </c>
      <c r="E1011" s="66">
        <v>0.0</v>
      </c>
      <c r="F1011" s="66">
        <v>1.7516</v>
      </c>
      <c r="G1011" s="66">
        <v>0.8078</v>
      </c>
      <c r="H1011" s="66" t="s">
        <v>276</v>
      </c>
      <c r="I1011" s="82">
        <f t="shared" si="1"/>
        <v>1.168358505</v>
      </c>
      <c r="J1011" s="82">
        <f t="shared" si="2"/>
        <v>0.4611783512</v>
      </c>
    </row>
    <row r="1012">
      <c r="A1012" s="83">
        <v>44704.0</v>
      </c>
      <c r="B1012" s="66">
        <v>2022.0</v>
      </c>
      <c r="C1012" s="66">
        <v>2.0</v>
      </c>
      <c r="D1012" s="66" t="s">
        <v>227</v>
      </c>
      <c r="E1012" s="66">
        <v>1.0</v>
      </c>
      <c r="F1012" s="66">
        <v>0.2032</v>
      </c>
      <c r="G1012" s="66">
        <v>0.0937</v>
      </c>
      <c r="H1012" s="66" t="s">
        <v>276</v>
      </c>
      <c r="I1012" s="82">
        <f t="shared" si="1"/>
        <v>1.168623266</v>
      </c>
      <c r="J1012" s="82">
        <f t="shared" si="2"/>
        <v>0.4611220472</v>
      </c>
    </row>
    <row r="1013">
      <c r="A1013" s="83">
        <v>44704.0</v>
      </c>
      <c r="B1013" s="66">
        <v>2022.0</v>
      </c>
      <c r="C1013" s="66">
        <v>3.0</v>
      </c>
      <c r="D1013" s="66" t="s">
        <v>228</v>
      </c>
      <c r="E1013" s="66">
        <v>0.0</v>
      </c>
      <c r="F1013" s="66">
        <v>0.0347</v>
      </c>
      <c r="G1013" s="66">
        <v>0.016</v>
      </c>
      <c r="I1013" s="82">
        <f t="shared" si="1"/>
        <v>1.16875</v>
      </c>
      <c r="J1013" s="82">
        <f t="shared" si="2"/>
        <v>0.4610951009</v>
      </c>
    </row>
    <row r="1014">
      <c r="A1014" s="83">
        <v>44704.0</v>
      </c>
      <c r="B1014" s="66">
        <v>2022.0</v>
      </c>
      <c r="C1014" s="66">
        <v>3.0</v>
      </c>
      <c r="D1014" s="66" t="s">
        <v>228</v>
      </c>
      <c r="E1014" s="66">
        <v>1.0</v>
      </c>
      <c r="F1014" s="66">
        <v>0.0629</v>
      </c>
      <c r="G1014" s="66">
        <v>0.029</v>
      </c>
      <c r="H1014" s="66" t="s">
        <v>277</v>
      </c>
      <c r="I1014" s="82">
        <f t="shared" si="1"/>
        <v>1.168965517</v>
      </c>
      <c r="J1014" s="82">
        <f t="shared" si="2"/>
        <v>0.4610492846</v>
      </c>
    </row>
    <row r="1015">
      <c r="A1015" s="83">
        <v>44704.0</v>
      </c>
      <c r="B1015" s="66">
        <v>2022.0</v>
      </c>
      <c r="C1015" s="66">
        <v>3.0</v>
      </c>
      <c r="D1015" s="66" t="s">
        <v>227</v>
      </c>
      <c r="E1015" s="66">
        <v>0.0</v>
      </c>
      <c r="F1015" s="66">
        <v>0.2449</v>
      </c>
      <c r="G1015" s="66">
        <v>0.1129</v>
      </c>
      <c r="I1015" s="82">
        <f t="shared" si="1"/>
        <v>1.169176262</v>
      </c>
      <c r="J1015" s="82">
        <f t="shared" si="2"/>
        <v>0.4610044916</v>
      </c>
    </row>
    <row r="1016">
      <c r="A1016" s="83">
        <v>44704.0</v>
      </c>
      <c r="B1016" s="66">
        <v>2022.0</v>
      </c>
      <c r="C1016" s="66">
        <v>3.0</v>
      </c>
      <c r="D1016" s="66" t="s">
        <v>227</v>
      </c>
      <c r="E1016" s="66">
        <v>1.0</v>
      </c>
      <c r="F1016" s="66">
        <v>0.1137</v>
      </c>
      <c r="G1016" s="66">
        <v>0.0524</v>
      </c>
      <c r="I1016" s="82">
        <f t="shared" si="1"/>
        <v>1.169847328</v>
      </c>
      <c r="J1016" s="82">
        <f t="shared" si="2"/>
        <v>0.4608619173</v>
      </c>
    </row>
    <row r="1017">
      <c r="A1017" s="83">
        <v>44704.0</v>
      </c>
      <c r="B1017" s="66">
        <v>2026.0</v>
      </c>
      <c r="C1017" s="66">
        <v>1.0</v>
      </c>
      <c r="D1017" s="66" t="s">
        <v>228</v>
      </c>
      <c r="E1017" s="66">
        <v>0.0</v>
      </c>
      <c r="F1017" s="66">
        <v>0.1172</v>
      </c>
      <c r="G1017" s="66">
        <v>0.054</v>
      </c>
      <c r="H1017" s="66" t="s">
        <v>276</v>
      </c>
      <c r="I1017" s="82">
        <f t="shared" si="1"/>
        <v>1.17037037</v>
      </c>
      <c r="J1017" s="82">
        <f t="shared" si="2"/>
        <v>0.4607508532</v>
      </c>
    </row>
    <row r="1018">
      <c r="A1018" s="83">
        <v>44704.0</v>
      </c>
      <c r="B1018" s="66">
        <v>2026.0</v>
      </c>
      <c r="C1018" s="66">
        <v>1.0</v>
      </c>
      <c r="D1018" s="66" t="s">
        <v>227</v>
      </c>
      <c r="E1018" s="66">
        <v>0.0</v>
      </c>
      <c r="F1018" s="66">
        <v>0.358</v>
      </c>
      <c r="G1018" s="66">
        <v>0.1649</v>
      </c>
      <c r="H1018" s="66" t="s">
        <v>276</v>
      </c>
      <c r="I1018" s="82">
        <f t="shared" si="1"/>
        <v>1.171012735</v>
      </c>
      <c r="J1018" s="82">
        <f t="shared" si="2"/>
        <v>0.4606145251</v>
      </c>
    </row>
    <row r="1019">
      <c r="A1019" s="83">
        <v>44704.0</v>
      </c>
      <c r="B1019" s="66">
        <v>2026.0</v>
      </c>
      <c r="C1019" s="66">
        <v>1.0</v>
      </c>
      <c r="D1019" s="66" t="s">
        <v>227</v>
      </c>
      <c r="E1019" s="66">
        <v>1.0</v>
      </c>
      <c r="F1019" s="66">
        <v>0.8273</v>
      </c>
      <c r="G1019" s="66">
        <v>0.381</v>
      </c>
      <c r="H1019" s="66" t="s">
        <v>276</v>
      </c>
      <c r="I1019" s="82">
        <f t="shared" si="1"/>
        <v>1.171391076</v>
      </c>
      <c r="J1019" s="82">
        <f t="shared" si="2"/>
        <v>0.4605342681</v>
      </c>
    </row>
    <row r="1020">
      <c r="A1020" s="83">
        <v>44704.0</v>
      </c>
      <c r="B1020" s="66">
        <v>2026.0</v>
      </c>
      <c r="C1020" s="66">
        <v>2.0</v>
      </c>
      <c r="D1020" s="66" t="s">
        <v>228</v>
      </c>
      <c r="E1020" s="66">
        <v>0.0</v>
      </c>
      <c r="F1020" s="66">
        <v>0.1705</v>
      </c>
      <c r="G1020" s="66">
        <v>0.0785</v>
      </c>
      <c r="I1020" s="82">
        <f t="shared" si="1"/>
        <v>1.171974522</v>
      </c>
      <c r="J1020" s="82">
        <f t="shared" si="2"/>
        <v>0.4604105572</v>
      </c>
    </row>
    <row r="1021">
      <c r="A1021" s="83">
        <v>44704.0</v>
      </c>
      <c r="B1021" s="66">
        <v>2026.0</v>
      </c>
      <c r="C1021" s="66">
        <v>2.0</v>
      </c>
      <c r="D1021" s="66" t="s">
        <v>227</v>
      </c>
      <c r="E1021" s="66">
        <v>0.0</v>
      </c>
      <c r="F1021" s="66">
        <v>0.5863</v>
      </c>
      <c r="G1021" s="66">
        <v>0.2699</v>
      </c>
      <c r="I1021" s="82">
        <f t="shared" si="1"/>
        <v>1.172286032</v>
      </c>
      <c r="J1021" s="82">
        <f t="shared" si="2"/>
        <v>0.4603445335</v>
      </c>
    </row>
    <row r="1022">
      <c r="A1022" s="83">
        <v>44704.0</v>
      </c>
      <c r="B1022" s="66">
        <v>2026.0</v>
      </c>
      <c r="C1022" s="66">
        <v>2.0</v>
      </c>
      <c r="D1022" s="66" t="s">
        <v>227</v>
      </c>
      <c r="E1022" s="66">
        <v>1.0</v>
      </c>
      <c r="F1022" s="66">
        <v>0.0693</v>
      </c>
      <c r="G1022" s="66">
        <v>0.0319</v>
      </c>
      <c r="I1022" s="82">
        <f t="shared" si="1"/>
        <v>1.172413793</v>
      </c>
      <c r="J1022" s="82">
        <f t="shared" si="2"/>
        <v>0.4603174603</v>
      </c>
    </row>
    <row r="1023">
      <c r="A1023" s="83">
        <v>44704.0</v>
      </c>
      <c r="B1023" s="66">
        <v>2026.0</v>
      </c>
      <c r="C1023" s="66">
        <v>3.0</v>
      </c>
      <c r="D1023" s="66" t="s">
        <v>228</v>
      </c>
      <c r="E1023" s="66">
        <v>0.0</v>
      </c>
      <c r="F1023" s="66">
        <v>0.6085</v>
      </c>
      <c r="G1023" s="66">
        <v>0.28</v>
      </c>
      <c r="H1023" s="66" t="s">
        <v>276</v>
      </c>
      <c r="I1023" s="82">
        <f t="shared" si="1"/>
        <v>1.173214286</v>
      </c>
      <c r="J1023" s="82">
        <f t="shared" si="2"/>
        <v>0.4601479047</v>
      </c>
    </row>
    <row r="1024">
      <c r="A1024" s="83">
        <v>44704.0</v>
      </c>
      <c r="B1024" s="66">
        <v>2026.0</v>
      </c>
      <c r="C1024" s="66">
        <v>3.0</v>
      </c>
      <c r="D1024" s="66" t="s">
        <v>227</v>
      </c>
      <c r="E1024" s="66">
        <v>0.0</v>
      </c>
      <c r="F1024" s="66">
        <v>0.2765</v>
      </c>
      <c r="G1024" s="66">
        <v>0.1272</v>
      </c>
      <c r="I1024" s="82">
        <f t="shared" si="1"/>
        <v>1.173742138</v>
      </c>
      <c r="J1024" s="82">
        <f t="shared" si="2"/>
        <v>0.4600361664</v>
      </c>
    </row>
    <row r="1025">
      <c r="A1025" s="83">
        <v>44704.0</v>
      </c>
      <c r="B1025" s="66">
        <v>2026.0</v>
      </c>
      <c r="C1025" s="66">
        <v>3.0</v>
      </c>
      <c r="D1025" s="66" t="s">
        <v>227</v>
      </c>
      <c r="E1025" s="66">
        <v>1.0</v>
      </c>
      <c r="F1025" s="66">
        <v>0.1935</v>
      </c>
      <c r="G1025" s="66">
        <v>0.0889</v>
      </c>
      <c r="I1025" s="82">
        <f t="shared" si="1"/>
        <v>1.176602925</v>
      </c>
      <c r="J1025" s="82">
        <f t="shared" si="2"/>
        <v>0.4594315245</v>
      </c>
    </row>
    <row r="1026">
      <c r="A1026" s="83">
        <v>44704.0</v>
      </c>
      <c r="B1026" s="66">
        <v>2027.0</v>
      </c>
      <c r="C1026" s="66">
        <v>1.0</v>
      </c>
      <c r="D1026" s="66" t="s">
        <v>228</v>
      </c>
      <c r="E1026" s="66">
        <v>0.0</v>
      </c>
      <c r="F1026" s="66">
        <v>0.0616</v>
      </c>
      <c r="G1026" s="66">
        <v>0.0283</v>
      </c>
      <c r="I1026" s="82">
        <f t="shared" si="1"/>
        <v>1.176678445</v>
      </c>
      <c r="J1026" s="82">
        <f t="shared" si="2"/>
        <v>0.4594155844</v>
      </c>
    </row>
    <row r="1027">
      <c r="A1027" s="83">
        <v>44704.0</v>
      </c>
      <c r="B1027" s="66">
        <v>2027.0</v>
      </c>
      <c r="C1027" s="66">
        <v>1.0</v>
      </c>
      <c r="D1027" s="66" t="s">
        <v>227</v>
      </c>
      <c r="E1027" s="66">
        <v>0.0</v>
      </c>
      <c r="F1027" s="66">
        <v>2.092</v>
      </c>
      <c r="G1027" s="66">
        <v>0.9603</v>
      </c>
      <c r="I1027" s="82">
        <f t="shared" si="1"/>
        <v>1.17848589</v>
      </c>
      <c r="J1027" s="82">
        <f t="shared" si="2"/>
        <v>0.4590344168</v>
      </c>
    </row>
    <row r="1028">
      <c r="A1028" s="83">
        <v>44704.0</v>
      </c>
      <c r="B1028" s="66">
        <v>2027.0</v>
      </c>
      <c r="C1028" s="66">
        <v>1.0</v>
      </c>
      <c r="D1028" s="66" t="s">
        <v>227</v>
      </c>
      <c r="E1028" s="66">
        <v>1.0</v>
      </c>
      <c r="F1028" s="66">
        <v>0.913</v>
      </c>
      <c r="G1028" s="66">
        <v>0.419</v>
      </c>
      <c r="H1028" s="66" t="s">
        <v>279</v>
      </c>
      <c r="I1028" s="82">
        <f t="shared" si="1"/>
        <v>1.178997613</v>
      </c>
      <c r="J1028" s="82">
        <f t="shared" si="2"/>
        <v>0.4589266156</v>
      </c>
    </row>
    <row r="1029">
      <c r="A1029" s="83">
        <v>44704.0</v>
      </c>
      <c r="B1029" s="66">
        <v>2027.0</v>
      </c>
      <c r="C1029" s="66">
        <v>2.0</v>
      </c>
      <c r="D1029" s="66" t="s">
        <v>228</v>
      </c>
      <c r="E1029" s="66">
        <v>0.0</v>
      </c>
      <c r="F1029" s="66">
        <v>0.0604</v>
      </c>
      <c r="G1029" s="66">
        <v>0.0277</v>
      </c>
      <c r="H1029" s="66" t="s">
        <v>276</v>
      </c>
      <c r="I1029" s="82">
        <f t="shared" si="1"/>
        <v>1.180505415</v>
      </c>
      <c r="J1029" s="82">
        <f t="shared" si="2"/>
        <v>0.4586092715</v>
      </c>
    </row>
    <row r="1030">
      <c r="A1030" s="83">
        <v>44704.0</v>
      </c>
      <c r="B1030" s="66">
        <v>2027.0</v>
      </c>
      <c r="C1030" s="66">
        <v>2.0</v>
      </c>
      <c r="D1030" s="66" t="s">
        <v>227</v>
      </c>
      <c r="E1030" s="66">
        <v>0.0</v>
      </c>
      <c r="F1030" s="66">
        <v>0.0567</v>
      </c>
      <c r="G1030" s="66">
        <v>0.026</v>
      </c>
      <c r="H1030" s="66" t="s">
        <v>277</v>
      </c>
      <c r="I1030" s="82">
        <f t="shared" si="1"/>
        <v>1.180769231</v>
      </c>
      <c r="J1030" s="82">
        <f t="shared" si="2"/>
        <v>0.4585537919</v>
      </c>
    </row>
    <row r="1031">
      <c r="A1031" s="83">
        <v>44704.0</v>
      </c>
      <c r="B1031" s="66">
        <v>2027.0</v>
      </c>
      <c r="C1031" s="66">
        <v>2.0</v>
      </c>
      <c r="D1031" s="66" t="s">
        <v>227</v>
      </c>
      <c r="E1031" s="66">
        <v>1.0</v>
      </c>
      <c r="F1031" s="66">
        <v>0.0458</v>
      </c>
      <c r="G1031" s="66">
        <v>0.021</v>
      </c>
      <c r="I1031" s="82">
        <f t="shared" si="1"/>
        <v>1.180952381</v>
      </c>
      <c r="J1031" s="82">
        <f t="shared" si="2"/>
        <v>0.4585152838</v>
      </c>
    </row>
    <row r="1032">
      <c r="A1032" s="83">
        <v>44704.0</v>
      </c>
      <c r="B1032" s="66">
        <v>2027.0</v>
      </c>
      <c r="C1032" s="66">
        <v>3.0</v>
      </c>
      <c r="D1032" s="66" t="s">
        <v>228</v>
      </c>
      <c r="E1032" s="66">
        <v>0.0</v>
      </c>
      <c r="F1032" s="66">
        <v>0.6481</v>
      </c>
      <c r="G1032" s="66">
        <v>0.2966</v>
      </c>
      <c r="H1032" s="66" t="s">
        <v>276</v>
      </c>
      <c r="I1032" s="82">
        <f t="shared" si="1"/>
        <v>1.185097775</v>
      </c>
      <c r="J1032" s="82">
        <f t="shared" si="2"/>
        <v>0.4576454251</v>
      </c>
    </row>
    <row r="1033">
      <c r="A1033" s="83">
        <v>44704.0</v>
      </c>
      <c r="B1033" s="66">
        <v>2027.0</v>
      </c>
      <c r="C1033" s="66">
        <v>3.0</v>
      </c>
      <c r="D1033" s="66" t="s">
        <v>227</v>
      </c>
      <c r="E1033" s="66">
        <v>0.0</v>
      </c>
      <c r="F1033" s="66">
        <v>0.7909</v>
      </c>
      <c r="G1033" s="66">
        <v>0.3619</v>
      </c>
      <c r="I1033" s="82">
        <f t="shared" si="1"/>
        <v>1.185410334</v>
      </c>
      <c r="J1033" s="82">
        <f t="shared" si="2"/>
        <v>0.4575799722</v>
      </c>
    </row>
    <row r="1034">
      <c r="A1034" s="83">
        <v>44704.0</v>
      </c>
      <c r="B1034" s="66">
        <v>2027.0</v>
      </c>
      <c r="C1034" s="66">
        <v>3.0</v>
      </c>
      <c r="D1034" s="66" t="s">
        <v>227</v>
      </c>
      <c r="E1034" s="66">
        <v>1.0</v>
      </c>
      <c r="F1034" s="66">
        <v>0.8096</v>
      </c>
      <c r="G1034" s="66">
        <v>0.3704</v>
      </c>
      <c r="H1034" s="66" t="s">
        <v>276</v>
      </c>
      <c r="I1034" s="82">
        <f t="shared" si="1"/>
        <v>1.18574514</v>
      </c>
      <c r="J1034" s="82">
        <f t="shared" si="2"/>
        <v>0.4575098814</v>
      </c>
    </row>
    <row r="1035">
      <c r="A1035" s="83">
        <v>44704.0</v>
      </c>
      <c r="B1035" s="66">
        <v>2027.0</v>
      </c>
      <c r="C1035" s="66">
        <v>3.0</v>
      </c>
      <c r="D1035" s="66" t="s">
        <v>227</v>
      </c>
      <c r="E1035" s="66">
        <v>1.0</v>
      </c>
      <c r="F1035" s="66">
        <v>0.675</v>
      </c>
      <c r="G1035" s="66">
        <v>0.3088</v>
      </c>
      <c r="I1035" s="82">
        <f t="shared" si="1"/>
        <v>1.185880829</v>
      </c>
      <c r="J1035" s="82">
        <f t="shared" si="2"/>
        <v>0.4574814815</v>
      </c>
    </row>
    <row r="1036">
      <c r="A1036" s="83">
        <v>44704.0</v>
      </c>
      <c r="B1036" s="66">
        <v>2028.0</v>
      </c>
      <c r="C1036" s="66">
        <v>1.0</v>
      </c>
      <c r="D1036" s="66" t="s">
        <v>228</v>
      </c>
      <c r="E1036" s="66">
        <v>0.0</v>
      </c>
      <c r="F1036" s="107">
        <v>0.181</v>
      </c>
      <c r="G1036" s="66">
        <v>0.0828</v>
      </c>
      <c r="I1036" s="82">
        <f t="shared" si="1"/>
        <v>1.185990338</v>
      </c>
      <c r="J1036" s="82">
        <f t="shared" si="2"/>
        <v>0.4574585635</v>
      </c>
    </row>
    <row r="1037">
      <c r="A1037" s="83">
        <v>44704.0</v>
      </c>
      <c r="B1037" s="66">
        <v>2028.0</v>
      </c>
      <c r="C1037" s="66">
        <v>1.0</v>
      </c>
      <c r="D1037" s="66" t="s">
        <v>227</v>
      </c>
      <c r="E1037" s="66">
        <v>0.0</v>
      </c>
      <c r="F1037" s="66">
        <v>0.561</v>
      </c>
      <c r="G1037" s="66">
        <v>0.2565</v>
      </c>
      <c r="I1037" s="82">
        <f t="shared" si="1"/>
        <v>1.187134503</v>
      </c>
      <c r="J1037" s="82">
        <f t="shared" si="2"/>
        <v>0.4572192513</v>
      </c>
    </row>
    <row r="1038">
      <c r="A1038" s="83">
        <v>44704.0</v>
      </c>
      <c r="B1038" s="66">
        <v>2028.0</v>
      </c>
      <c r="C1038" s="66">
        <v>1.0</v>
      </c>
      <c r="D1038" s="66" t="s">
        <v>227</v>
      </c>
      <c r="E1038" s="66">
        <v>1.0</v>
      </c>
      <c r="F1038" s="66">
        <v>0.3456</v>
      </c>
      <c r="G1038" s="66">
        <v>0.158</v>
      </c>
      <c r="H1038" s="66" t="s">
        <v>277</v>
      </c>
      <c r="I1038" s="82">
        <f t="shared" si="1"/>
        <v>1.187341772</v>
      </c>
      <c r="J1038" s="82">
        <f t="shared" si="2"/>
        <v>0.4571759259</v>
      </c>
    </row>
    <row r="1039">
      <c r="A1039" s="83">
        <v>44704.0</v>
      </c>
      <c r="B1039" s="66">
        <v>2028.0</v>
      </c>
      <c r="C1039" s="66">
        <v>2.0</v>
      </c>
      <c r="D1039" s="66" t="s">
        <v>228</v>
      </c>
      <c r="E1039" s="66">
        <v>0.0</v>
      </c>
      <c r="F1039" s="66">
        <v>0.6324</v>
      </c>
      <c r="G1039" s="66">
        <v>0.289</v>
      </c>
      <c r="I1039" s="82">
        <f t="shared" si="1"/>
        <v>1.188235294</v>
      </c>
      <c r="J1039" s="82">
        <f t="shared" si="2"/>
        <v>0.4569892473</v>
      </c>
    </row>
    <row r="1040">
      <c r="A1040" s="83">
        <v>44704.0</v>
      </c>
      <c r="B1040" s="66">
        <v>2028.0</v>
      </c>
      <c r="C1040" s="66">
        <v>2.0</v>
      </c>
      <c r="D1040" s="66" t="s">
        <v>227</v>
      </c>
      <c r="E1040" s="66">
        <v>0.0</v>
      </c>
      <c r="F1040" s="66">
        <v>0.0613</v>
      </c>
      <c r="G1040" s="66">
        <v>0.028</v>
      </c>
      <c r="I1040" s="82">
        <f t="shared" si="1"/>
        <v>1.189285714</v>
      </c>
      <c r="J1040" s="82">
        <f t="shared" si="2"/>
        <v>0.4567699837</v>
      </c>
    </row>
    <row r="1041">
      <c r="A1041" s="83">
        <v>44704.0</v>
      </c>
      <c r="B1041" s="66">
        <v>2028.0</v>
      </c>
      <c r="C1041" s="66">
        <v>2.0</v>
      </c>
      <c r="D1041" s="66" t="s">
        <v>227</v>
      </c>
      <c r="E1041" s="66">
        <v>1.0</v>
      </c>
      <c r="F1041" s="66">
        <v>0.3614</v>
      </c>
      <c r="G1041" s="66">
        <v>0.165</v>
      </c>
      <c r="H1041" s="66" t="s">
        <v>277</v>
      </c>
      <c r="I1041" s="82">
        <f t="shared" si="1"/>
        <v>1.19030303</v>
      </c>
      <c r="J1041" s="82">
        <f t="shared" si="2"/>
        <v>0.4565578307</v>
      </c>
    </row>
    <row r="1042">
      <c r="A1042" s="83">
        <v>44704.0</v>
      </c>
      <c r="B1042" s="66">
        <v>2028.0</v>
      </c>
      <c r="C1042" s="66">
        <v>3.0</v>
      </c>
      <c r="D1042" s="66" t="s">
        <v>228</v>
      </c>
      <c r="E1042" s="66">
        <v>0.0</v>
      </c>
      <c r="F1042" s="66">
        <v>0.046</v>
      </c>
      <c r="G1042" s="66">
        <v>0.021</v>
      </c>
      <c r="I1042" s="82">
        <f t="shared" si="1"/>
        <v>1.19047619</v>
      </c>
      <c r="J1042" s="82">
        <f t="shared" si="2"/>
        <v>0.4565217391</v>
      </c>
    </row>
    <row r="1043">
      <c r="A1043" s="83">
        <v>44704.0</v>
      </c>
      <c r="B1043" s="66">
        <v>2028.0</v>
      </c>
      <c r="C1043" s="66">
        <v>3.0</v>
      </c>
      <c r="D1043" s="66" t="s">
        <v>227</v>
      </c>
      <c r="E1043" s="66">
        <v>0.0</v>
      </c>
      <c r="F1043" s="66">
        <v>2.182</v>
      </c>
      <c r="G1043" s="66">
        <v>0.996</v>
      </c>
      <c r="H1043" s="66" t="s">
        <v>278</v>
      </c>
      <c r="I1043" s="82">
        <f t="shared" si="1"/>
        <v>1.190763052</v>
      </c>
      <c r="J1043" s="82">
        <f t="shared" si="2"/>
        <v>0.4564619615</v>
      </c>
    </row>
    <row r="1044">
      <c r="A1044" s="83">
        <v>44704.0</v>
      </c>
      <c r="B1044" s="66">
        <v>2028.0</v>
      </c>
      <c r="C1044" s="66">
        <v>3.0</v>
      </c>
      <c r="D1044" s="66" t="s">
        <v>227</v>
      </c>
      <c r="E1044" s="66">
        <v>1.0</v>
      </c>
      <c r="F1044" s="66">
        <v>0.3755</v>
      </c>
      <c r="G1044" s="66">
        <v>0.1714</v>
      </c>
      <c r="I1044" s="82">
        <f t="shared" si="1"/>
        <v>1.190781797</v>
      </c>
      <c r="J1044" s="82">
        <f t="shared" si="2"/>
        <v>0.4564580559</v>
      </c>
    </row>
    <row r="1045">
      <c r="A1045" s="83">
        <v>44704.0</v>
      </c>
      <c r="B1045" s="66">
        <v>2029.0</v>
      </c>
      <c r="C1045" s="66">
        <v>1.0</v>
      </c>
      <c r="D1045" s="66" t="s">
        <v>228</v>
      </c>
      <c r="E1045" s="66">
        <v>0.0</v>
      </c>
      <c r="F1045" s="66">
        <v>0.1527</v>
      </c>
      <c r="G1045" s="66">
        <v>0.0697</v>
      </c>
      <c r="H1045" s="66" t="s">
        <v>276</v>
      </c>
      <c r="I1045" s="82">
        <f t="shared" si="1"/>
        <v>1.190817791</v>
      </c>
      <c r="J1045" s="82">
        <f t="shared" si="2"/>
        <v>0.4564505566</v>
      </c>
    </row>
    <row r="1046">
      <c r="A1046" s="83">
        <v>44704.0</v>
      </c>
      <c r="B1046" s="66">
        <v>2029.0</v>
      </c>
      <c r="C1046" s="66">
        <v>1.0</v>
      </c>
      <c r="D1046" s="66" t="s">
        <v>228</v>
      </c>
      <c r="E1046" s="66">
        <v>1.0</v>
      </c>
      <c r="F1046" s="66">
        <v>0.6205</v>
      </c>
      <c r="G1046" s="66">
        <v>0.283</v>
      </c>
      <c r="H1046" s="66" t="s">
        <v>276</v>
      </c>
      <c r="I1046" s="82">
        <f t="shared" si="1"/>
        <v>1.192579505</v>
      </c>
      <c r="J1046" s="82">
        <f t="shared" si="2"/>
        <v>0.4560838034</v>
      </c>
    </row>
    <row r="1047">
      <c r="A1047" s="83">
        <v>44704.0</v>
      </c>
      <c r="B1047" s="66">
        <v>2029.0</v>
      </c>
      <c r="C1047" s="66">
        <v>1.0</v>
      </c>
      <c r="D1047" s="66" t="s">
        <v>227</v>
      </c>
      <c r="E1047" s="66">
        <v>0.0</v>
      </c>
      <c r="F1047" s="66">
        <v>0.1272</v>
      </c>
      <c r="G1047" s="66">
        <v>0.058</v>
      </c>
      <c r="H1047" s="66" t="s">
        <v>277</v>
      </c>
      <c r="I1047" s="82">
        <f t="shared" si="1"/>
        <v>1.193103448</v>
      </c>
      <c r="J1047" s="82">
        <f t="shared" si="2"/>
        <v>0.4559748428</v>
      </c>
    </row>
    <row r="1048">
      <c r="A1048" s="83">
        <v>44704.0</v>
      </c>
      <c r="B1048" s="66">
        <v>2029.0</v>
      </c>
      <c r="C1048" s="66">
        <v>1.0</v>
      </c>
      <c r="D1048" s="66" t="s">
        <v>227</v>
      </c>
      <c r="E1048" s="66">
        <v>1.0</v>
      </c>
      <c r="F1048" s="66">
        <v>0.1645</v>
      </c>
      <c r="G1048" s="66">
        <v>0.075</v>
      </c>
      <c r="H1048" s="66" t="s">
        <v>276</v>
      </c>
      <c r="I1048" s="82">
        <f t="shared" si="1"/>
        <v>1.193333333</v>
      </c>
      <c r="J1048" s="82">
        <f t="shared" si="2"/>
        <v>0.4559270517</v>
      </c>
    </row>
    <row r="1049">
      <c r="A1049" s="83">
        <v>44704.0</v>
      </c>
      <c r="B1049" s="66">
        <v>2029.0</v>
      </c>
      <c r="C1049" s="66">
        <v>2.0</v>
      </c>
      <c r="D1049" s="66" t="s">
        <v>228</v>
      </c>
      <c r="E1049" s="66">
        <v>0.0</v>
      </c>
      <c r="F1049" s="66">
        <v>0.0555</v>
      </c>
      <c r="G1049" s="66">
        <v>0.0253</v>
      </c>
      <c r="H1049" s="66" t="s">
        <v>276</v>
      </c>
      <c r="I1049" s="82">
        <f t="shared" si="1"/>
        <v>1.193675889</v>
      </c>
      <c r="J1049" s="82">
        <f t="shared" si="2"/>
        <v>0.4558558559</v>
      </c>
    </row>
    <row r="1050">
      <c r="A1050" s="83">
        <v>44704.0</v>
      </c>
      <c r="B1050" s="66">
        <v>2029.0</v>
      </c>
      <c r="C1050" s="66">
        <v>2.0</v>
      </c>
      <c r="D1050" s="66" t="s">
        <v>228</v>
      </c>
      <c r="E1050" s="66">
        <v>1.0</v>
      </c>
      <c r="F1050" s="66">
        <v>0.2936</v>
      </c>
      <c r="G1050" s="66">
        <v>0.1338</v>
      </c>
      <c r="H1050" s="66" t="s">
        <v>276</v>
      </c>
      <c r="I1050" s="82">
        <f t="shared" si="1"/>
        <v>1.19431988</v>
      </c>
      <c r="J1050" s="82">
        <f t="shared" si="2"/>
        <v>0.4557220708</v>
      </c>
    </row>
    <row r="1051">
      <c r="A1051" s="83">
        <v>44704.0</v>
      </c>
      <c r="B1051" s="66">
        <v>2029.0</v>
      </c>
      <c r="C1051" s="66">
        <v>2.0</v>
      </c>
      <c r="D1051" s="66" t="s">
        <v>227</v>
      </c>
      <c r="E1051" s="66">
        <v>0.0</v>
      </c>
      <c r="F1051" s="66">
        <v>0.9152</v>
      </c>
      <c r="G1051" s="66">
        <v>0.417</v>
      </c>
      <c r="H1051" s="66" t="s">
        <v>276</v>
      </c>
      <c r="I1051" s="82">
        <f t="shared" si="1"/>
        <v>1.194724221</v>
      </c>
      <c r="J1051" s="82">
        <f t="shared" si="2"/>
        <v>0.4556381119</v>
      </c>
    </row>
    <row r="1052">
      <c r="A1052" s="83">
        <v>44704.0</v>
      </c>
      <c r="B1052" s="66">
        <v>2029.0</v>
      </c>
      <c r="C1052" s="66">
        <v>2.0</v>
      </c>
      <c r="D1052" s="66" t="s">
        <v>227</v>
      </c>
      <c r="E1052" s="66">
        <v>1.0</v>
      </c>
      <c r="F1052" s="66">
        <v>0.0834</v>
      </c>
      <c r="G1052" s="66">
        <v>0.038</v>
      </c>
      <c r="H1052" s="66" t="s">
        <v>276</v>
      </c>
      <c r="I1052" s="82">
        <f t="shared" si="1"/>
        <v>1.194736842</v>
      </c>
      <c r="J1052" s="82">
        <f t="shared" si="2"/>
        <v>0.4556354916</v>
      </c>
    </row>
    <row r="1053">
      <c r="A1053" s="83">
        <v>44704.0</v>
      </c>
      <c r="B1053" s="66">
        <v>2029.0</v>
      </c>
      <c r="C1053" s="66">
        <v>3.0</v>
      </c>
      <c r="D1053" s="66" t="s">
        <v>228</v>
      </c>
      <c r="E1053" s="66">
        <v>0.0</v>
      </c>
      <c r="F1053" s="66">
        <v>0.5845</v>
      </c>
      <c r="G1053" s="66">
        <v>0.2662</v>
      </c>
      <c r="H1053" s="66" t="s">
        <v>276</v>
      </c>
      <c r="I1053" s="82">
        <f t="shared" si="1"/>
        <v>1.195717506</v>
      </c>
      <c r="J1053" s="82">
        <f t="shared" si="2"/>
        <v>0.4554319932</v>
      </c>
    </row>
    <row r="1054">
      <c r="A1054" s="83">
        <v>44704.0</v>
      </c>
      <c r="B1054" s="66">
        <v>2029.0</v>
      </c>
      <c r="C1054" s="66">
        <v>3.0</v>
      </c>
      <c r="D1054" s="66" t="s">
        <v>228</v>
      </c>
      <c r="E1054" s="66">
        <v>1.0</v>
      </c>
      <c r="F1054" s="66">
        <v>0.0868</v>
      </c>
      <c r="G1054" s="66">
        <v>0.0395</v>
      </c>
      <c r="H1054" s="66" t="s">
        <v>280</v>
      </c>
      <c r="I1054" s="82">
        <f t="shared" si="1"/>
        <v>1.197468354</v>
      </c>
      <c r="J1054" s="82">
        <f t="shared" si="2"/>
        <v>0.4550691244</v>
      </c>
    </row>
    <row r="1055">
      <c r="A1055" s="83">
        <v>44704.0</v>
      </c>
      <c r="B1055" s="66">
        <v>2029.0</v>
      </c>
      <c r="C1055" s="66">
        <v>3.0</v>
      </c>
      <c r="D1055" s="66" t="s">
        <v>227</v>
      </c>
      <c r="E1055" s="66">
        <v>0.0</v>
      </c>
      <c r="F1055" s="66">
        <v>0.1319</v>
      </c>
      <c r="G1055" s="66">
        <v>0.06</v>
      </c>
      <c r="H1055" s="66" t="s">
        <v>277</v>
      </c>
      <c r="I1055" s="82">
        <f t="shared" si="1"/>
        <v>1.198333333</v>
      </c>
      <c r="J1055" s="82">
        <f t="shared" si="2"/>
        <v>0.4548900682</v>
      </c>
    </row>
    <row r="1056">
      <c r="A1056" s="83">
        <v>44704.0</v>
      </c>
      <c r="B1056" s="66">
        <v>2029.0</v>
      </c>
      <c r="C1056" s="66">
        <v>3.0</v>
      </c>
      <c r="D1056" s="66" t="s">
        <v>227</v>
      </c>
      <c r="E1056" s="66">
        <v>1.0</v>
      </c>
      <c r="F1056" s="66">
        <v>0.206</v>
      </c>
      <c r="G1056" s="66">
        <v>0.0937</v>
      </c>
      <c r="I1056" s="82">
        <f t="shared" si="1"/>
        <v>1.19850587</v>
      </c>
      <c r="J1056" s="82">
        <f t="shared" si="2"/>
        <v>0.4548543689</v>
      </c>
    </row>
    <row r="1057">
      <c r="A1057" s="83">
        <v>44704.0</v>
      </c>
      <c r="B1057" s="66">
        <v>2030.0</v>
      </c>
      <c r="C1057" s="66">
        <v>1.0</v>
      </c>
      <c r="D1057" s="66" t="s">
        <v>228</v>
      </c>
      <c r="E1057" s="66">
        <v>0.0</v>
      </c>
      <c r="F1057" s="66">
        <v>0.1511</v>
      </c>
      <c r="G1057" s="66">
        <v>0.0687</v>
      </c>
      <c r="H1057" s="66" t="s">
        <v>280</v>
      </c>
      <c r="I1057" s="82">
        <f t="shared" si="1"/>
        <v>1.199417758</v>
      </c>
      <c r="J1057" s="82">
        <f t="shared" si="2"/>
        <v>0.4546657842</v>
      </c>
    </row>
    <row r="1058">
      <c r="A1058" s="83">
        <v>44704.0</v>
      </c>
      <c r="B1058" s="66">
        <v>2030.0</v>
      </c>
      <c r="C1058" s="66">
        <v>1.0</v>
      </c>
      <c r="D1058" s="66" t="s">
        <v>227</v>
      </c>
      <c r="E1058" s="66">
        <v>0.0</v>
      </c>
      <c r="F1058" s="66">
        <v>0.0726</v>
      </c>
      <c r="G1058" s="66">
        <v>0.033</v>
      </c>
      <c r="H1058" s="66" t="s">
        <v>276</v>
      </c>
      <c r="I1058" s="82">
        <f t="shared" si="1"/>
        <v>1.2</v>
      </c>
      <c r="J1058" s="82">
        <f t="shared" si="2"/>
        <v>0.4545454545</v>
      </c>
    </row>
    <row r="1059">
      <c r="A1059" s="83">
        <v>44704.0</v>
      </c>
      <c r="B1059" s="66">
        <v>2030.0</v>
      </c>
      <c r="C1059" s="66">
        <v>2.0</v>
      </c>
      <c r="D1059" s="66" t="s">
        <v>228</v>
      </c>
      <c r="E1059" s="66">
        <v>0.0</v>
      </c>
      <c r="F1059" s="66">
        <v>0.2376</v>
      </c>
      <c r="G1059" s="66">
        <v>0.108</v>
      </c>
      <c r="H1059" s="66" t="s">
        <v>276</v>
      </c>
      <c r="I1059" s="82">
        <f t="shared" si="1"/>
        <v>1.2</v>
      </c>
      <c r="J1059" s="82">
        <f t="shared" si="2"/>
        <v>0.4545454545</v>
      </c>
    </row>
    <row r="1060">
      <c r="A1060" s="83">
        <v>44704.0</v>
      </c>
      <c r="B1060" s="66">
        <v>2030.0</v>
      </c>
      <c r="C1060" s="66">
        <v>2.0</v>
      </c>
      <c r="D1060" s="66" t="s">
        <v>227</v>
      </c>
      <c r="E1060" s="66">
        <v>0.0</v>
      </c>
      <c r="F1060" s="66">
        <v>0.3905</v>
      </c>
      <c r="G1060" s="66">
        <v>0.1775</v>
      </c>
      <c r="I1060" s="82">
        <f t="shared" si="1"/>
        <v>1.2</v>
      </c>
      <c r="J1060" s="82">
        <f t="shared" si="2"/>
        <v>0.4545454545</v>
      </c>
    </row>
    <row r="1061">
      <c r="A1061" s="83">
        <v>44704.0</v>
      </c>
      <c r="B1061" s="66">
        <v>2030.0</v>
      </c>
      <c r="C1061" s="66">
        <v>3.0</v>
      </c>
      <c r="D1061" s="66" t="s">
        <v>228</v>
      </c>
      <c r="E1061" s="66">
        <v>0.0</v>
      </c>
      <c r="F1061" s="66">
        <v>0.4867</v>
      </c>
      <c r="G1061" s="66">
        <v>0.2212</v>
      </c>
      <c r="H1061" s="66" t="s">
        <v>276</v>
      </c>
      <c r="I1061" s="82">
        <f t="shared" si="1"/>
        <v>1.200271248</v>
      </c>
      <c r="J1061" s="82">
        <f t="shared" si="2"/>
        <v>0.4544894185</v>
      </c>
    </row>
    <row r="1062">
      <c r="A1062" s="83">
        <v>44704.0</v>
      </c>
      <c r="B1062" s="66">
        <v>2030.0</v>
      </c>
      <c r="C1062" s="66">
        <v>3.0</v>
      </c>
      <c r="D1062" s="66" t="s">
        <v>228</v>
      </c>
      <c r="E1062" s="66">
        <v>1.0</v>
      </c>
      <c r="F1062" s="66">
        <v>0.5239</v>
      </c>
      <c r="G1062" s="66">
        <v>0.238</v>
      </c>
      <c r="H1062" s="66" t="s">
        <v>277</v>
      </c>
      <c r="I1062" s="82">
        <f t="shared" si="1"/>
        <v>1.201260504</v>
      </c>
      <c r="J1062" s="82">
        <f t="shared" si="2"/>
        <v>0.4542851689</v>
      </c>
    </row>
    <row r="1063">
      <c r="A1063" s="83">
        <v>44704.0</v>
      </c>
      <c r="B1063" s="66">
        <v>2030.0</v>
      </c>
      <c r="C1063" s="66">
        <v>3.0</v>
      </c>
      <c r="D1063" s="66" t="s">
        <v>227</v>
      </c>
      <c r="E1063" s="66">
        <v>0.0</v>
      </c>
      <c r="F1063" s="66">
        <v>1.1821</v>
      </c>
      <c r="G1063" s="66">
        <v>0.5367</v>
      </c>
      <c r="I1063" s="82">
        <f t="shared" si="1"/>
        <v>1.202534004</v>
      </c>
      <c r="J1063" s="82">
        <f t="shared" si="2"/>
        <v>0.4540225023</v>
      </c>
    </row>
    <row r="1064">
      <c r="A1064" s="83">
        <v>44704.0</v>
      </c>
      <c r="B1064" s="66">
        <v>2030.0</v>
      </c>
      <c r="C1064" s="66">
        <v>3.0</v>
      </c>
      <c r="D1064" s="66" t="s">
        <v>227</v>
      </c>
      <c r="E1064" s="66">
        <v>1.0</v>
      </c>
      <c r="F1064" s="66">
        <v>0.1861</v>
      </c>
      <c r="G1064" s="66">
        <v>0.0844</v>
      </c>
      <c r="I1064" s="82">
        <f t="shared" si="1"/>
        <v>1.204976303</v>
      </c>
      <c r="J1064" s="82">
        <f t="shared" si="2"/>
        <v>0.4535196131</v>
      </c>
    </row>
    <row r="1065">
      <c r="A1065" s="83">
        <v>44704.0</v>
      </c>
      <c r="B1065" s="66">
        <v>2031.0</v>
      </c>
      <c r="C1065" s="66">
        <v>1.0</v>
      </c>
      <c r="D1065" s="66" t="s">
        <v>228</v>
      </c>
      <c r="E1065" s="66">
        <v>0.0</v>
      </c>
      <c r="F1065" s="66">
        <v>0.0781</v>
      </c>
      <c r="G1065" s="66">
        <v>0.0354</v>
      </c>
      <c r="I1065" s="82">
        <f t="shared" si="1"/>
        <v>1.206214689</v>
      </c>
      <c r="J1065" s="82">
        <f t="shared" si="2"/>
        <v>0.4532650448</v>
      </c>
    </row>
    <row r="1066">
      <c r="A1066" s="83">
        <v>44704.0</v>
      </c>
      <c r="B1066" s="66">
        <v>2031.0</v>
      </c>
      <c r="C1066" s="66">
        <v>1.0</v>
      </c>
      <c r="D1066" s="66" t="s">
        <v>227</v>
      </c>
      <c r="E1066" s="66">
        <v>0.0</v>
      </c>
      <c r="F1066" s="66">
        <v>0.0353</v>
      </c>
      <c r="G1066" s="66">
        <v>0.016</v>
      </c>
      <c r="H1066" s="66" t="s">
        <v>277</v>
      </c>
      <c r="I1066" s="82">
        <f t="shared" si="1"/>
        <v>1.20625</v>
      </c>
      <c r="J1066" s="82">
        <f t="shared" si="2"/>
        <v>0.4532577904</v>
      </c>
    </row>
    <row r="1067">
      <c r="A1067" s="83">
        <v>44704.0</v>
      </c>
      <c r="B1067" s="66">
        <v>2031.0</v>
      </c>
      <c r="C1067" s="66">
        <v>1.0</v>
      </c>
      <c r="D1067" s="66" t="s">
        <v>227</v>
      </c>
      <c r="E1067" s="66">
        <v>1.0</v>
      </c>
      <c r="F1067" s="66">
        <v>0.5076</v>
      </c>
      <c r="G1067" s="66">
        <v>0.23</v>
      </c>
      <c r="H1067" s="66" t="s">
        <v>276</v>
      </c>
      <c r="I1067" s="82">
        <f t="shared" si="1"/>
        <v>1.206956522</v>
      </c>
      <c r="J1067" s="82">
        <f t="shared" si="2"/>
        <v>0.4531126872</v>
      </c>
    </row>
    <row r="1068">
      <c r="A1068" s="83">
        <v>44704.0</v>
      </c>
      <c r="B1068" s="66">
        <v>2031.0</v>
      </c>
      <c r="C1068" s="66">
        <v>2.0</v>
      </c>
      <c r="D1068" s="66" t="s">
        <v>228</v>
      </c>
      <c r="E1068" s="66">
        <v>0.0</v>
      </c>
      <c r="F1068" s="66">
        <v>0.0596</v>
      </c>
      <c r="G1068" s="66">
        <v>0.027</v>
      </c>
      <c r="H1068" s="66" t="s">
        <v>277</v>
      </c>
      <c r="I1068" s="82">
        <f t="shared" si="1"/>
        <v>1.207407407</v>
      </c>
      <c r="J1068" s="82">
        <f t="shared" si="2"/>
        <v>0.4530201342</v>
      </c>
    </row>
    <row r="1069">
      <c r="A1069" s="83">
        <v>44704.0</v>
      </c>
      <c r="B1069" s="66">
        <v>2031.0</v>
      </c>
      <c r="C1069" s="66">
        <v>2.0</v>
      </c>
      <c r="D1069" s="66" t="s">
        <v>227</v>
      </c>
      <c r="E1069" s="66">
        <v>0.0</v>
      </c>
      <c r="F1069" s="66">
        <v>0.2212</v>
      </c>
      <c r="G1069" s="66">
        <v>0.1002</v>
      </c>
      <c r="I1069" s="82">
        <f t="shared" si="1"/>
        <v>1.20758483</v>
      </c>
      <c r="J1069" s="82">
        <f t="shared" si="2"/>
        <v>0.4529837251</v>
      </c>
    </row>
    <row r="1070">
      <c r="A1070" s="83">
        <v>44704.0</v>
      </c>
      <c r="B1070" s="66">
        <v>2031.0</v>
      </c>
      <c r="C1070" s="66">
        <v>2.0</v>
      </c>
      <c r="D1070" s="66" t="s">
        <v>227</v>
      </c>
      <c r="E1070" s="66">
        <v>1.0</v>
      </c>
      <c r="F1070" s="66">
        <v>0.0552</v>
      </c>
      <c r="G1070" s="66">
        <v>0.025</v>
      </c>
      <c r="H1070" s="66" t="s">
        <v>277</v>
      </c>
      <c r="I1070" s="82">
        <f t="shared" si="1"/>
        <v>1.208</v>
      </c>
      <c r="J1070" s="82">
        <f t="shared" si="2"/>
        <v>0.4528985507</v>
      </c>
    </row>
    <row r="1071">
      <c r="A1071" s="83">
        <v>44704.0</v>
      </c>
      <c r="B1071" s="66">
        <v>2031.0</v>
      </c>
      <c r="C1071" s="66">
        <v>3.0</v>
      </c>
      <c r="D1071" s="66" t="s">
        <v>228</v>
      </c>
      <c r="E1071" s="66">
        <v>0.0</v>
      </c>
      <c r="F1071" s="66">
        <v>0.1259</v>
      </c>
      <c r="G1071" s="66">
        <v>0.057</v>
      </c>
      <c r="H1071" s="66" t="s">
        <v>277</v>
      </c>
      <c r="I1071" s="82">
        <f t="shared" si="1"/>
        <v>1.20877193</v>
      </c>
      <c r="J1071" s="82">
        <f t="shared" si="2"/>
        <v>0.4527402701</v>
      </c>
    </row>
    <row r="1072">
      <c r="A1072" s="83">
        <v>44704.0</v>
      </c>
      <c r="B1072" s="66">
        <v>2031.0</v>
      </c>
      <c r="C1072" s="66">
        <v>3.0</v>
      </c>
      <c r="D1072" s="66" t="s">
        <v>227</v>
      </c>
      <c r="E1072" s="66">
        <v>1.0</v>
      </c>
      <c r="F1072" s="66">
        <v>0.4687</v>
      </c>
      <c r="G1072" s="66">
        <v>0.212</v>
      </c>
      <c r="H1072" s="66" t="s">
        <v>276</v>
      </c>
      <c r="I1072" s="82">
        <f t="shared" si="1"/>
        <v>1.210849057</v>
      </c>
      <c r="J1072" s="82">
        <f t="shared" si="2"/>
        <v>0.4523149136</v>
      </c>
    </row>
    <row r="1073">
      <c r="A1073" s="83">
        <v>44704.0</v>
      </c>
      <c r="B1073" s="66">
        <v>2031.0</v>
      </c>
      <c r="C1073" s="66">
        <v>3.0</v>
      </c>
      <c r="D1073" s="66" t="s">
        <v>227</v>
      </c>
      <c r="E1073" s="66">
        <v>1.0</v>
      </c>
      <c r="F1073" s="66">
        <v>0.1216</v>
      </c>
      <c r="G1073" s="66">
        <v>0.055</v>
      </c>
      <c r="H1073" s="66" t="s">
        <v>276</v>
      </c>
      <c r="I1073" s="82">
        <f t="shared" si="1"/>
        <v>1.210909091</v>
      </c>
      <c r="J1073" s="82">
        <f t="shared" si="2"/>
        <v>0.4523026316</v>
      </c>
    </row>
    <row r="1074">
      <c r="A1074" s="83">
        <v>44704.0</v>
      </c>
      <c r="B1074" s="66">
        <v>2083.0</v>
      </c>
      <c r="C1074" s="66">
        <v>1.0</v>
      </c>
      <c r="D1074" s="66" t="s">
        <v>228</v>
      </c>
      <c r="E1074" s="66">
        <v>0.0</v>
      </c>
      <c r="F1074" s="66">
        <v>0.1955</v>
      </c>
      <c r="G1074" s="66">
        <v>0.0884</v>
      </c>
      <c r="I1074" s="82">
        <f t="shared" si="1"/>
        <v>1.211538462</v>
      </c>
      <c r="J1074" s="82">
        <f t="shared" si="2"/>
        <v>0.452173913</v>
      </c>
    </row>
    <row r="1075">
      <c r="A1075" s="83">
        <v>44704.0</v>
      </c>
      <c r="B1075" s="66">
        <v>2083.0</v>
      </c>
      <c r="C1075" s="66">
        <v>1.0</v>
      </c>
      <c r="D1075" s="66" t="s">
        <v>227</v>
      </c>
      <c r="E1075" s="66">
        <v>0.0</v>
      </c>
      <c r="F1075" s="66">
        <v>0.0292</v>
      </c>
      <c r="G1075" s="66">
        <v>0.0132</v>
      </c>
      <c r="I1075" s="82">
        <f t="shared" si="1"/>
        <v>1.212121212</v>
      </c>
      <c r="J1075" s="82">
        <f t="shared" si="2"/>
        <v>0.4520547945</v>
      </c>
    </row>
    <row r="1076">
      <c r="A1076" s="83">
        <v>44704.0</v>
      </c>
      <c r="B1076" s="66">
        <v>2083.0</v>
      </c>
      <c r="C1076" s="66">
        <v>1.0</v>
      </c>
      <c r="D1076" s="66" t="s">
        <v>227</v>
      </c>
      <c r="E1076" s="66">
        <v>1.0</v>
      </c>
      <c r="F1076" s="66">
        <v>0.0938</v>
      </c>
      <c r="G1076" s="66">
        <v>0.0424</v>
      </c>
      <c r="I1076" s="82">
        <f t="shared" si="1"/>
        <v>1.212264151</v>
      </c>
      <c r="J1076" s="82">
        <f t="shared" si="2"/>
        <v>0.4520255864</v>
      </c>
    </row>
    <row r="1077">
      <c r="A1077" s="83">
        <v>44704.0</v>
      </c>
      <c r="B1077" s="66">
        <v>2083.0</v>
      </c>
      <c r="C1077" s="66">
        <v>2.0</v>
      </c>
      <c r="D1077" s="66" t="s">
        <v>228</v>
      </c>
      <c r="E1077" s="66">
        <v>0.0</v>
      </c>
      <c r="F1077" s="66">
        <v>0.1613</v>
      </c>
      <c r="G1077" s="66">
        <v>0.0729</v>
      </c>
      <c r="I1077" s="82">
        <f t="shared" si="1"/>
        <v>1.212620027</v>
      </c>
      <c r="J1077" s="82">
        <f t="shared" si="2"/>
        <v>0.4519528828</v>
      </c>
    </row>
    <row r="1078">
      <c r="A1078" s="83">
        <v>44704.0</v>
      </c>
      <c r="B1078" s="66">
        <v>2083.0</v>
      </c>
      <c r="C1078" s="66">
        <v>2.0</v>
      </c>
      <c r="D1078" s="66" t="s">
        <v>227</v>
      </c>
      <c r="E1078" s="66">
        <v>0.0</v>
      </c>
      <c r="F1078" s="66">
        <v>0.2738</v>
      </c>
      <c r="G1078" s="66">
        <v>0.1237</v>
      </c>
      <c r="I1078" s="82">
        <f t="shared" si="1"/>
        <v>1.213419563</v>
      </c>
      <c r="J1078" s="82">
        <f t="shared" si="2"/>
        <v>0.4517896275</v>
      </c>
    </row>
    <row r="1079">
      <c r="A1079" s="83">
        <v>44704.0</v>
      </c>
      <c r="B1079" s="66">
        <v>2083.0</v>
      </c>
      <c r="C1079" s="66">
        <v>2.0</v>
      </c>
      <c r="D1079" s="66" t="s">
        <v>227</v>
      </c>
      <c r="E1079" s="66">
        <v>1.0</v>
      </c>
      <c r="F1079" s="66">
        <v>0.4383</v>
      </c>
      <c r="G1079" s="66">
        <v>0.198</v>
      </c>
      <c r="I1079" s="82">
        <f t="shared" si="1"/>
        <v>1.213636364</v>
      </c>
      <c r="J1079" s="82">
        <f t="shared" si="2"/>
        <v>0.4517453799</v>
      </c>
    </row>
    <row r="1080">
      <c r="A1080" s="83">
        <v>44704.0</v>
      </c>
      <c r="B1080" s="66">
        <v>2083.0</v>
      </c>
      <c r="C1080" s="66">
        <v>3.0</v>
      </c>
      <c r="D1080" s="66" t="s">
        <v>228</v>
      </c>
      <c r="E1080" s="66">
        <v>0.0</v>
      </c>
      <c r="F1080" s="66">
        <v>0.144</v>
      </c>
      <c r="G1080" s="66">
        <v>0.065</v>
      </c>
      <c r="H1080" s="66" t="s">
        <v>277</v>
      </c>
      <c r="I1080" s="82">
        <f t="shared" si="1"/>
        <v>1.215384615</v>
      </c>
      <c r="J1080" s="82">
        <f t="shared" si="2"/>
        <v>0.4513888889</v>
      </c>
    </row>
    <row r="1081">
      <c r="A1081" s="83">
        <v>44704.0</v>
      </c>
      <c r="B1081" s="66">
        <v>2083.0</v>
      </c>
      <c r="C1081" s="66">
        <v>3.0</v>
      </c>
      <c r="D1081" s="66" t="s">
        <v>227</v>
      </c>
      <c r="E1081" s="66">
        <v>1.0</v>
      </c>
      <c r="F1081" s="66">
        <v>0.2682</v>
      </c>
      <c r="G1081" s="66">
        <v>0.121</v>
      </c>
      <c r="H1081" s="66" t="s">
        <v>277</v>
      </c>
      <c r="I1081" s="82">
        <f t="shared" si="1"/>
        <v>1.216528926</v>
      </c>
      <c r="J1081" s="82">
        <f t="shared" si="2"/>
        <v>0.4511558538</v>
      </c>
    </row>
    <row r="1082">
      <c r="A1082" s="83">
        <v>44704.0</v>
      </c>
      <c r="B1082" s="66">
        <v>2343.0</v>
      </c>
      <c r="C1082" s="66">
        <v>1.0</v>
      </c>
      <c r="D1082" s="66" t="s">
        <v>228</v>
      </c>
      <c r="E1082" s="66">
        <v>0.0</v>
      </c>
      <c r="F1082" s="66">
        <v>1.8003</v>
      </c>
      <c r="G1082" s="66">
        <v>0.8122</v>
      </c>
      <c r="H1082" s="66" t="s">
        <v>276</v>
      </c>
      <c r="I1082" s="82">
        <f t="shared" si="1"/>
        <v>1.216572273</v>
      </c>
      <c r="J1082" s="82">
        <f t="shared" si="2"/>
        <v>0.4511470311</v>
      </c>
    </row>
    <row r="1083">
      <c r="A1083" s="83">
        <v>44704.0</v>
      </c>
      <c r="B1083" s="66">
        <v>2343.0</v>
      </c>
      <c r="C1083" s="66">
        <v>1.0</v>
      </c>
      <c r="D1083" s="66" t="s">
        <v>227</v>
      </c>
      <c r="E1083" s="66">
        <v>0.0</v>
      </c>
      <c r="F1083" s="66">
        <v>0.1685</v>
      </c>
      <c r="G1083" s="66">
        <v>0.076</v>
      </c>
      <c r="H1083" s="66" t="s">
        <v>277</v>
      </c>
      <c r="I1083" s="82">
        <f t="shared" si="1"/>
        <v>1.217105263</v>
      </c>
      <c r="J1083" s="82">
        <f t="shared" si="2"/>
        <v>0.4510385757</v>
      </c>
    </row>
    <row r="1084">
      <c r="A1084" s="83">
        <v>44704.0</v>
      </c>
      <c r="B1084" s="66">
        <v>2343.0</v>
      </c>
      <c r="C1084" s="66">
        <v>1.0</v>
      </c>
      <c r="D1084" s="66" t="s">
        <v>227</v>
      </c>
      <c r="E1084" s="66">
        <v>1.0</v>
      </c>
      <c r="F1084" s="66">
        <v>1.5562</v>
      </c>
      <c r="G1084" s="66">
        <v>0.7019</v>
      </c>
      <c r="I1084" s="82">
        <f t="shared" si="1"/>
        <v>1.217124947</v>
      </c>
      <c r="J1084" s="82">
        <f t="shared" si="2"/>
        <v>0.4510345714</v>
      </c>
    </row>
    <row r="1085">
      <c r="A1085" s="83">
        <v>44704.0</v>
      </c>
      <c r="B1085" s="66">
        <v>2343.0</v>
      </c>
      <c r="C1085" s="66">
        <v>2.0</v>
      </c>
      <c r="D1085" s="66" t="s">
        <v>228</v>
      </c>
      <c r="E1085" s="66">
        <v>0.0</v>
      </c>
      <c r="F1085" s="66">
        <v>0.6429</v>
      </c>
      <c r="G1085" s="66">
        <v>0.2899</v>
      </c>
      <c r="I1085" s="82">
        <f t="shared" si="1"/>
        <v>1.217661263</v>
      </c>
      <c r="J1085" s="82">
        <f t="shared" si="2"/>
        <v>0.4509254939</v>
      </c>
    </row>
    <row r="1086">
      <c r="A1086" s="83">
        <v>44704.0</v>
      </c>
      <c r="B1086" s="66">
        <v>2343.0</v>
      </c>
      <c r="C1086" s="66">
        <v>2.0</v>
      </c>
      <c r="D1086" s="66" t="s">
        <v>227</v>
      </c>
      <c r="E1086" s="66">
        <v>0.0</v>
      </c>
      <c r="F1086" s="66">
        <v>0.4134</v>
      </c>
      <c r="G1086" s="66">
        <v>0.1863</v>
      </c>
      <c r="I1086" s="82">
        <f t="shared" si="1"/>
        <v>1.21900161</v>
      </c>
      <c r="J1086" s="82">
        <f t="shared" si="2"/>
        <v>0.4506531205</v>
      </c>
    </row>
    <row r="1087">
      <c r="A1087" s="83">
        <v>44704.0</v>
      </c>
      <c r="B1087" s="66">
        <v>2343.0</v>
      </c>
      <c r="C1087" s="66">
        <v>2.0</v>
      </c>
      <c r="D1087" s="66" t="s">
        <v>227</v>
      </c>
      <c r="E1087" s="66">
        <v>1.0</v>
      </c>
      <c r="F1087" s="66">
        <v>0.3882</v>
      </c>
      <c r="G1087" s="66">
        <v>0.1749</v>
      </c>
      <c r="I1087" s="82">
        <f t="shared" si="1"/>
        <v>1.219554031</v>
      </c>
      <c r="J1087" s="82">
        <f t="shared" si="2"/>
        <v>0.4505409583</v>
      </c>
    </row>
    <row r="1088">
      <c r="A1088" s="83">
        <v>44704.0</v>
      </c>
      <c r="B1088" s="66">
        <v>2343.0</v>
      </c>
      <c r="C1088" s="66">
        <v>3.0</v>
      </c>
      <c r="D1088" s="66" t="s">
        <v>228</v>
      </c>
      <c r="E1088" s="66">
        <v>0.0</v>
      </c>
      <c r="F1088" s="66">
        <v>0.0726</v>
      </c>
      <c r="G1088" s="66">
        <v>0.0327</v>
      </c>
      <c r="I1088" s="82">
        <f t="shared" si="1"/>
        <v>1.220183486</v>
      </c>
      <c r="J1088" s="82">
        <f t="shared" si="2"/>
        <v>0.4504132231</v>
      </c>
    </row>
    <row r="1089">
      <c r="A1089" s="83">
        <v>44704.0</v>
      </c>
      <c r="B1089" s="66">
        <v>2343.0</v>
      </c>
      <c r="C1089" s="66">
        <v>3.0</v>
      </c>
      <c r="D1089" s="66" t="s">
        <v>227</v>
      </c>
      <c r="E1089" s="66">
        <v>0.0</v>
      </c>
      <c r="F1089" s="66">
        <v>0.1119</v>
      </c>
      <c r="G1089" s="66">
        <v>0.0504</v>
      </c>
      <c r="H1089" s="66" t="s">
        <v>276</v>
      </c>
      <c r="I1089" s="82">
        <f t="shared" si="1"/>
        <v>1.220238095</v>
      </c>
      <c r="J1089" s="82">
        <f t="shared" si="2"/>
        <v>0.4504021448</v>
      </c>
    </row>
    <row r="1090">
      <c r="A1090" s="83">
        <v>44704.0</v>
      </c>
      <c r="B1090" s="66">
        <v>2343.0</v>
      </c>
      <c r="C1090" s="66">
        <v>3.0</v>
      </c>
      <c r="D1090" s="66" t="s">
        <v>227</v>
      </c>
      <c r="E1090" s="66">
        <v>1.0</v>
      </c>
      <c r="F1090" s="66">
        <v>0.1168</v>
      </c>
      <c r="G1090" s="66">
        <v>0.0526</v>
      </c>
      <c r="H1090" s="66" t="s">
        <v>276</v>
      </c>
      <c r="I1090" s="82">
        <f t="shared" si="1"/>
        <v>1.220532319</v>
      </c>
      <c r="J1090" s="82">
        <f t="shared" si="2"/>
        <v>0.4503424658</v>
      </c>
    </row>
    <row r="1091">
      <c r="A1091" s="83">
        <v>44704.0</v>
      </c>
      <c r="B1091" s="66">
        <v>2354.0</v>
      </c>
      <c r="C1091" s="66">
        <v>1.0</v>
      </c>
      <c r="D1091" s="66" t="s">
        <v>228</v>
      </c>
      <c r="E1091" s="66">
        <v>1.0</v>
      </c>
      <c r="F1091" s="66">
        <v>0.191</v>
      </c>
      <c r="G1091" s="66">
        <v>0.086</v>
      </c>
      <c r="H1091" s="66" t="s">
        <v>277</v>
      </c>
      <c r="I1091" s="82">
        <f t="shared" si="1"/>
        <v>1.220930233</v>
      </c>
      <c r="J1091" s="82">
        <f t="shared" si="2"/>
        <v>0.4502617801</v>
      </c>
    </row>
    <row r="1092">
      <c r="A1092" s="83">
        <v>44704.0</v>
      </c>
      <c r="B1092" s="66">
        <v>2354.0</v>
      </c>
      <c r="C1092" s="66">
        <v>1.0</v>
      </c>
      <c r="D1092" s="66" t="s">
        <v>227</v>
      </c>
      <c r="E1092" s="66">
        <v>1.0</v>
      </c>
      <c r="F1092" s="66">
        <v>1.224</v>
      </c>
      <c r="G1092" s="66">
        <v>0.551</v>
      </c>
      <c r="H1092" s="66" t="s">
        <v>279</v>
      </c>
      <c r="I1092" s="82">
        <f t="shared" si="1"/>
        <v>1.221415608</v>
      </c>
      <c r="J1092" s="82">
        <f t="shared" si="2"/>
        <v>0.4501633987</v>
      </c>
    </row>
    <row r="1093">
      <c r="A1093" s="83">
        <v>44704.0</v>
      </c>
      <c r="B1093" s="66">
        <v>2354.0</v>
      </c>
      <c r="C1093" s="66">
        <v>2.0</v>
      </c>
      <c r="D1093" s="66" t="s">
        <v>228</v>
      </c>
      <c r="E1093" s="66">
        <v>1.0</v>
      </c>
      <c r="F1093" s="66">
        <v>1.1387</v>
      </c>
      <c r="G1093" s="66">
        <v>0.5126</v>
      </c>
      <c r="H1093" s="66" t="s">
        <v>276</v>
      </c>
      <c r="I1093" s="82">
        <f t="shared" si="1"/>
        <v>1.221420211</v>
      </c>
      <c r="J1093" s="82">
        <f t="shared" si="2"/>
        <v>0.450162466</v>
      </c>
    </row>
    <row r="1094">
      <c r="A1094" s="83">
        <v>44704.0</v>
      </c>
      <c r="B1094" s="66">
        <v>2354.0</v>
      </c>
      <c r="C1094" s="66">
        <v>2.0</v>
      </c>
      <c r="D1094" s="66" t="s">
        <v>227</v>
      </c>
      <c r="E1094" s="66">
        <v>1.0</v>
      </c>
      <c r="F1094" s="66">
        <v>0.1133</v>
      </c>
      <c r="G1094" s="66">
        <v>0.051</v>
      </c>
      <c r="H1094" s="66" t="s">
        <v>277</v>
      </c>
      <c r="I1094" s="82">
        <f t="shared" si="1"/>
        <v>1.221568627</v>
      </c>
      <c r="J1094" s="82">
        <f t="shared" si="2"/>
        <v>0.4501323919</v>
      </c>
    </row>
    <row r="1095">
      <c r="A1095" s="83">
        <v>44704.0</v>
      </c>
      <c r="B1095" s="66">
        <v>2354.0</v>
      </c>
      <c r="C1095" s="66">
        <v>3.0</v>
      </c>
      <c r="D1095" s="66" t="s">
        <v>228</v>
      </c>
      <c r="E1095" s="66">
        <v>1.0</v>
      </c>
      <c r="F1095" s="66">
        <v>0.3182</v>
      </c>
      <c r="G1095" s="66">
        <v>0.1432</v>
      </c>
      <c r="H1095" s="66" t="s">
        <v>276</v>
      </c>
      <c r="I1095" s="82">
        <f t="shared" si="1"/>
        <v>1.222067039</v>
      </c>
      <c r="J1095" s="82">
        <f t="shared" si="2"/>
        <v>0.4500314268</v>
      </c>
    </row>
    <row r="1096">
      <c r="A1096" s="83">
        <v>44704.0</v>
      </c>
      <c r="B1096" s="66">
        <v>2354.0</v>
      </c>
      <c r="C1096" s="66">
        <v>3.0</v>
      </c>
      <c r="D1096" s="66" t="s">
        <v>227</v>
      </c>
      <c r="E1096" s="66">
        <v>1.0</v>
      </c>
      <c r="F1096" s="66">
        <v>0.0329</v>
      </c>
      <c r="G1096" s="66">
        <v>0.0148</v>
      </c>
      <c r="H1096" s="66" t="s">
        <v>276</v>
      </c>
      <c r="I1096" s="82">
        <f t="shared" si="1"/>
        <v>1.222972973</v>
      </c>
      <c r="J1096" s="82">
        <f t="shared" si="2"/>
        <v>0.4498480243</v>
      </c>
    </row>
    <row r="1097">
      <c r="A1097" s="83">
        <v>44704.0</v>
      </c>
      <c r="B1097" s="66">
        <v>2360.0</v>
      </c>
      <c r="C1097" s="66">
        <v>1.0</v>
      </c>
      <c r="D1097" s="66" t="s">
        <v>228</v>
      </c>
      <c r="E1097" s="66">
        <v>0.0</v>
      </c>
      <c r="F1097" s="66">
        <v>0.3135</v>
      </c>
      <c r="G1097" s="66">
        <v>0.141</v>
      </c>
      <c r="H1097" s="66" t="s">
        <v>276</v>
      </c>
      <c r="I1097" s="82">
        <f t="shared" si="1"/>
        <v>1.223404255</v>
      </c>
      <c r="J1097" s="82">
        <f t="shared" si="2"/>
        <v>0.4497607656</v>
      </c>
    </row>
    <row r="1098">
      <c r="A1098" s="83">
        <v>44704.0</v>
      </c>
      <c r="B1098" s="66">
        <v>2360.0</v>
      </c>
      <c r="C1098" s="66">
        <v>1.0</v>
      </c>
      <c r="D1098" s="66" t="s">
        <v>227</v>
      </c>
      <c r="E1098" s="66">
        <v>0.0</v>
      </c>
      <c r="F1098" s="66">
        <v>0.2468</v>
      </c>
      <c r="G1098" s="107">
        <v>0.111</v>
      </c>
      <c r="I1098" s="82">
        <f t="shared" si="1"/>
        <v>1.223423423</v>
      </c>
      <c r="J1098" s="82">
        <f t="shared" si="2"/>
        <v>0.4497568882</v>
      </c>
    </row>
    <row r="1099">
      <c r="A1099" s="83">
        <v>44704.0</v>
      </c>
      <c r="B1099" s="66">
        <v>2360.0</v>
      </c>
      <c r="C1099" s="66">
        <v>1.0</v>
      </c>
      <c r="D1099" s="66" t="s">
        <v>227</v>
      </c>
      <c r="E1099" s="66">
        <v>1.0</v>
      </c>
      <c r="F1099" s="66">
        <v>0.169</v>
      </c>
      <c r="G1099" s="66">
        <v>0.076</v>
      </c>
      <c r="H1099" s="66" t="s">
        <v>277</v>
      </c>
      <c r="I1099" s="82">
        <f t="shared" si="1"/>
        <v>1.223684211</v>
      </c>
      <c r="J1099" s="82">
        <f t="shared" si="2"/>
        <v>0.449704142</v>
      </c>
    </row>
    <row r="1100">
      <c r="A1100" s="83">
        <v>44704.0</v>
      </c>
      <c r="B1100" s="66">
        <v>2360.0</v>
      </c>
      <c r="C1100" s="66">
        <v>2.0</v>
      </c>
      <c r="D1100" s="66" t="s">
        <v>228</v>
      </c>
      <c r="E1100" s="66">
        <v>0.0</v>
      </c>
      <c r="F1100" s="66">
        <v>0.7073</v>
      </c>
      <c r="G1100" s="66">
        <v>0.318</v>
      </c>
      <c r="H1100" s="66" t="s">
        <v>277</v>
      </c>
      <c r="I1100" s="82">
        <f t="shared" si="1"/>
        <v>1.224213836</v>
      </c>
      <c r="J1100" s="82">
        <f t="shared" si="2"/>
        <v>0.4495970592</v>
      </c>
    </row>
    <row r="1101">
      <c r="A1101" s="83">
        <v>44704.0</v>
      </c>
      <c r="B1101" s="66">
        <v>2360.0</v>
      </c>
      <c r="C1101" s="66">
        <v>2.0</v>
      </c>
      <c r="D1101" s="66" t="s">
        <v>227</v>
      </c>
      <c r="E1101" s="66">
        <v>0.0</v>
      </c>
      <c r="F1101" s="66">
        <v>2.311</v>
      </c>
      <c r="G1101" s="66">
        <v>1.039</v>
      </c>
      <c r="H1101" s="66" t="s">
        <v>278</v>
      </c>
      <c r="I1101" s="82">
        <f t="shared" si="1"/>
        <v>1.22425409</v>
      </c>
      <c r="J1101" s="82">
        <f t="shared" si="2"/>
        <v>0.4495889225</v>
      </c>
    </row>
    <row r="1102">
      <c r="A1102" s="83">
        <v>44704.0</v>
      </c>
      <c r="B1102" s="66">
        <v>2360.0</v>
      </c>
      <c r="C1102" s="66">
        <v>2.0</v>
      </c>
      <c r="D1102" s="66" t="s">
        <v>227</v>
      </c>
      <c r="E1102" s="66">
        <v>1.0</v>
      </c>
      <c r="F1102" s="66">
        <v>0.178</v>
      </c>
      <c r="G1102" s="66">
        <v>0.08</v>
      </c>
      <c r="H1102" s="66" t="s">
        <v>277</v>
      </c>
      <c r="I1102" s="82">
        <f t="shared" si="1"/>
        <v>1.225</v>
      </c>
      <c r="J1102" s="82">
        <f t="shared" si="2"/>
        <v>0.4494382022</v>
      </c>
    </row>
    <row r="1103">
      <c r="A1103" s="83">
        <v>44704.0</v>
      </c>
      <c r="B1103" s="66">
        <v>2360.0</v>
      </c>
      <c r="C1103" s="66">
        <v>3.0</v>
      </c>
      <c r="D1103" s="66" t="s">
        <v>228</v>
      </c>
      <c r="E1103" s="66">
        <v>0.0</v>
      </c>
      <c r="F1103" s="66">
        <v>0.069</v>
      </c>
      <c r="G1103" s="66">
        <v>0.031</v>
      </c>
      <c r="H1103" s="66" t="s">
        <v>277</v>
      </c>
      <c r="I1103" s="82">
        <f t="shared" si="1"/>
        <v>1.225806452</v>
      </c>
      <c r="J1103" s="82">
        <f t="shared" si="2"/>
        <v>0.4492753623</v>
      </c>
    </row>
    <row r="1104">
      <c r="A1104" s="83">
        <v>44704.0</v>
      </c>
      <c r="B1104" s="66">
        <v>2360.0</v>
      </c>
      <c r="C1104" s="66">
        <v>3.0</v>
      </c>
      <c r="D1104" s="66" t="s">
        <v>227</v>
      </c>
      <c r="E1104" s="66">
        <v>0.0</v>
      </c>
      <c r="F1104" s="66">
        <v>1.1115</v>
      </c>
      <c r="G1104" s="66">
        <v>0.4992</v>
      </c>
      <c r="H1104" s="66" t="s">
        <v>276</v>
      </c>
      <c r="I1104" s="82">
        <f t="shared" si="1"/>
        <v>1.2265625</v>
      </c>
      <c r="J1104" s="82">
        <f t="shared" si="2"/>
        <v>0.449122807</v>
      </c>
    </row>
    <row r="1105">
      <c r="A1105" s="83">
        <v>44704.0</v>
      </c>
      <c r="B1105" s="66">
        <v>2360.0</v>
      </c>
      <c r="C1105" s="66">
        <v>3.0</v>
      </c>
      <c r="D1105" s="66" t="s">
        <v>227</v>
      </c>
      <c r="E1105" s="66">
        <v>1.0</v>
      </c>
      <c r="F1105" s="66">
        <v>1.2853</v>
      </c>
      <c r="G1105" s="66">
        <v>0.577</v>
      </c>
      <c r="H1105" s="66" t="s">
        <v>276</v>
      </c>
      <c r="I1105" s="82">
        <f t="shared" si="1"/>
        <v>1.227556326</v>
      </c>
      <c r="J1105" s="82">
        <f t="shared" si="2"/>
        <v>0.4489224306</v>
      </c>
    </row>
    <row r="1106">
      <c r="A1106" s="83">
        <v>44704.0</v>
      </c>
      <c r="B1106" s="66">
        <v>2365.0</v>
      </c>
      <c r="C1106" s="66">
        <v>1.0</v>
      </c>
      <c r="D1106" s="66" t="s">
        <v>228</v>
      </c>
      <c r="E1106" s="66">
        <v>0.0</v>
      </c>
      <c r="F1106" s="66">
        <v>0.1382</v>
      </c>
      <c r="G1106" s="66">
        <v>0.062</v>
      </c>
      <c r="H1106" s="66" t="s">
        <v>277</v>
      </c>
      <c r="I1106" s="82">
        <f t="shared" si="1"/>
        <v>1.229032258</v>
      </c>
      <c r="J1106" s="82">
        <f t="shared" si="2"/>
        <v>0.4486251809</v>
      </c>
    </row>
    <row r="1107">
      <c r="A1107" s="83">
        <v>44704.0</v>
      </c>
      <c r="B1107" s="66">
        <v>2365.0</v>
      </c>
      <c r="C1107" s="66">
        <v>1.0</v>
      </c>
      <c r="D1107" s="66" t="s">
        <v>227</v>
      </c>
      <c r="E1107" s="66">
        <v>0.0</v>
      </c>
      <c r="F1107" s="66">
        <v>0.1293</v>
      </c>
      <c r="G1107" s="66">
        <v>0.058</v>
      </c>
      <c r="H1107" s="66" t="s">
        <v>276</v>
      </c>
      <c r="I1107" s="82">
        <f t="shared" si="1"/>
        <v>1.229310345</v>
      </c>
      <c r="J1107" s="82">
        <f t="shared" si="2"/>
        <v>0.4485692189</v>
      </c>
    </row>
    <row r="1108">
      <c r="A1108" s="83">
        <v>44704.0</v>
      </c>
      <c r="B1108" s="66">
        <v>2365.0</v>
      </c>
      <c r="C1108" s="66">
        <v>1.0</v>
      </c>
      <c r="D1108" s="66" t="s">
        <v>227</v>
      </c>
      <c r="E1108" s="66">
        <v>1.0</v>
      </c>
      <c r="F1108" s="66">
        <v>0.3642</v>
      </c>
      <c r="G1108" s="66">
        <v>0.1633</v>
      </c>
      <c r="I1108" s="82">
        <f t="shared" si="1"/>
        <v>1.230251072</v>
      </c>
      <c r="J1108" s="82">
        <f t="shared" si="2"/>
        <v>0.448380011</v>
      </c>
    </row>
    <row r="1109">
      <c r="A1109" s="83">
        <v>44704.0</v>
      </c>
      <c r="B1109" s="66">
        <v>2365.0</v>
      </c>
      <c r="C1109" s="66">
        <v>2.0</v>
      </c>
      <c r="D1109" s="66" t="s">
        <v>228</v>
      </c>
      <c r="E1109" s="66">
        <v>0.0</v>
      </c>
      <c r="F1109" s="107">
        <v>2.509</v>
      </c>
      <c r="G1109" s="66">
        <v>1.1249</v>
      </c>
      <c r="I1109" s="82">
        <f t="shared" si="1"/>
        <v>1.230420482</v>
      </c>
      <c r="J1109" s="82">
        <f t="shared" si="2"/>
        <v>0.4483459546</v>
      </c>
    </row>
    <row r="1110">
      <c r="A1110" s="83">
        <v>44704.0</v>
      </c>
      <c r="B1110" s="66">
        <v>2365.0</v>
      </c>
      <c r="C1110" s="66">
        <v>2.0</v>
      </c>
      <c r="D1110" s="66" t="s">
        <v>227</v>
      </c>
      <c r="E1110" s="66">
        <v>1.0</v>
      </c>
      <c r="F1110" s="66">
        <v>0.058</v>
      </c>
      <c r="G1110" s="66">
        <v>0.026</v>
      </c>
      <c r="H1110" s="66" t="s">
        <v>277</v>
      </c>
      <c r="I1110" s="82">
        <f t="shared" si="1"/>
        <v>1.230769231</v>
      </c>
      <c r="J1110" s="82">
        <f t="shared" si="2"/>
        <v>0.4482758621</v>
      </c>
    </row>
    <row r="1111">
      <c r="A1111" s="83">
        <v>44704.0</v>
      </c>
      <c r="B1111" s="66">
        <v>2365.0</v>
      </c>
      <c r="C1111" s="66">
        <v>2.0</v>
      </c>
      <c r="D1111" s="66" t="s">
        <v>227</v>
      </c>
      <c r="E1111" s="66">
        <v>1.0</v>
      </c>
      <c r="F1111" s="66">
        <v>1.7455</v>
      </c>
      <c r="G1111" s="66">
        <v>0.7823</v>
      </c>
      <c r="I1111" s="82">
        <f t="shared" si="1"/>
        <v>1.231241212</v>
      </c>
      <c r="J1111" s="82">
        <f t="shared" si="2"/>
        <v>0.448181037</v>
      </c>
    </row>
    <row r="1112">
      <c r="A1112" s="83">
        <v>44704.0</v>
      </c>
      <c r="B1112" s="66">
        <v>2365.0</v>
      </c>
      <c r="C1112" s="66">
        <v>3.0</v>
      </c>
      <c r="D1112" s="66" t="s">
        <v>228</v>
      </c>
      <c r="E1112" s="66">
        <v>0.0</v>
      </c>
      <c r="F1112" s="66">
        <v>0.0357</v>
      </c>
      <c r="G1112" s="66">
        <v>0.016</v>
      </c>
      <c r="I1112" s="82">
        <f t="shared" si="1"/>
        <v>1.23125</v>
      </c>
      <c r="J1112" s="82">
        <f t="shared" si="2"/>
        <v>0.4481792717</v>
      </c>
    </row>
    <row r="1113">
      <c r="A1113" s="83">
        <v>44704.0</v>
      </c>
      <c r="B1113" s="66">
        <v>2365.0</v>
      </c>
      <c r="C1113" s="66">
        <v>3.0</v>
      </c>
      <c r="D1113" s="66" t="s">
        <v>227</v>
      </c>
      <c r="E1113" s="66">
        <v>0.0</v>
      </c>
      <c r="F1113" s="66">
        <v>0.442</v>
      </c>
      <c r="G1113" s="66">
        <v>0.198</v>
      </c>
      <c r="H1113" s="66" t="s">
        <v>277</v>
      </c>
      <c r="I1113" s="82">
        <f t="shared" si="1"/>
        <v>1.232323232</v>
      </c>
      <c r="J1113" s="82">
        <f t="shared" si="2"/>
        <v>0.4479638009</v>
      </c>
    </row>
    <row r="1114">
      <c r="A1114" s="83">
        <v>44704.0</v>
      </c>
      <c r="B1114" s="66">
        <v>2365.0</v>
      </c>
      <c r="C1114" s="66">
        <v>3.0</v>
      </c>
      <c r="D1114" s="66" t="s">
        <v>227</v>
      </c>
      <c r="E1114" s="66">
        <v>1.0</v>
      </c>
      <c r="F1114" s="66">
        <v>0.0568</v>
      </c>
      <c r="G1114" s="66">
        <v>0.0254</v>
      </c>
      <c r="H1114" s="66" t="s">
        <v>276</v>
      </c>
      <c r="I1114" s="82">
        <f t="shared" si="1"/>
        <v>1.236220472</v>
      </c>
      <c r="J1114" s="82">
        <f t="shared" si="2"/>
        <v>0.4471830986</v>
      </c>
    </row>
    <row r="1115">
      <c r="A1115" s="83">
        <v>44704.0</v>
      </c>
      <c r="B1115" s="66">
        <v>2367.0</v>
      </c>
      <c r="C1115" s="66">
        <v>1.0</v>
      </c>
      <c r="D1115" s="66" t="s">
        <v>228</v>
      </c>
      <c r="E1115" s="66">
        <v>0.0</v>
      </c>
      <c r="F1115" s="66">
        <v>0.2115</v>
      </c>
      <c r="G1115" s="66">
        <v>0.0945</v>
      </c>
      <c r="I1115" s="82">
        <f t="shared" si="1"/>
        <v>1.238095238</v>
      </c>
      <c r="J1115" s="82">
        <f t="shared" si="2"/>
        <v>0.4468085106</v>
      </c>
    </row>
    <row r="1116">
      <c r="A1116" s="83">
        <v>44704.0</v>
      </c>
      <c r="B1116" s="66">
        <v>2367.0</v>
      </c>
      <c r="C1116" s="66">
        <v>1.0</v>
      </c>
      <c r="D1116" s="66" t="s">
        <v>227</v>
      </c>
      <c r="E1116" s="66">
        <v>0.0</v>
      </c>
      <c r="F1116" s="66">
        <v>0.0428</v>
      </c>
      <c r="G1116" s="66">
        <v>0.0191</v>
      </c>
      <c r="I1116" s="82">
        <f t="shared" si="1"/>
        <v>1.240837696</v>
      </c>
      <c r="J1116" s="82">
        <f t="shared" si="2"/>
        <v>0.4462616822</v>
      </c>
    </row>
    <row r="1117">
      <c r="A1117" s="83">
        <v>44704.0</v>
      </c>
      <c r="B1117" s="66">
        <v>2367.0</v>
      </c>
      <c r="C1117" s="66">
        <v>1.0</v>
      </c>
      <c r="D1117" s="66" t="s">
        <v>227</v>
      </c>
      <c r="E1117" s="66">
        <v>1.0</v>
      </c>
      <c r="F1117" s="66">
        <v>0.0381</v>
      </c>
      <c r="G1117" s="66">
        <v>0.017</v>
      </c>
      <c r="H1117" s="66" t="s">
        <v>277</v>
      </c>
      <c r="I1117" s="82">
        <f t="shared" si="1"/>
        <v>1.241176471</v>
      </c>
      <c r="J1117" s="82">
        <f t="shared" si="2"/>
        <v>0.4461942257</v>
      </c>
    </row>
    <row r="1118">
      <c r="A1118" s="83">
        <v>44704.0</v>
      </c>
      <c r="B1118" s="66">
        <v>2367.0</v>
      </c>
      <c r="C1118" s="66">
        <v>3.0</v>
      </c>
      <c r="D1118" s="66" t="s">
        <v>228</v>
      </c>
      <c r="E1118" s="66">
        <v>0.0</v>
      </c>
      <c r="F1118" s="66">
        <v>0.2916</v>
      </c>
      <c r="G1118" s="66">
        <v>0.13</v>
      </c>
      <c r="I1118" s="82">
        <f t="shared" si="1"/>
        <v>1.243076923</v>
      </c>
      <c r="J1118" s="82">
        <f t="shared" si="2"/>
        <v>0.4458161866</v>
      </c>
    </row>
    <row r="1119">
      <c r="A1119" s="83">
        <v>44704.0</v>
      </c>
      <c r="B1119" s="66">
        <v>2367.0</v>
      </c>
      <c r="C1119" s="66">
        <v>3.0</v>
      </c>
      <c r="D1119" s="66" t="s">
        <v>227</v>
      </c>
      <c r="E1119" s="66">
        <v>0.0</v>
      </c>
      <c r="F1119" s="66">
        <v>0.1581</v>
      </c>
      <c r="G1119" s="66">
        <v>0.0704</v>
      </c>
      <c r="I1119" s="82">
        <f t="shared" si="1"/>
        <v>1.245738636</v>
      </c>
      <c r="J1119" s="82">
        <f t="shared" si="2"/>
        <v>0.4452877925</v>
      </c>
    </row>
    <row r="1120">
      <c r="A1120" s="83">
        <v>44704.0</v>
      </c>
      <c r="B1120" s="66">
        <v>2367.0</v>
      </c>
      <c r="C1120" s="66">
        <v>3.0</v>
      </c>
      <c r="D1120" s="66" t="s">
        <v>227</v>
      </c>
      <c r="E1120" s="66">
        <v>1.0</v>
      </c>
      <c r="F1120" s="66">
        <v>0.265</v>
      </c>
      <c r="G1120" s="66">
        <v>0.118</v>
      </c>
      <c r="H1120" s="66" t="s">
        <v>277</v>
      </c>
      <c r="I1120" s="82">
        <f t="shared" si="1"/>
        <v>1.245762712</v>
      </c>
      <c r="J1120" s="82">
        <f t="shared" si="2"/>
        <v>0.4452830189</v>
      </c>
    </row>
    <row r="1121">
      <c r="A1121" s="83">
        <v>44704.0</v>
      </c>
      <c r="B1121" s="66">
        <v>2376.0</v>
      </c>
      <c r="C1121" s="66">
        <v>1.0</v>
      </c>
      <c r="D1121" s="66" t="s">
        <v>228</v>
      </c>
      <c r="E1121" s="66">
        <v>1.0</v>
      </c>
      <c r="F1121" s="66">
        <v>2.96</v>
      </c>
      <c r="G1121" s="66">
        <v>1.318</v>
      </c>
      <c r="H1121" s="66" t="s">
        <v>278</v>
      </c>
      <c r="I1121" s="82">
        <f t="shared" si="1"/>
        <v>1.245827011</v>
      </c>
      <c r="J1121" s="82">
        <f t="shared" si="2"/>
        <v>0.4452702703</v>
      </c>
    </row>
    <row r="1122">
      <c r="A1122" s="83">
        <v>44704.0</v>
      </c>
      <c r="B1122" s="66">
        <v>2376.0</v>
      </c>
      <c r="C1122" s="66">
        <v>1.0</v>
      </c>
      <c r="D1122" s="66" t="s">
        <v>227</v>
      </c>
      <c r="E1122" s="66">
        <v>1.0</v>
      </c>
      <c r="F1122" s="66">
        <v>0.0784</v>
      </c>
      <c r="G1122" s="66">
        <v>0.0349</v>
      </c>
      <c r="I1122" s="82">
        <f t="shared" si="1"/>
        <v>1.246418338</v>
      </c>
      <c r="J1122" s="82">
        <f t="shared" si="2"/>
        <v>0.4451530612</v>
      </c>
    </row>
    <row r="1123">
      <c r="A1123" s="83">
        <v>44704.0</v>
      </c>
      <c r="B1123" s="66">
        <v>2376.0</v>
      </c>
      <c r="C1123" s="66">
        <v>2.0</v>
      </c>
      <c r="D1123" s="66" t="s">
        <v>228</v>
      </c>
      <c r="E1123" s="66">
        <v>1.0</v>
      </c>
      <c r="F1123" s="66">
        <v>0.0629</v>
      </c>
      <c r="G1123" s="66">
        <v>0.028</v>
      </c>
      <c r="H1123" s="66" t="s">
        <v>277</v>
      </c>
      <c r="I1123" s="82">
        <f t="shared" si="1"/>
        <v>1.246428571</v>
      </c>
      <c r="J1123" s="82">
        <f t="shared" si="2"/>
        <v>0.4451510334</v>
      </c>
    </row>
    <row r="1124">
      <c r="A1124" s="83">
        <v>44704.0</v>
      </c>
      <c r="B1124" s="66">
        <v>2376.0</v>
      </c>
      <c r="C1124" s="66">
        <v>2.0</v>
      </c>
      <c r="D1124" s="66" t="s">
        <v>227</v>
      </c>
      <c r="E1124" s="66">
        <v>1.0</v>
      </c>
      <c r="F1124" s="66">
        <v>0.0764</v>
      </c>
      <c r="G1124" s="66">
        <v>0.034</v>
      </c>
      <c r="I1124" s="82">
        <f t="shared" si="1"/>
        <v>1.247058824</v>
      </c>
      <c r="J1124" s="82">
        <f t="shared" si="2"/>
        <v>0.445026178</v>
      </c>
    </row>
    <row r="1125">
      <c r="A1125" s="83">
        <v>44704.0</v>
      </c>
      <c r="B1125" s="66">
        <v>2376.0</v>
      </c>
      <c r="C1125" s="66">
        <v>3.0</v>
      </c>
      <c r="D1125" s="66" t="s">
        <v>228</v>
      </c>
      <c r="E1125" s="66">
        <v>1.0</v>
      </c>
      <c r="F1125" s="66">
        <v>0.4339</v>
      </c>
      <c r="G1125" s="66">
        <v>0.193</v>
      </c>
      <c r="H1125" s="66" t="s">
        <v>276</v>
      </c>
      <c r="I1125" s="82">
        <f t="shared" si="1"/>
        <v>1.248186528</v>
      </c>
      <c r="J1125" s="82">
        <f t="shared" si="2"/>
        <v>0.44480295</v>
      </c>
    </row>
    <row r="1126">
      <c r="A1126" s="83">
        <v>44704.0</v>
      </c>
      <c r="B1126" s="66">
        <v>2376.0</v>
      </c>
      <c r="C1126" s="66">
        <v>3.0</v>
      </c>
      <c r="D1126" s="66" t="s">
        <v>227</v>
      </c>
      <c r="E1126" s="66">
        <v>1.0</v>
      </c>
      <c r="F1126" s="66">
        <v>0.144</v>
      </c>
      <c r="G1126" s="66">
        <v>0.064</v>
      </c>
      <c r="H1126" s="66" t="s">
        <v>277</v>
      </c>
      <c r="I1126" s="82">
        <f t="shared" si="1"/>
        <v>1.25</v>
      </c>
      <c r="J1126" s="82">
        <f t="shared" si="2"/>
        <v>0.4444444444</v>
      </c>
    </row>
    <row r="1127">
      <c r="A1127" s="83">
        <v>44704.0</v>
      </c>
      <c r="B1127" s="66">
        <v>2377.0</v>
      </c>
      <c r="C1127" s="66">
        <v>1.0</v>
      </c>
      <c r="D1127" s="66" t="s">
        <v>228</v>
      </c>
      <c r="E1127" s="66">
        <v>1.0</v>
      </c>
      <c r="F1127" s="66">
        <v>0.6433</v>
      </c>
      <c r="G1127" s="66">
        <v>0.2857</v>
      </c>
      <c r="H1127" s="66" t="s">
        <v>276</v>
      </c>
      <c r="I1127" s="82">
        <f t="shared" si="1"/>
        <v>1.251662583</v>
      </c>
      <c r="J1127" s="82">
        <f t="shared" si="2"/>
        <v>0.4441162755</v>
      </c>
    </row>
    <row r="1128">
      <c r="A1128" s="83">
        <v>44704.0</v>
      </c>
      <c r="B1128" s="66">
        <v>2377.0</v>
      </c>
      <c r="C1128" s="66">
        <v>1.0</v>
      </c>
      <c r="D1128" s="66" t="s">
        <v>227</v>
      </c>
      <c r="E1128" s="66">
        <v>1.0</v>
      </c>
      <c r="F1128" s="66">
        <v>0.984</v>
      </c>
      <c r="G1128" s="66">
        <v>0.437</v>
      </c>
      <c r="H1128" s="66" t="s">
        <v>279</v>
      </c>
      <c r="I1128" s="82">
        <f t="shared" si="1"/>
        <v>1.251716247</v>
      </c>
      <c r="J1128" s="82">
        <f t="shared" si="2"/>
        <v>0.4441056911</v>
      </c>
    </row>
    <row r="1129">
      <c r="A1129" s="83">
        <v>44704.0</v>
      </c>
      <c r="B1129" s="66">
        <v>2377.0</v>
      </c>
      <c r="C1129" s="66">
        <v>2.0</v>
      </c>
      <c r="D1129" s="66" t="s">
        <v>228</v>
      </c>
      <c r="E1129" s="66">
        <v>1.0</v>
      </c>
      <c r="F1129" s="66">
        <v>0.7003</v>
      </c>
      <c r="G1129" s="66">
        <v>0.3109</v>
      </c>
      <c r="H1129" s="66" t="s">
        <v>276</v>
      </c>
      <c r="I1129" s="82">
        <f t="shared" si="1"/>
        <v>1.252492763</v>
      </c>
      <c r="J1129" s="82">
        <f t="shared" si="2"/>
        <v>0.4439525917</v>
      </c>
    </row>
    <row r="1130">
      <c r="A1130" s="83">
        <v>44704.0</v>
      </c>
      <c r="B1130" s="66">
        <v>2377.0</v>
      </c>
      <c r="C1130" s="66">
        <v>2.0</v>
      </c>
      <c r="D1130" s="66" t="s">
        <v>227</v>
      </c>
      <c r="E1130" s="66">
        <v>0.0</v>
      </c>
      <c r="F1130" s="66">
        <v>0.2343</v>
      </c>
      <c r="G1130" s="66">
        <v>0.104</v>
      </c>
      <c r="I1130" s="82">
        <f t="shared" si="1"/>
        <v>1.252884615</v>
      </c>
      <c r="J1130" s="82">
        <f t="shared" si="2"/>
        <v>0.4438753735</v>
      </c>
    </row>
    <row r="1131">
      <c r="A1131" s="83">
        <v>44704.0</v>
      </c>
      <c r="B1131" s="66">
        <v>2377.0</v>
      </c>
      <c r="C1131" s="66">
        <v>2.0</v>
      </c>
      <c r="D1131" s="66" t="s">
        <v>227</v>
      </c>
      <c r="E1131" s="66">
        <v>1.0</v>
      </c>
      <c r="F1131" s="66">
        <v>0.0471</v>
      </c>
      <c r="G1131" s="66">
        <v>0.0209</v>
      </c>
      <c r="I1131" s="82">
        <f t="shared" si="1"/>
        <v>1.253588517</v>
      </c>
      <c r="J1131" s="82">
        <f t="shared" si="2"/>
        <v>0.4437367304</v>
      </c>
    </row>
    <row r="1132">
      <c r="A1132" s="83">
        <v>44704.0</v>
      </c>
      <c r="B1132" s="66">
        <v>2377.0</v>
      </c>
      <c r="C1132" s="66">
        <v>3.0</v>
      </c>
      <c r="D1132" s="66" t="s">
        <v>228</v>
      </c>
      <c r="E1132" s="66">
        <v>1.0</v>
      </c>
      <c r="F1132" s="66">
        <v>0.5889</v>
      </c>
      <c r="G1132" s="66">
        <v>0.2613</v>
      </c>
      <c r="H1132" s="66" t="s">
        <v>276</v>
      </c>
      <c r="I1132" s="82">
        <f t="shared" si="1"/>
        <v>1.253731343</v>
      </c>
      <c r="J1132" s="82">
        <f t="shared" si="2"/>
        <v>0.4437086093</v>
      </c>
    </row>
    <row r="1133">
      <c r="A1133" s="83">
        <v>44704.0</v>
      </c>
      <c r="B1133" s="66">
        <v>2377.0</v>
      </c>
      <c r="C1133" s="66">
        <v>3.0</v>
      </c>
      <c r="D1133" s="66" t="s">
        <v>227</v>
      </c>
      <c r="E1133" s="66">
        <v>1.0</v>
      </c>
      <c r="F1133" s="66">
        <v>0.2529</v>
      </c>
      <c r="G1133" s="66">
        <v>0.1121</v>
      </c>
      <c r="H1133" s="66" t="s">
        <v>276</v>
      </c>
      <c r="I1133" s="82">
        <f t="shared" si="1"/>
        <v>1.256021409</v>
      </c>
      <c r="J1133" s="82">
        <f t="shared" si="2"/>
        <v>0.4432582048</v>
      </c>
    </row>
    <row r="1134">
      <c r="A1134" s="83">
        <v>44704.0</v>
      </c>
      <c r="B1134" s="66">
        <v>2380.0</v>
      </c>
      <c r="C1134" s="66">
        <v>3.0</v>
      </c>
      <c r="D1134" s="66" t="s">
        <v>227</v>
      </c>
      <c r="E1134" s="66">
        <v>0.0</v>
      </c>
      <c r="F1134" s="66">
        <v>0.1424</v>
      </c>
      <c r="G1134" s="66">
        <v>0.0631</v>
      </c>
      <c r="H1134" s="66" t="s">
        <v>276</v>
      </c>
      <c r="I1134" s="82">
        <f t="shared" si="1"/>
        <v>1.256735341</v>
      </c>
      <c r="J1134" s="82">
        <f t="shared" si="2"/>
        <v>0.4431179775</v>
      </c>
    </row>
    <row r="1135">
      <c r="A1135" s="83">
        <v>44704.0</v>
      </c>
      <c r="B1135" s="66">
        <v>2384.0</v>
      </c>
      <c r="C1135" s="66">
        <v>1.0</v>
      </c>
      <c r="D1135" s="66" t="s">
        <v>228</v>
      </c>
      <c r="E1135" s="66">
        <v>0.0</v>
      </c>
      <c r="F1135" s="66">
        <v>0.0903</v>
      </c>
      <c r="G1135" s="66">
        <v>0.04</v>
      </c>
      <c r="H1135" s="66" t="s">
        <v>276</v>
      </c>
      <c r="I1135" s="82">
        <f t="shared" si="1"/>
        <v>1.2575</v>
      </c>
      <c r="J1135" s="82">
        <f t="shared" si="2"/>
        <v>0.4429678848</v>
      </c>
    </row>
    <row r="1136">
      <c r="A1136" s="83">
        <v>44704.0</v>
      </c>
      <c r="B1136" s="66">
        <v>2384.0</v>
      </c>
      <c r="C1136" s="66">
        <v>1.0</v>
      </c>
      <c r="D1136" s="66" t="s">
        <v>227</v>
      </c>
      <c r="E1136" s="66">
        <v>0.0</v>
      </c>
      <c r="F1136" s="66">
        <v>0.0587</v>
      </c>
      <c r="G1136" s="66">
        <v>0.026</v>
      </c>
      <c r="H1136" s="66" t="s">
        <v>277</v>
      </c>
      <c r="I1136" s="82">
        <f t="shared" si="1"/>
        <v>1.257692308</v>
      </c>
      <c r="J1136" s="82">
        <f t="shared" si="2"/>
        <v>0.4429301533</v>
      </c>
    </row>
    <row r="1137">
      <c r="A1137" s="83">
        <v>44704.0</v>
      </c>
      <c r="B1137" s="66">
        <v>2384.0</v>
      </c>
      <c r="C1137" s="66">
        <v>1.0</v>
      </c>
      <c r="D1137" s="66" t="s">
        <v>227</v>
      </c>
      <c r="E1137" s="66">
        <v>1.0</v>
      </c>
      <c r="F1137" s="66">
        <v>0.1378</v>
      </c>
      <c r="G1137" s="66">
        <v>0.061</v>
      </c>
      <c r="H1137" s="66" t="s">
        <v>277</v>
      </c>
      <c r="I1137" s="82">
        <f t="shared" si="1"/>
        <v>1.259016393</v>
      </c>
      <c r="J1137" s="82">
        <f t="shared" si="2"/>
        <v>0.442670537</v>
      </c>
    </row>
    <row r="1138">
      <c r="A1138" s="83">
        <v>44704.0</v>
      </c>
      <c r="B1138" s="66">
        <v>2384.0</v>
      </c>
      <c r="C1138" s="66">
        <v>2.0</v>
      </c>
      <c r="D1138" s="66" t="s">
        <v>228</v>
      </c>
      <c r="E1138" s="66">
        <v>0.0</v>
      </c>
      <c r="F1138" s="66">
        <v>0.244</v>
      </c>
      <c r="G1138" s="66">
        <v>0.108</v>
      </c>
      <c r="H1138" s="66" t="s">
        <v>277</v>
      </c>
      <c r="I1138" s="82">
        <f t="shared" si="1"/>
        <v>1.259259259</v>
      </c>
      <c r="J1138" s="82">
        <f t="shared" si="2"/>
        <v>0.4426229508</v>
      </c>
    </row>
    <row r="1139">
      <c r="A1139" s="83">
        <v>44704.0</v>
      </c>
      <c r="B1139" s="66">
        <v>2384.0</v>
      </c>
      <c r="C1139" s="66">
        <v>2.0</v>
      </c>
      <c r="D1139" s="66" t="s">
        <v>227</v>
      </c>
      <c r="E1139" s="66">
        <v>0.0</v>
      </c>
      <c r="F1139" s="66">
        <v>0.221</v>
      </c>
      <c r="G1139" s="66">
        <v>0.0978</v>
      </c>
      <c r="I1139" s="82">
        <f t="shared" si="1"/>
        <v>1.259713701</v>
      </c>
      <c r="J1139" s="82">
        <f t="shared" si="2"/>
        <v>0.4425339367</v>
      </c>
    </row>
    <row r="1140">
      <c r="A1140" s="83">
        <v>44704.0</v>
      </c>
      <c r="B1140" s="66">
        <v>2384.0</v>
      </c>
      <c r="C1140" s="66">
        <v>2.0</v>
      </c>
      <c r="D1140" s="66" t="s">
        <v>227</v>
      </c>
      <c r="E1140" s="66">
        <v>1.0</v>
      </c>
      <c r="F1140" s="66">
        <v>0.0656</v>
      </c>
      <c r="G1140" s="66">
        <v>0.029</v>
      </c>
      <c r="I1140" s="82">
        <f t="shared" si="1"/>
        <v>1.262068966</v>
      </c>
      <c r="J1140" s="82">
        <f t="shared" si="2"/>
        <v>0.4420731707</v>
      </c>
    </row>
    <row r="1141">
      <c r="A1141" s="83">
        <v>44704.0</v>
      </c>
      <c r="B1141" s="66">
        <v>2384.0</v>
      </c>
      <c r="C1141" s="66">
        <v>3.0</v>
      </c>
      <c r="D1141" s="66" t="s">
        <v>228</v>
      </c>
      <c r="E1141" s="66">
        <v>0.0</v>
      </c>
      <c r="F1141" s="66">
        <v>0.0824</v>
      </c>
      <c r="G1141" s="66">
        <v>0.0364</v>
      </c>
      <c r="I1141" s="82">
        <f t="shared" si="1"/>
        <v>1.263736264</v>
      </c>
      <c r="J1141" s="82">
        <f t="shared" si="2"/>
        <v>0.4417475728</v>
      </c>
    </row>
    <row r="1142">
      <c r="A1142" s="83">
        <v>44704.0</v>
      </c>
      <c r="B1142" s="66">
        <v>2384.0</v>
      </c>
      <c r="C1142" s="66">
        <v>3.0</v>
      </c>
      <c r="D1142" s="66" t="s">
        <v>227</v>
      </c>
      <c r="E1142" s="66">
        <v>0.0</v>
      </c>
      <c r="F1142" s="66">
        <v>0.1633</v>
      </c>
      <c r="G1142" s="66">
        <v>0.0721</v>
      </c>
      <c r="H1142" s="66" t="s">
        <v>276</v>
      </c>
      <c r="I1142" s="82">
        <f t="shared" si="1"/>
        <v>1.264909847</v>
      </c>
      <c r="J1142" s="82">
        <f t="shared" si="2"/>
        <v>0.4415186773</v>
      </c>
    </row>
    <row r="1143">
      <c r="A1143" s="83">
        <v>44704.0</v>
      </c>
      <c r="B1143" s="66">
        <v>2384.0</v>
      </c>
      <c r="C1143" s="66">
        <v>3.0</v>
      </c>
      <c r="D1143" s="66" t="s">
        <v>227</v>
      </c>
      <c r="E1143" s="66">
        <v>1.0</v>
      </c>
      <c r="F1143" s="66">
        <v>1.1533</v>
      </c>
      <c r="G1143" s="66">
        <v>0.5086</v>
      </c>
      <c r="I1143" s="82">
        <f t="shared" si="1"/>
        <v>1.267597326</v>
      </c>
      <c r="J1143" s="82">
        <f t="shared" si="2"/>
        <v>0.4409954045</v>
      </c>
    </row>
    <row r="1144">
      <c r="A1144" s="83">
        <v>44705.0</v>
      </c>
      <c r="B1144" s="66">
        <v>2022.0</v>
      </c>
      <c r="C1144" s="66">
        <v>1.0</v>
      </c>
      <c r="D1144" s="66" t="s">
        <v>227</v>
      </c>
      <c r="E1144" s="66">
        <v>1.0</v>
      </c>
      <c r="F1144" s="66">
        <v>0.4012</v>
      </c>
      <c r="G1144" s="66">
        <v>0.1769</v>
      </c>
      <c r="I1144" s="82">
        <f t="shared" si="1"/>
        <v>1.267947993</v>
      </c>
      <c r="J1144" s="82">
        <f t="shared" si="2"/>
        <v>0.4409272183</v>
      </c>
    </row>
    <row r="1145">
      <c r="A1145" s="83">
        <v>44706.0</v>
      </c>
      <c r="B1145" s="66">
        <v>2009.0</v>
      </c>
      <c r="C1145" s="66">
        <v>1.0</v>
      </c>
      <c r="D1145" s="66" t="s">
        <v>228</v>
      </c>
      <c r="E1145" s="66">
        <v>0.0</v>
      </c>
      <c r="F1145" s="66">
        <v>0.227</v>
      </c>
      <c r="G1145" s="66">
        <v>0.1</v>
      </c>
      <c r="H1145" s="66" t="s">
        <v>277</v>
      </c>
      <c r="I1145" s="82">
        <f t="shared" si="1"/>
        <v>1.27</v>
      </c>
      <c r="J1145" s="82">
        <f t="shared" si="2"/>
        <v>0.4405286344</v>
      </c>
    </row>
    <row r="1146">
      <c r="A1146" s="83">
        <v>44706.0</v>
      </c>
      <c r="B1146" s="66">
        <v>2009.0</v>
      </c>
      <c r="C1146" s="66">
        <v>1.0</v>
      </c>
      <c r="D1146" s="66" t="s">
        <v>227</v>
      </c>
      <c r="E1146" s="66">
        <v>0.0</v>
      </c>
      <c r="F1146" s="66">
        <v>1.0511</v>
      </c>
      <c r="G1146" s="66">
        <v>0.463</v>
      </c>
      <c r="H1146" s="66" t="s">
        <v>276</v>
      </c>
      <c r="I1146" s="82">
        <f t="shared" si="1"/>
        <v>1.270194384</v>
      </c>
      <c r="J1146" s="82">
        <f t="shared" si="2"/>
        <v>0.4404909143</v>
      </c>
    </row>
    <row r="1147">
      <c r="A1147" s="83">
        <v>44706.0</v>
      </c>
      <c r="B1147" s="66">
        <v>2009.0</v>
      </c>
      <c r="C1147" s="66">
        <v>1.0</v>
      </c>
      <c r="D1147" s="66" t="s">
        <v>227</v>
      </c>
      <c r="E1147" s="66">
        <v>1.0</v>
      </c>
      <c r="F1147" s="66">
        <v>0.0722</v>
      </c>
      <c r="G1147" s="66">
        <v>0.0318</v>
      </c>
      <c r="I1147" s="82">
        <f t="shared" si="1"/>
        <v>1.270440252</v>
      </c>
      <c r="J1147" s="82">
        <f t="shared" si="2"/>
        <v>0.4404432133</v>
      </c>
    </row>
    <row r="1148">
      <c r="A1148" s="83">
        <v>44706.0</v>
      </c>
      <c r="B1148" s="66">
        <v>2009.0</v>
      </c>
      <c r="C1148" s="66">
        <v>2.0</v>
      </c>
      <c r="D1148" s="66" t="s">
        <v>228</v>
      </c>
      <c r="E1148" s="66">
        <v>0.0</v>
      </c>
      <c r="F1148" s="66">
        <v>0.277</v>
      </c>
      <c r="G1148" s="66">
        <v>0.122</v>
      </c>
      <c r="H1148" s="66" t="s">
        <v>279</v>
      </c>
      <c r="I1148" s="82">
        <f t="shared" si="1"/>
        <v>1.270491803</v>
      </c>
      <c r="J1148" s="82">
        <f t="shared" si="2"/>
        <v>0.440433213</v>
      </c>
    </row>
    <row r="1149">
      <c r="A1149" s="83">
        <v>44706.0</v>
      </c>
      <c r="B1149" s="66">
        <v>2009.0</v>
      </c>
      <c r="C1149" s="66">
        <v>2.0</v>
      </c>
      <c r="D1149" s="66" t="s">
        <v>227</v>
      </c>
      <c r="E1149" s="66">
        <v>0.0</v>
      </c>
      <c r="F1149" s="66">
        <v>0.4561</v>
      </c>
      <c r="G1149" s="66">
        <v>0.2008</v>
      </c>
      <c r="H1149" s="66" t="s">
        <v>276</v>
      </c>
      <c r="I1149" s="82">
        <f t="shared" si="1"/>
        <v>1.271414343</v>
      </c>
      <c r="J1149" s="82">
        <f t="shared" si="2"/>
        <v>0.4402543302</v>
      </c>
    </row>
    <row r="1150">
      <c r="A1150" s="83">
        <v>44706.0</v>
      </c>
      <c r="B1150" s="66">
        <v>2009.0</v>
      </c>
      <c r="C1150" s="66">
        <v>2.0</v>
      </c>
      <c r="D1150" s="66" t="s">
        <v>227</v>
      </c>
      <c r="E1150" s="66">
        <v>1.0</v>
      </c>
      <c r="F1150" s="66">
        <v>0.1091</v>
      </c>
      <c r="G1150" s="66">
        <v>0.048</v>
      </c>
      <c r="H1150" s="66" t="s">
        <v>277</v>
      </c>
      <c r="I1150" s="82">
        <f t="shared" si="1"/>
        <v>1.272916667</v>
      </c>
      <c r="J1150" s="82">
        <f t="shared" si="2"/>
        <v>0.4399633364</v>
      </c>
    </row>
    <row r="1151">
      <c r="A1151" s="83">
        <v>44706.0</v>
      </c>
      <c r="B1151" s="66">
        <v>2009.0</v>
      </c>
      <c r="C1151" s="66">
        <v>3.0</v>
      </c>
      <c r="D1151" s="66" t="s">
        <v>228</v>
      </c>
      <c r="E1151" s="66">
        <v>0.0</v>
      </c>
      <c r="F1151" s="66">
        <v>1.2668</v>
      </c>
      <c r="G1151" s="66">
        <v>0.557</v>
      </c>
      <c r="H1151" s="66" t="s">
        <v>276</v>
      </c>
      <c r="I1151" s="82">
        <f t="shared" si="1"/>
        <v>1.27432675</v>
      </c>
      <c r="J1151" s="82">
        <f t="shared" si="2"/>
        <v>0.4396905589</v>
      </c>
    </row>
    <row r="1152">
      <c r="A1152" s="83">
        <v>44706.0</v>
      </c>
      <c r="B1152" s="66">
        <v>2009.0</v>
      </c>
      <c r="C1152" s="66">
        <v>3.0</v>
      </c>
      <c r="D1152" s="66" t="s">
        <v>227</v>
      </c>
      <c r="E1152" s="66">
        <v>0.0</v>
      </c>
      <c r="F1152" s="66">
        <v>0.978</v>
      </c>
      <c r="G1152" s="66">
        <v>0.43</v>
      </c>
      <c r="H1152" s="66" t="s">
        <v>279</v>
      </c>
      <c r="I1152" s="82">
        <f t="shared" si="1"/>
        <v>1.274418605</v>
      </c>
      <c r="J1152" s="82">
        <f t="shared" si="2"/>
        <v>0.4396728016</v>
      </c>
    </row>
    <row r="1153">
      <c r="A1153" s="83">
        <v>44706.0</v>
      </c>
      <c r="B1153" s="66">
        <v>2009.0</v>
      </c>
      <c r="C1153" s="66">
        <v>3.0</v>
      </c>
      <c r="D1153" s="66" t="s">
        <v>227</v>
      </c>
      <c r="E1153" s="66">
        <v>1.0</v>
      </c>
      <c r="F1153" s="66">
        <v>1.1874</v>
      </c>
      <c r="G1153" s="66">
        <v>0.522</v>
      </c>
      <c r="H1153" s="66" t="s">
        <v>276</v>
      </c>
      <c r="I1153" s="82">
        <f t="shared" si="1"/>
        <v>1.274712644</v>
      </c>
      <c r="J1153" s="82">
        <f t="shared" si="2"/>
        <v>0.4396159677</v>
      </c>
    </row>
    <row r="1154">
      <c r="A1154" s="83">
        <v>44706.0</v>
      </c>
      <c r="B1154" s="66">
        <v>2010.0</v>
      </c>
      <c r="C1154" s="66">
        <v>1.0</v>
      </c>
      <c r="D1154" s="66" t="s">
        <v>228</v>
      </c>
      <c r="E1154" s="66">
        <v>0.0</v>
      </c>
      <c r="F1154" s="66">
        <v>0.0453</v>
      </c>
      <c r="G1154" s="66">
        <v>0.0199</v>
      </c>
      <c r="H1154" s="66" t="s">
        <v>277</v>
      </c>
      <c r="I1154" s="82">
        <f t="shared" si="1"/>
        <v>1.27638191</v>
      </c>
      <c r="J1154" s="82">
        <f t="shared" si="2"/>
        <v>0.4392935982</v>
      </c>
    </row>
    <row r="1155">
      <c r="A1155" s="83">
        <v>44706.0</v>
      </c>
      <c r="B1155" s="66">
        <v>2010.0</v>
      </c>
      <c r="C1155" s="66">
        <v>1.0</v>
      </c>
      <c r="D1155" s="66" t="s">
        <v>227</v>
      </c>
      <c r="E1155" s="66">
        <v>0.0</v>
      </c>
      <c r="F1155" s="66">
        <v>0.2028</v>
      </c>
      <c r="G1155" s="66">
        <v>0.089</v>
      </c>
      <c r="H1155" s="66" t="s">
        <v>276</v>
      </c>
      <c r="I1155" s="82">
        <f t="shared" si="1"/>
        <v>1.278651685</v>
      </c>
      <c r="J1155" s="82">
        <f t="shared" si="2"/>
        <v>0.4388560158</v>
      </c>
    </row>
    <row r="1156">
      <c r="A1156" s="83">
        <v>44706.0</v>
      </c>
      <c r="B1156" s="66">
        <v>2010.0</v>
      </c>
      <c r="C1156" s="66">
        <v>1.0</v>
      </c>
      <c r="D1156" s="66" t="s">
        <v>227</v>
      </c>
      <c r="E1156" s="66">
        <v>1.0</v>
      </c>
      <c r="F1156" s="66">
        <v>0.093</v>
      </c>
      <c r="G1156" s="66">
        <v>0.0408</v>
      </c>
      <c r="H1156" s="66" t="s">
        <v>276</v>
      </c>
      <c r="I1156" s="82">
        <f t="shared" si="1"/>
        <v>1.279411765</v>
      </c>
      <c r="J1156" s="82">
        <f t="shared" si="2"/>
        <v>0.4387096774</v>
      </c>
    </row>
    <row r="1157">
      <c r="A1157" s="83">
        <v>44706.0</v>
      </c>
      <c r="B1157" s="66">
        <v>2010.0</v>
      </c>
      <c r="C1157" s="66">
        <v>2.0</v>
      </c>
      <c r="D1157" s="66" t="s">
        <v>228</v>
      </c>
      <c r="E1157" s="66">
        <v>0.0</v>
      </c>
      <c r="F1157" s="66">
        <v>0.114</v>
      </c>
      <c r="G1157" s="66">
        <v>0.05</v>
      </c>
      <c r="H1157" s="66" t="s">
        <v>276</v>
      </c>
      <c r="I1157" s="82">
        <f t="shared" si="1"/>
        <v>1.28</v>
      </c>
      <c r="J1157" s="82">
        <f t="shared" si="2"/>
        <v>0.4385964912</v>
      </c>
    </row>
    <row r="1158">
      <c r="A1158" s="83">
        <v>44706.0</v>
      </c>
      <c r="B1158" s="66">
        <v>2010.0</v>
      </c>
      <c r="C1158" s="66">
        <v>2.0</v>
      </c>
      <c r="D1158" s="66" t="s">
        <v>227</v>
      </c>
      <c r="E1158" s="66">
        <v>0.0</v>
      </c>
      <c r="F1158" s="66">
        <v>0.057</v>
      </c>
      <c r="G1158" s="66">
        <v>0.025</v>
      </c>
      <c r="H1158" s="66" t="s">
        <v>277</v>
      </c>
      <c r="I1158" s="82">
        <f t="shared" si="1"/>
        <v>1.28</v>
      </c>
      <c r="J1158" s="82">
        <f t="shared" si="2"/>
        <v>0.4385964912</v>
      </c>
    </row>
    <row r="1159">
      <c r="A1159" s="83">
        <v>44706.0</v>
      </c>
      <c r="B1159" s="66">
        <v>2010.0</v>
      </c>
      <c r="C1159" s="66">
        <v>2.0</v>
      </c>
      <c r="D1159" s="66" t="s">
        <v>227</v>
      </c>
      <c r="E1159" s="66">
        <v>1.0</v>
      </c>
      <c r="F1159" s="66">
        <v>0.1551</v>
      </c>
      <c r="G1159" s="66">
        <v>0.068</v>
      </c>
      <c r="H1159" s="66" t="s">
        <v>276</v>
      </c>
      <c r="I1159" s="82">
        <f t="shared" si="1"/>
        <v>1.280882353</v>
      </c>
      <c r="J1159" s="82">
        <f t="shared" si="2"/>
        <v>0.4384268214</v>
      </c>
    </row>
    <row r="1160">
      <c r="A1160" s="83">
        <v>44706.0</v>
      </c>
      <c r="B1160" s="66">
        <v>2010.0</v>
      </c>
      <c r="C1160" s="66">
        <v>3.0</v>
      </c>
      <c r="D1160" s="66" t="s">
        <v>228</v>
      </c>
      <c r="E1160" s="66">
        <v>0.0</v>
      </c>
      <c r="F1160" s="66">
        <v>2.656</v>
      </c>
      <c r="G1160" s="66">
        <v>1.164</v>
      </c>
      <c r="H1160" s="66" t="s">
        <v>278</v>
      </c>
      <c r="I1160" s="82">
        <f t="shared" si="1"/>
        <v>1.281786942</v>
      </c>
      <c r="J1160" s="82">
        <f t="shared" si="2"/>
        <v>0.438253012</v>
      </c>
    </row>
    <row r="1161">
      <c r="A1161" s="83">
        <v>44706.0</v>
      </c>
      <c r="B1161" s="66">
        <v>2010.0</v>
      </c>
      <c r="C1161" s="66">
        <v>3.0</v>
      </c>
      <c r="D1161" s="66" t="s">
        <v>227</v>
      </c>
      <c r="E1161" s="66">
        <v>0.0</v>
      </c>
      <c r="F1161" s="66">
        <v>0.2168</v>
      </c>
      <c r="G1161" s="66">
        <v>0.095</v>
      </c>
      <c r="H1161" s="66" t="s">
        <v>276</v>
      </c>
      <c r="I1161" s="82">
        <f t="shared" si="1"/>
        <v>1.282105263</v>
      </c>
      <c r="J1161" s="82">
        <f t="shared" si="2"/>
        <v>0.4381918819</v>
      </c>
    </row>
    <row r="1162">
      <c r="A1162" s="83">
        <v>44706.0</v>
      </c>
      <c r="B1162" s="66">
        <v>2010.0</v>
      </c>
      <c r="C1162" s="66">
        <v>3.0</v>
      </c>
      <c r="D1162" s="66" t="s">
        <v>227</v>
      </c>
      <c r="E1162" s="66">
        <v>1.0</v>
      </c>
      <c r="F1162" s="66">
        <v>0.2095</v>
      </c>
      <c r="G1162" s="66">
        <v>0.0918</v>
      </c>
      <c r="H1162" s="66" t="s">
        <v>276</v>
      </c>
      <c r="I1162" s="82">
        <f t="shared" si="1"/>
        <v>1.282135076</v>
      </c>
      <c r="J1162" s="82">
        <f t="shared" si="2"/>
        <v>0.4381861575</v>
      </c>
    </row>
    <row r="1163">
      <c r="A1163" s="83">
        <v>44706.0</v>
      </c>
      <c r="B1163" s="66">
        <v>2011.0</v>
      </c>
      <c r="C1163" s="66">
        <v>1.0</v>
      </c>
      <c r="D1163" s="66" t="s">
        <v>228</v>
      </c>
      <c r="E1163" s="66">
        <v>0.0</v>
      </c>
      <c r="F1163" s="66">
        <v>0.1027</v>
      </c>
      <c r="G1163" s="66">
        <v>0.045</v>
      </c>
      <c r="H1163" s="66" t="s">
        <v>276</v>
      </c>
      <c r="I1163" s="82">
        <f t="shared" si="1"/>
        <v>1.282222222</v>
      </c>
      <c r="J1163" s="82">
        <f t="shared" si="2"/>
        <v>0.4381694255</v>
      </c>
    </row>
    <row r="1164">
      <c r="A1164" s="83">
        <v>44706.0</v>
      </c>
      <c r="B1164" s="66">
        <v>2011.0</v>
      </c>
      <c r="C1164" s="66">
        <v>1.0</v>
      </c>
      <c r="D1164" s="66" t="s">
        <v>227</v>
      </c>
      <c r="E1164" s="66">
        <v>0.0</v>
      </c>
      <c r="F1164" s="66">
        <v>0.1365</v>
      </c>
      <c r="G1164" s="66">
        <v>0.0598</v>
      </c>
      <c r="I1164" s="82">
        <f t="shared" si="1"/>
        <v>1.282608696</v>
      </c>
      <c r="J1164" s="82">
        <f t="shared" si="2"/>
        <v>0.4380952381</v>
      </c>
    </row>
    <row r="1165">
      <c r="A1165" s="83">
        <v>44706.0</v>
      </c>
      <c r="B1165" s="66">
        <v>2011.0</v>
      </c>
      <c r="C1165" s="66">
        <v>1.0</v>
      </c>
      <c r="D1165" s="66" t="s">
        <v>227</v>
      </c>
      <c r="E1165" s="66">
        <v>1.0</v>
      </c>
      <c r="F1165" s="66">
        <v>0.0662</v>
      </c>
      <c r="G1165" s="66">
        <v>0.029</v>
      </c>
      <c r="H1165" s="66" t="s">
        <v>276</v>
      </c>
      <c r="I1165" s="82">
        <f t="shared" si="1"/>
        <v>1.282758621</v>
      </c>
      <c r="J1165" s="82">
        <f t="shared" si="2"/>
        <v>0.4380664653</v>
      </c>
    </row>
    <row r="1166">
      <c r="A1166" s="83">
        <v>44706.0</v>
      </c>
      <c r="B1166" s="66">
        <v>2011.0</v>
      </c>
      <c r="C1166" s="66">
        <v>2.0</v>
      </c>
      <c r="D1166" s="66" t="s">
        <v>228</v>
      </c>
      <c r="E1166" s="66">
        <v>0.0</v>
      </c>
      <c r="F1166" s="66">
        <v>0.2924</v>
      </c>
      <c r="G1166" s="66">
        <v>0.128</v>
      </c>
      <c r="H1166" s="66" t="s">
        <v>276</v>
      </c>
      <c r="I1166" s="82">
        <f t="shared" si="1"/>
        <v>1.284375</v>
      </c>
      <c r="J1166" s="82">
        <f t="shared" si="2"/>
        <v>0.4377564979</v>
      </c>
    </row>
    <row r="1167">
      <c r="A1167" s="83">
        <v>44706.0</v>
      </c>
      <c r="B1167" s="66">
        <v>2011.0</v>
      </c>
      <c r="C1167" s="66">
        <v>2.0</v>
      </c>
      <c r="D1167" s="66" t="s">
        <v>227</v>
      </c>
      <c r="E1167" s="66">
        <v>0.0</v>
      </c>
      <c r="F1167" s="66">
        <v>0.3585</v>
      </c>
      <c r="G1167" s="66">
        <v>0.1569</v>
      </c>
      <c r="H1167" s="66" t="s">
        <v>276</v>
      </c>
      <c r="I1167" s="82">
        <f t="shared" si="1"/>
        <v>1.284894837</v>
      </c>
      <c r="J1167" s="82">
        <f t="shared" si="2"/>
        <v>0.4376569038</v>
      </c>
    </row>
    <row r="1168">
      <c r="A1168" s="83">
        <v>44706.0</v>
      </c>
      <c r="B1168" s="66">
        <v>2011.0</v>
      </c>
      <c r="C1168" s="66">
        <v>2.0</v>
      </c>
      <c r="D1168" s="66" t="s">
        <v>227</v>
      </c>
      <c r="E1168" s="66">
        <v>1.0</v>
      </c>
      <c r="F1168" s="66">
        <v>0.569</v>
      </c>
      <c r="G1168" s="66">
        <v>0.249</v>
      </c>
      <c r="H1168" s="66" t="s">
        <v>279</v>
      </c>
      <c r="I1168" s="82">
        <f t="shared" si="1"/>
        <v>1.285140562</v>
      </c>
      <c r="J1168" s="82">
        <f t="shared" si="2"/>
        <v>0.4376098418</v>
      </c>
    </row>
    <row r="1169">
      <c r="A1169" s="83">
        <v>44706.0</v>
      </c>
      <c r="B1169" s="66">
        <v>2011.0</v>
      </c>
      <c r="C1169" s="66">
        <v>3.0</v>
      </c>
      <c r="D1169" s="66" t="s">
        <v>228</v>
      </c>
      <c r="E1169" s="66">
        <v>0.0</v>
      </c>
      <c r="F1169" s="66">
        <v>0.0709</v>
      </c>
      <c r="G1169" s="66">
        <v>0.031</v>
      </c>
      <c r="H1169" s="66" t="s">
        <v>277</v>
      </c>
      <c r="I1169" s="82">
        <f t="shared" si="1"/>
        <v>1.287096774</v>
      </c>
      <c r="J1169" s="82">
        <f t="shared" si="2"/>
        <v>0.437235543</v>
      </c>
    </row>
    <row r="1170">
      <c r="A1170" s="83">
        <v>44706.0</v>
      </c>
      <c r="B1170" s="66">
        <v>2011.0</v>
      </c>
      <c r="C1170" s="66">
        <v>3.0</v>
      </c>
      <c r="D1170" s="66" t="s">
        <v>227</v>
      </c>
      <c r="E1170" s="66">
        <v>0.0</v>
      </c>
      <c r="F1170" s="66">
        <v>0.1145</v>
      </c>
      <c r="G1170" s="66">
        <v>0.05</v>
      </c>
      <c r="H1170" s="66" t="s">
        <v>276</v>
      </c>
      <c r="I1170" s="82">
        <f t="shared" si="1"/>
        <v>1.29</v>
      </c>
      <c r="J1170" s="82">
        <f t="shared" si="2"/>
        <v>0.4366812227</v>
      </c>
    </row>
    <row r="1171">
      <c r="A1171" s="83">
        <v>44706.0</v>
      </c>
      <c r="B1171" s="66">
        <v>2011.0</v>
      </c>
      <c r="C1171" s="66">
        <v>3.0</v>
      </c>
      <c r="D1171" s="66" t="s">
        <v>227</v>
      </c>
      <c r="E1171" s="66">
        <v>1.0</v>
      </c>
      <c r="F1171" s="66">
        <v>1.867</v>
      </c>
      <c r="G1171" s="66">
        <v>0.815</v>
      </c>
      <c r="H1171" s="66" t="s">
        <v>278</v>
      </c>
      <c r="I1171" s="82">
        <f t="shared" si="1"/>
        <v>1.290797546</v>
      </c>
      <c r="J1171" s="82">
        <f t="shared" si="2"/>
        <v>0.4365291912</v>
      </c>
    </row>
    <row r="1172">
      <c r="A1172" s="83">
        <v>44706.0</v>
      </c>
      <c r="B1172" s="66">
        <v>2020.0</v>
      </c>
      <c r="C1172" s="66">
        <v>1.0</v>
      </c>
      <c r="D1172" s="66" t="s">
        <v>228</v>
      </c>
      <c r="E1172" s="66">
        <v>0.0</v>
      </c>
      <c r="F1172" s="66">
        <v>0.1904</v>
      </c>
      <c r="G1172" s="66">
        <v>0.0831</v>
      </c>
      <c r="I1172" s="82">
        <f t="shared" si="1"/>
        <v>1.291215403</v>
      </c>
      <c r="J1172" s="82">
        <f t="shared" si="2"/>
        <v>0.4364495798</v>
      </c>
    </row>
    <row r="1173">
      <c r="A1173" s="83">
        <v>44706.0</v>
      </c>
      <c r="B1173" s="66">
        <v>2020.0</v>
      </c>
      <c r="C1173" s="66">
        <v>1.0</v>
      </c>
      <c r="D1173" s="66" t="s">
        <v>227</v>
      </c>
      <c r="E1173" s="66">
        <v>1.0</v>
      </c>
      <c r="F1173" s="66">
        <v>0.1352</v>
      </c>
      <c r="G1173" s="66">
        <v>0.059</v>
      </c>
      <c r="H1173" s="66" t="s">
        <v>277</v>
      </c>
      <c r="I1173" s="82">
        <f t="shared" si="1"/>
        <v>1.291525424</v>
      </c>
      <c r="J1173" s="82">
        <f t="shared" si="2"/>
        <v>0.4363905325</v>
      </c>
    </row>
    <row r="1174">
      <c r="A1174" s="83">
        <v>44706.0</v>
      </c>
      <c r="B1174" s="66">
        <v>2020.0</v>
      </c>
      <c r="C1174" s="66">
        <v>2.0</v>
      </c>
      <c r="D1174" s="66" t="s">
        <v>228</v>
      </c>
      <c r="E1174" s="66">
        <v>0.0</v>
      </c>
      <c r="F1174" s="66">
        <v>0.1618</v>
      </c>
      <c r="G1174" s="66">
        <v>0.0706</v>
      </c>
      <c r="H1174" s="66" t="s">
        <v>276</v>
      </c>
      <c r="I1174" s="82">
        <f t="shared" si="1"/>
        <v>1.291784703</v>
      </c>
      <c r="J1174" s="82">
        <f t="shared" si="2"/>
        <v>0.4363411619</v>
      </c>
    </row>
    <row r="1175">
      <c r="A1175" s="83">
        <v>44706.0</v>
      </c>
      <c r="B1175" s="66">
        <v>2020.0</v>
      </c>
      <c r="C1175" s="66">
        <v>2.0</v>
      </c>
      <c r="D1175" s="66" t="s">
        <v>227</v>
      </c>
      <c r="E1175" s="66">
        <v>0.0</v>
      </c>
      <c r="F1175" s="66">
        <v>0.1577</v>
      </c>
      <c r="G1175" s="66">
        <v>0.0688</v>
      </c>
      <c r="H1175" s="66" t="s">
        <v>276</v>
      </c>
      <c r="I1175" s="82">
        <f t="shared" si="1"/>
        <v>1.292151163</v>
      </c>
      <c r="J1175" s="82">
        <f t="shared" si="2"/>
        <v>0.4362714014</v>
      </c>
    </row>
    <row r="1176">
      <c r="A1176" s="83">
        <v>44706.0</v>
      </c>
      <c r="B1176" s="66">
        <v>2020.0</v>
      </c>
      <c r="C1176" s="66">
        <v>2.0</v>
      </c>
      <c r="D1176" s="66" t="s">
        <v>227</v>
      </c>
      <c r="E1176" s="66">
        <v>1.0</v>
      </c>
      <c r="F1176" s="66">
        <v>0.1733</v>
      </c>
      <c r="G1176" s="66">
        <v>0.0756</v>
      </c>
      <c r="I1176" s="82">
        <f t="shared" si="1"/>
        <v>1.292328042</v>
      </c>
      <c r="J1176" s="82">
        <f t="shared" si="2"/>
        <v>0.436237738</v>
      </c>
    </row>
    <row r="1177">
      <c r="A1177" s="83">
        <v>44706.0</v>
      </c>
      <c r="B1177" s="66">
        <v>2020.0</v>
      </c>
      <c r="C1177" s="66">
        <v>3.0</v>
      </c>
      <c r="D1177" s="66" t="s">
        <v>228</v>
      </c>
      <c r="E1177" s="66">
        <v>0.0</v>
      </c>
      <c r="F1177" s="66">
        <v>0.1298</v>
      </c>
      <c r="G1177" s="66">
        <v>0.0566</v>
      </c>
      <c r="H1177" s="66" t="s">
        <v>276</v>
      </c>
      <c r="I1177" s="82">
        <f t="shared" si="1"/>
        <v>1.293286219</v>
      </c>
      <c r="J1177" s="82">
        <f t="shared" si="2"/>
        <v>0.43605547</v>
      </c>
    </row>
    <row r="1178">
      <c r="A1178" s="83">
        <v>44706.0</v>
      </c>
      <c r="B1178" s="66">
        <v>2020.0</v>
      </c>
      <c r="C1178" s="66">
        <v>3.0</v>
      </c>
      <c r="D1178" s="66" t="s">
        <v>227</v>
      </c>
      <c r="E1178" s="66">
        <v>0.0</v>
      </c>
      <c r="F1178" s="66">
        <v>0.117</v>
      </c>
      <c r="G1178" s="66">
        <v>0.051</v>
      </c>
      <c r="H1178" s="66" t="s">
        <v>277</v>
      </c>
      <c r="I1178" s="82">
        <f t="shared" si="1"/>
        <v>1.294117647</v>
      </c>
      <c r="J1178" s="82">
        <f t="shared" si="2"/>
        <v>0.4358974359</v>
      </c>
    </row>
    <row r="1179">
      <c r="A1179" s="83">
        <v>44706.0</v>
      </c>
      <c r="B1179" s="66">
        <v>2020.0</v>
      </c>
      <c r="C1179" s="66">
        <v>3.0</v>
      </c>
      <c r="D1179" s="66" t="s">
        <v>227</v>
      </c>
      <c r="E1179" s="66">
        <v>1.0</v>
      </c>
      <c r="F1179" s="66">
        <v>0.1427</v>
      </c>
      <c r="G1179" s="66">
        <v>0.0622</v>
      </c>
      <c r="I1179" s="82">
        <f t="shared" si="1"/>
        <v>1.294212219</v>
      </c>
      <c r="J1179" s="82">
        <f t="shared" si="2"/>
        <v>0.4358794674</v>
      </c>
    </row>
    <row r="1180">
      <c r="A1180" s="83">
        <v>44706.0</v>
      </c>
      <c r="B1180" s="66">
        <v>2021.0</v>
      </c>
      <c r="C1180" s="66">
        <v>1.0</v>
      </c>
      <c r="D1180" s="66" t="s">
        <v>228</v>
      </c>
      <c r="E1180" s="66">
        <v>0.0</v>
      </c>
      <c r="F1180" s="66">
        <v>0.0482</v>
      </c>
      <c r="G1180" s="66">
        <v>0.021</v>
      </c>
      <c r="H1180" s="66" t="s">
        <v>277</v>
      </c>
      <c r="I1180" s="82">
        <f t="shared" si="1"/>
        <v>1.295238095</v>
      </c>
      <c r="J1180" s="82">
        <f t="shared" si="2"/>
        <v>0.4356846473</v>
      </c>
    </row>
    <row r="1181">
      <c r="A1181" s="83">
        <v>44706.0</v>
      </c>
      <c r="B1181" s="66">
        <v>2021.0</v>
      </c>
      <c r="C1181" s="66">
        <v>1.0</v>
      </c>
      <c r="D1181" s="66" t="s">
        <v>227</v>
      </c>
      <c r="E1181" s="66">
        <v>0.0</v>
      </c>
      <c r="F1181" s="66">
        <v>2.33</v>
      </c>
      <c r="G1181" s="66">
        <v>1.015</v>
      </c>
      <c r="H1181" s="66" t="s">
        <v>279</v>
      </c>
      <c r="I1181" s="82">
        <f t="shared" si="1"/>
        <v>1.295566502</v>
      </c>
      <c r="J1181" s="82">
        <f t="shared" si="2"/>
        <v>0.4356223176</v>
      </c>
    </row>
    <row r="1182">
      <c r="A1182" s="83">
        <v>44706.0</v>
      </c>
      <c r="B1182" s="66">
        <v>2022.0</v>
      </c>
      <c r="C1182" s="66">
        <v>2.0</v>
      </c>
      <c r="D1182" s="66" t="s">
        <v>228</v>
      </c>
      <c r="E1182" s="66">
        <v>1.0</v>
      </c>
      <c r="F1182" s="66">
        <v>0.2056</v>
      </c>
      <c r="G1182" s="66">
        <v>0.0895</v>
      </c>
      <c r="H1182" s="66" t="s">
        <v>276</v>
      </c>
      <c r="I1182" s="82">
        <f t="shared" si="1"/>
        <v>1.297206704</v>
      </c>
      <c r="J1182" s="82">
        <f t="shared" si="2"/>
        <v>0.435311284</v>
      </c>
    </row>
    <row r="1183">
      <c r="A1183" s="83">
        <v>44706.0</v>
      </c>
      <c r="B1183" s="66">
        <v>2023.0</v>
      </c>
      <c r="C1183" s="66">
        <v>1.0</v>
      </c>
      <c r="D1183" s="66" t="s">
        <v>228</v>
      </c>
      <c r="E1183" s="66">
        <v>0.0</v>
      </c>
      <c r="F1183" s="66">
        <v>0.347</v>
      </c>
      <c r="G1183" s="66">
        <v>0.151</v>
      </c>
      <c r="H1183" s="66" t="s">
        <v>279</v>
      </c>
      <c r="I1183" s="82">
        <f t="shared" si="1"/>
        <v>1.298013245</v>
      </c>
      <c r="J1183" s="82">
        <f t="shared" si="2"/>
        <v>0.4351585014</v>
      </c>
    </row>
    <row r="1184">
      <c r="A1184" s="83">
        <v>44706.0</v>
      </c>
      <c r="B1184" s="66">
        <v>2023.0</v>
      </c>
      <c r="C1184" s="66">
        <v>1.0</v>
      </c>
      <c r="D1184" s="66" t="s">
        <v>228</v>
      </c>
      <c r="E1184" s="66">
        <v>1.0</v>
      </c>
      <c r="F1184" s="66">
        <v>0.1287</v>
      </c>
      <c r="G1184" s="66">
        <v>0.056</v>
      </c>
      <c r="I1184" s="82">
        <f t="shared" si="1"/>
        <v>1.298214286</v>
      </c>
      <c r="J1184" s="82">
        <f t="shared" si="2"/>
        <v>0.4351204351</v>
      </c>
    </row>
    <row r="1185">
      <c r="A1185" s="83">
        <v>44706.0</v>
      </c>
      <c r="B1185" s="66">
        <v>2023.0</v>
      </c>
      <c r="C1185" s="66">
        <v>1.0</v>
      </c>
      <c r="D1185" s="66" t="s">
        <v>227</v>
      </c>
      <c r="E1185" s="66">
        <v>0.0</v>
      </c>
      <c r="F1185" s="66">
        <v>0.0246</v>
      </c>
      <c r="G1185" s="66">
        <v>0.0107</v>
      </c>
      <c r="I1185" s="82">
        <f t="shared" si="1"/>
        <v>1.299065421</v>
      </c>
      <c r="J1185" s="82">
        <f t="shared" si="2"/>
        <v>0.4349593496</v>
      </c>
    </row>
    <row r="1186">
      <c r="A1186" s="83">
        <v>44706.0</v>
      </c>
      <c r="B1186" s="66">
        <v>2023.0</v>
      </c>
      <c r="C1186" s="66">
        <v>1.0</v>
      </c>
      <c r="D1186" s="66" t="s">
        <v>227</v>
      </c>
      <c r="E1186" s="66">
        <v>1.0</v>
      </c>
      <c r="F1186" s="66">
        <v>1.831</v>
      </c>
      <c r="G1186" s="66">
        <v>0.796</v>
      </c>
      <c r="H1186" s="66" t="s">
        <v>278</v>
      </c>
      <c r="I1186" s="82">
        <f t="shared" si="1"/>
        <v>1.300251256</v>
      </c>
      <c r="J1186" s="82">
        <f t="shared" si="2"/>
        <v>0.4347351174</v>
      </c>
    </row>
    <row r="1187">
      <c r="A1187" s="83">
        <v>44706.0</v>
      </c>
      <c r="B1187" s="66">
        <v>2023.0</v>
      </c>
      <c r="C1187" s="66">
        <v>2.0</v>
      </c>
      <c r="D1187" s="66" t="s">
        <v>228</v>
      </c>
      <c r="E1187" s="66">
        <v>0.0</v>
      </c>
      <c r="F1187" s="66">
        <v>0.1451</v>
      </c>
      <c r="G1187" s="66">
        <v>0.063</v>
      </c>
      <c r="H1187" s="66" t="s">
        <v>276</v>
      </c>
      <c r="I1187" s="82">
        <f t="shared" si="1"/>
        <v>1.303174603</v>
      </c>
      <c r="J1187" s="82">
        <f t="shared" si="2"/>
        <v>0.4341833218</v>
      </c>
    </row>
    <row r="1188">
      <c r="A1188" s="83">
        <v>44706.0</v>
      </c>
      <c r="B1188" s="66">
        <v>2023.0</v>
      </c>
      <c r="C1188" s="66">
        <v>2.0</v>
      </c>
      <c r="D1188" s="66" t="s">
        <v>227</v>
      </c>
      <c r="E1188" s="66">
        <v>1.0</v>
      </c>
      <c r="F1188" s="66">
        <v>0.205</v>
      </c>
      <c r="G1188" s="66">
        <v>0.089</v>
      </c>
      <c r="H1188" s="66" t="s">
        <v>277</v>
      </c>
      <c r="I1188" s="82">
        <f t="shared" si="1"/>
        <v>1.303370787</v>
      </c>
      <c r="J1188" s="82">
        <f t="shared" si="2"/>
        <v>0.4341463415</v>
      </c>
    </row>
    <row r="1189">
      <c r="A1189" s="83">
        <v>44706.0</v>
      </c>
      <c r="B1189" s="66">
        <v>2023.0</v>
      </c>
      <c r="C1189" s="66">
        <v>3.0</v>
      </c>
      <c r="D1189" s="66" t="s">
        <v>228</v>
      </c>
      <c r="E1189" s="66">
        <v>1.0</v>
      </c>
      <c r="F1189" s="66">
        <v>0.1912</v>
      </c>
      <c r="G1189" s="66">
        <v>0.083</v>
      </c>
      <c r="H1189" s="66" t="s">
        <v>276</v>
      </c>
      <c r="I1189" s="82">
        <f t="shared" si="1"/>
        <v>1.303614458</v>
      </c>
      <c r="J1189" s="82">
        <f t="shared" si="2"/>
        <v>0.4341004184</v>
      </c>
    </row>
    <row r="1190">
      <c r="A1190" s="83">
        <v>44706.0</v>
      </c>
      <c r="B1190" s="66">
        <v>2023.0</v>
      </c>
      <c r="C1190" s="66">
        <v>3.0</v>
      </c>
      <c r="D1190" s="66" t="s">
        <v>227</v>
      </c>
      <c r="E1190" s="66">
        <v>1.0</v>
      </c>
      <c r="F1190" s="66">
        <v>0.1252</v>
      </c>
      <c r="G1190" s="66">
        <v>0.0543</v>
      </c>
      <c r="I1190" s="82">
        <f t="shared" si="1"/>
        <v>1.305709024</v>
      </c>
      <c r="J1190" s="82">
        <f t="shared" si="2"/>
        <v>0.4337060703</v>
      </c>
    </row>
    <row r="1191">
      <c r="A1191" s="83">
        <v>44706.0</v>
      </c>
      <c r="B1191" s="66">
        <v>2024.0</v>
      </c>
      <c r="C1191" s="66">
        <v>1.0</v>
      </c>
      <c r="D1191" s="66" t="s">
        <v>228</v>
      </c>
      <c r="E1191" s="66">
        <v>0.0</v>
      </c>
      <c r="F1191" s="66">
        <v>0.181</v>
      </c>
      <c r="G1191" s="66">
        <v>0.0785</v>
      </c>
      <c r="I1191" s="82">
        <f t="shared" si="1"/>
        <v>1.305732484</v>
      </c>
      <c r="J1191" s="82">
        <f t="shared" si="2"/>
        <v>0.4337016575</v>
      </c>
    </row>
    <row r="1192">
      <c r="A1192" s="83">
        <v>44706.0</v>
      </c>
      <c r="B1192" s="66">
        <v>2024.0</v>
      </c>
      <c r="C1192" s="66">
        <v>1.0</v>
      </c>
      <c r="D1192" s="66" t="s">
        <v>227</v>
      </c>
      <c r="E1192" s="66">
        <v>0.0</v>
      </c>
      <c r="F1192" s="66">
        <v>1.2112</v>
      </c>
      <c r="G1192" s="66">
        <v>0.5249</v>
      </c>
      <c r="H1192" s="66" t="s">
        <v>276</v>
      </c>
      <c r="I1192" s="82">
        <f t="shared" si="1"/>
        <v>1.30748714</v>
      </c>
      <c r="J1192" s="82">
        <f t="shared" si="2"/>
        <v>0.4333718626</v>
      </c>
    </row>
    <row r="1193">
      <c r="A1193" s="83">
        <v>44706.0</v>
      </c>
      <c r="B1193" s="66">
        <v>2024.0</v>
      </c>
      <c r="C1193" s="66">
        <v>1.0</v>
      </c>
      <c r="D1193" s="66" t="s">
        <v>227</v>
      </c>
      <c r="E1193" s="66">
        <v>1.0</v>
      </c>
      <c r="F1193" s="66">
        <v>0.1392</v>
      </c>
      <c r="G1193" s="66">
        <v>0.0602</v>
      </c>
      <c r="H1193" s="66" t="s">
        <v>276</v>
      </c>
      <c r="I1193" s="82">
        <f t="shared" si="1"/>
        <v>1.312292359</v>
      </c>
      <c r="J1193" s="82">
        <f t="shared" si="2"/>
        <v>0.4324712644</v>
      </c>
    </row>
    <row r="1194">
      <c r="A1194" s="83">
        <v>44706.0</v>
      </c>
      <c r="B1194" s="66">
        <v>2024.0</v>
      </c>
      <c r="C1194" s="66">
        <v>2.0</v>
      </c>
      <c r="D1194" s="66" t="s">
        <v>228</v>
      </c>
      <c r="E1194" s="66">
        <v>0.0</v>
      </c>
      <c r="F1194" s="66">
        <v>0.3757</v>
      </c>
      <c r="G1194" s="66">
        <v>0.1623</v>
      </c>
      <c r="I1194" s="82">
        <f t="shared" si="1"/>
        <v>1.314849045</v>
      </c>
      <c r="J1194" s="82">
        <f t="shared" si="2"/>
        <v>0.4319936119</v>
      </c>
    </row>
    <row r="1195">
      <c r="A1195" s="83">
        <v>44706.0</v>
      </c>
      <c r="B1195" s="66">
        <v>2024.0</v>
      </c>
      <c r="C1195" s="66">
        <v>2.0</v>
      </c>
      <c r="D1195" s="66" t="s">
        <v>227</v>
      </c>
      <c r="E1195" s="66">
        <v>1.0</v>
      </c>
      <c r="F1195" s="66">
        <v>0.1882</v>
      </c>
      <c r="G1195" s="66">
        <v>0.0813</v>
      </c>
      <c r="H1195" s="66" t="s">
        <v>276</v>
      </c>
      <c r="I1195" s="82">
        <f t="shared" si="1"/>
        <v>1.314883149</v>
      </c>
      <c r="J1195" s="82">
        <f t="shared" si="2"/>
        <v>0.4319872476</v>
      </c>
    </row>
    <row r="1196">
      <c r="A1196" s="83">
        <v>44706.0</v>
      </c>
      <c r="B1196" s="66">
        <v>2024.0</v>
      </c>
      <c r="C1196" s="66">
        <v>3.0</v>
      </c>
      <c r="D1196" s="66" t="s">
        <v>228</v>
      </c>
      <c r="E1196" s="66">
        <v>0.0</v>
      </c>
      <c r="F1196" s="66">
        <v>0.2149</v>
      </c>
      <c r="G1196" s="66">
        <v>0.0928</v>
      </c>
      <c r="I1196" s="82">
        <f t="shared" si="1"/>
        <v>1.315732759</v>
      </c>
      <c r="J1196" s="82">
        <f t="shared" si="2"/>
        <v>0.4318287576</v>
      </c>
    </row>
    <row r="1197">
      <c r="A1197" s="83">
        <v>44706.0</v>
      </c>
      <c r="B1197" s="66">
        <v>2024.0</v>
      </c>
      <c r="C1197" s="66">
        <v>3.0</v>
      </c>
      <c r="D1197" s="66" t="s">
        <v>227</v>
      </c>
      <c r="E1197" s="66">
        <v>0.0</v>
      </c>
      <c r="F1197" s="66">
        <v>0.088</v>
      </c>
      <c r="G1197" s="66">
        <v>0.038</v>
      </c>
      <c r="H1197" s="66" t="s">
        <v>277</v>
      </c>
      <c r="I1197" s="82">
        <f t="shared" si="1"/>
        <v>1.315789474</v>
      </c>
      <c r="J1197" s="82">
        <f t="shared" si="2"/>
        <v>0.4318181818</v>
      </c>
    </row>
    <row r="1198">
      <c r="A1198" s="83">
        <v>44706.0</v>
      </c>
      <c r="B1198" s="66">
        <v>2024.0</v>
      </c>
      <c r="C1198" s="66">
        <v>3.0</v>
      </c>
      <c r="D1198" s="66" t="s">
        <v>227</v>
      </c>
      <c r="E1198" s="66">
        <v>1.0</v>
      </c>
      <c r="F1198" s="66">
        <v>0.44</v>
      </c>
      <c r="G1198" s="66">
        <v>0.19</v>
      </c>
      <c r="H1198" s="66" t="s">
        <v>277</v>
      </c>
      <c r="I1198" s="82">
        <f t="shared" si="1"/>
        <v>1.315789474</v>
      </c>
      <c r="J1198" s="82">
        <f t="shared" si="2"/>
        <v>0.4318181818</v>
      </c>
    </row>
    <row r="1199">
      <c r="A1199" s="83">
        <v>44706.0</v>
      </c>
      <c r="B1199" s="66">
        <v>2024.0</v>
      </c>
      <c r="C1199" s="66">
        <v>3.0</v>
      </c>
      <c r="D1199" s="66" t="s">
        <v>227</v>
      </c>
      <c r="E1199" s="66">
        <v>1.0</v>
      </c>
      <c r="F1199" s="66">
        <v>0.205</v>
      </c>
      <c r="G1199" s="66">
        <v>0.0885</v>
      </c>
      <c r="H1199" s="66" t="s">
        <v>276</v>
      </c>
      <c r="I1199" s="82">
        <f t="shared" si="1"/>
        <v>1.316384181</v>
      </c>
      <c r="J1199" s="82">
        <f t="shared" si="2"/>
        <v>0.4317073171</v>
      </c>
    </row>
    <row r="1200">
      <c r="A1200" s="83">
        <v>44706.0</v>
      </c>
      <c r="B1200" s="66">
        <v>2025.0</v>
      </c>
      <c r="C1200" s="66">
        <v>1.0</v>
      </c>
      <c r="D1200" s="66" t="s">
        <v>228</v>
      </c>
      <c r="E1200" s="66">
        <v>0.0</v>
      </c>
      <c r="F1200" s="66">
        <v>0.095</v>
      </c>
      <c r="G1200" s="66">
        <v>0.041</v>
      </c>
      <c r="H1200" s="66" t="s">
        <v>277</v>
      </c>
      <c r="I1200" s="82">
        <f t="shared" si="1"/>
        <v>1.317073171</v>
      </c>
      <c r="J1200" s="82">
        <f t="shared" si="2"/>
        <v>0.4315789474</v>
      </c>
    </row>
    <row r="1201">
      <c r="A1201" s="83">
        <v>44706.0</v>
      </c>
      <c r="B1201" s="66">
        <v>2025.0</v>
      </c>
      <c r="C1201" s="66">
        <v>1.0</v>
      </c>
      <c r="D1201" s="66" t="s">
        <v>227</v>
      </c>
      <c r="E1201" s="66">
        <v>0.0</v>
      </c>
      <c r="F1201" s="66">
        <v>0.3808</v>
      </c>
      <c r="G1201" s="66">
        <v>0.1642</v>
      </c>
      <c r="I1201" s="82">
        <f t="shared" si="1"/>
        <v>1.319123021</v>
      </c>
      <c r="J1201" s="82">
        <f t="shared" si="2"/>
        <v>0.431197479</v>
      </c>
    </row>
    <row r="1202">
      <c r="A1202" s="83">
        <v>44706.0</v>
      </c>
      <c r="B1202" s="66">
        <v>2025.0</v>
      </c>
      <c r="C1202" s="66">
        <v>1.0</v>
      </c>
      <c r="D1202" s="66" t="s">
        <v>227</v>
      </c>
      <c r="E1202" s="66">
        <v>1.0</v>
      </c>
      <c r="F1202" s="66">
        <v>0.41</v>
      </c>
      <c r="G1202" s="66">
        <v>0.1766</v>
      </c>
      <c r="H1202" s="66" t="s">
        <v>276</v>
      </c>
      <c r="I1202" s="82">
        <f t="shared" si="1"/>
        <v>1.321630804</v>
      </c>
      <c r="J1202" s="82">
        <f t="shared" si="2"/>
        <v>0.4307317073</v>
      </c>
    </row>
    <row r="1203">
      <c r="A1203" s="83">
        <v>44706.0</v>
      </c>
      <c r="B1203" s="66">
        <v>2025.0</v>
      </c>
      <c r="C1203" s="66">
        <v>2.0</v>
      </c>
      <c r="D1203" s="66" t="s">
        <v>228</v>
      </c>
      <c r="E1203" s="66">
        <v>0.0</v>
      </c>
      <c r="F1203" s="66">
        <v>0.1605</v>
      </c>
      <c r="G1203" s="66">
        <v>0.0691</v>
      </c>
      <c r="H1203" s="66" t="s">
        <v>276</v>
      </c>
      <c r="I1203" s="82">
        <f t="shared" si="1"/>
        <v>1.322720695</v>
      </c>
      <c r="J1203" s="82">
        <f t="shared" si="2"/>
        <v>0.430529595</v>
      </c>
    </row>
    <row r="1204">
      <c r="A1204" s="83">
        <v>44706.0</v>
      </c>
      <c r="B1204" s="66">
        <v>2025.0</v>
      </c>
      <c r="C1204" s="66">
        <v>2.0</v>
      </c>
      <c r="D1204" s="66" t="s">
        <v>227</v>
      </c>
      <c r="E1204" s="66">
        <v>0.0</v>
      </c>
      <c r="F1204" s="66">
        <v>0.899</v>
      </c>
      <c r="G1204" s="66">
        <v>0.387</v>
      </c>
      <c r="H1204" s="66" t="s">
        <v>279</v>
      </c>
      <c r="I1204" s="82">
        <f t="shared" si="1"/>
        <v>1.322997416</v>
      </c>
      <c r="J1204" s="82">
        <f t="shared" si="2"/>
        <v>0.4304783092</v>
      </c>
    </row>
    <row r="1205">
      <c r="A1205" s="83">
        <v>44706.0</v>
      </c>
      <c r="B1205" s="66">
        <v>2025.0</v>
      </c>
      <c r="C1205" s="66">
        <v>2.0</v>
      </c>
      <c r="D1205" s="66" t="s">
        <v>227</v>
      </c>
      <c r="E1205" s="66">
        <v>1.0</v>
      </c>
      <c r="F1205" s="66">
        <v>0.2068</v>
      </c>
      <c r="G1205" s="66">
        <v>0.089</v>
      </c>
      <c r="H1205" s="66" t="s">
        <v>277</v>
      </c>
      <c r="I1205" s="82">
        <f t="shared" si="1"/>
        <v>1.323595506</v>
      </c>
      <c r="J1205" s="82">
        <f t="shared" si="2"/>
        <v>0.4303675048</v>
      </c>
    </row>
    <row r="1206">
      <c r="A1206" s="83">
        <v>44706.0</v>
      </c>
      <c r="B1206" s="66">
        <v>2025.0</v>
      </c>
      <c r="C1206" s="66">
        <v>3.0</v>
      </c>
      <c r="D1206" s="66" t="s">
        <v>228</v>
      </c>
      <c r="E1206" s="66">
        <v>0.0</v>
      </c>
      <c r="F1206" s="66">
        <v>0.0186</v>
      </c>
      <c r="G1206" s="66">
        <v>0.008</v>
      </c>
      <c r="I1206" s="82">
        <f t="shared" si="1"/>
        <v>1.325</v>
      </c>
      <c r="J1206" s="82">
        <f t="shared" si="2"/>
        <v>0.4301075269</v>
      </c>
    </row>
    <row r="1207">
      <c r="A1207" s="83">
        <v>44706.0</v>
      </c>
      <c r="B1207" s="66">
        <v>2025.0</v>
      </c>
      <c r="C1207" s="66">
        <v>3.0</v>
      </c>
      <c r="D1207" s="66" t="s">
        <v>227</v>
      </c>
      <c r="E1207" s="66">
        <v>0.0</v>
      </c>
      <c r="F1207" s="66">
        <v>0.3279</v>
      </c>
      <c r="G1207" s="66">
        <v>0.141</v>
      </c>
      <c r="H1207" s="66" t="s">
        <v>276</v>
      </c>
      <c r="I1207" s="82">
        <f t="shared" si="1"/>
        <v>1.325531915</v>
      </c>
      <c r="J1207" s="82">
        <f t="shared" si="2"/>
        <v>0.4300091491</v>
      </c>
    </row>
    <row r="1208">
      <c r="A1208" s="83">
        <v>44706.0</v>
      </c>
      <c r="B1208" s="66">
        <v>2025.0</v>
      </c>
      <c r="C1208" s="66">
        <v>3.0</v>
      </c>
      <c r="D1208" s="66" t="s">
        <v>227</v>
      </c>
      <c r="E1208" s="66">
        <v>1.0</v>
      </c>
      <c r="F1208" s="66">
        <v>0.1333</v>
      </c>
      <c r="G1208" s="66">
        <v>0.0573</v>
      </c>
      <c r="I1208" s="82">
        <f t="shared" si="1"/>
        <v>1.326352531</v>
      </c>
      <c r="J1208" s="82">
        <f t="shared" si="2"/>
        <v>0.4298574644</v>
      </c>
    </row>
    <row r="1209">
      <c r="A1209" s="83">
        <v>44706.0</v>
      </c>
      <c r="B1209" s="66">
        <v>2032.0</v>
      </c>
      <c r="C1209" s="66">
        <v>2.0</v>
      </c>
      <c r="D1209" s="66" t="s">
        <v>228</v>
      </c>
      <c r="E1209" s="66">
        <v>1.0</v>
      </c>
      <c r="F1209" s="66">
        <v>0.0184</v>
      </c>
      <c r="G1209" s="66">
        <v>0.0079</v>
      </c>
      <c r="H1209" s="66" t="s">
        <v>276</v>
      </c>
      <c r="I1209" s="82">
        <f t="shared" si="1"/>
        <v>1.329113924</v>
      </c>
      <c r="J1209" s="82">
        <f t="shared" si="2"/>
        <v>0.4293478261</v>
      </c>
    </row>
    <row r="1210">
      <c r="A1210" s="83">
        <v>44706.0</v>
      </c>
      <c r="B1210" s="66">
        <v>2032.0</v>
      </c>
      <c r="C1210" s="66">
        <v>2.0</v>
      </c>
      <c r="D1210" s="66" t="s">
        <v>227</v>
      </c>
      <c r="E1210" s="66">
        <v>0.0</v>
      </c>
      <c r="F1210" s="66">
        <v>0.2237</v>
      </c>
      <c r="G1210" s="66">
        <v>0.0959</v>
      </c>
      <c r="H1210" s="66" t="s">
        <v>276</v>
      </c>
      <c r="I1210" s="82">
        <f t="shared" si="1"/>
        <v>1.332638165</v>
      </c>
      <c r="J1210" s="82">
        <f t="shared" si="2"/>
        <v>0.4286991506</v>
      </c>
    </row>
    <row r="1211">
      <c r="A1211" s="83">
        <v>44706.0</v>
      </c>
      <c r="B1211" s="66">
        <v>2301.0</v>
      </c>
      <c r="C1211" s="66">
        <v>1.0</v>
      </c>
      <c r="D1211" s="66" t="s">
        <v>228</v>
      </c>
      <c r="E1211" s="66">
        <v>1.0</v>
      </c>
      <c r="F1211" s="66">
        <v>0.217</v>
      </c>
      <c r="G1211" s="66">
        <v>0.093</v>
      </c>
      <c r="H1211" s="66" t="s">
        <v>276</v>
      </c>
      <c r="I1211" s="82">
        <f t="shared" si="1"/>
        <v>1.333333333</v>
      </c>
      <c r="J1211" s="82">
        <f t="shared" si="2"/>
        <v>0.4285714286</v>
      </c>
    </row>
    <row r="1212">
      <c r="A1212" s="83">
        <v>44706.0</v>
      </c>
      <c r="B1212" s="66">
        <v>2301.0</v>
      </c>
      <c r="C1212" s="66">
        <v>1.0</v>
      </c>
      <c r="D1212" s="66" t="s">
        <v>227</v>
      </c>
      <c r="E1212" s="66">
        <v>1.0</v>
      </c>
      <c r="F1212" s="66">
        <v>0.049</v>
      </c>
      <c r="G1212" s="66">
        <v>0.021</v>
      </c>
      <c r="H1212" s="66" t="s">
        <v>279</v>
      </c>
      <c r="I1212" s="82">
        <f t="shared" si="1"/>
        <v>1.333333333</v>
      </c>
      <c r="J1212" s="82">
        <f t="shared" si="2"/>
        <v>0.4285714286</v>
      </c>
    </row>
    <row r="1213">
      <c r="A1213" s="83">
        <v>44706.0</v>
      </c>
      <c r="B1213" s="66">
        <v>2301.0</v>
      </c>
      <c r="C1213" s="66">
        <v>2.0</v>
      </c>
      <c r="D1213" s="66" t="s">
        <v>228</v>
      </c>
      <c r="E1213" s="66">
        <v>1.0</v>
      </c>
      <c r="F1213" s="66">
        <v>0.0978</v>
      </c>
      <c r="G1213" s="66">
        <v>0.0419</v>
      </c>
      <c r="I1213" s="82">
        <f t="shared" si="1"/>
        <v>1.334128878</v>
      </c>
      <c r="J1213" s="82">
        <f t="shared" si="2"/>
        <v>0.4284253579</v>
      </c>
    </row>
    <row r="1214">
      <c r="A1214" s="83">
        <v>44706.0</v>
      </c>
      <c r="B1214" s="66">
        <v>2301.0</v>
      </c>
      <c r="C1214" s="66">
        <v>2.0</v>
      </c>
      <c r="D1214" s="66" t="s">
        <v>227</v>
      </c>
      <c r="E1214" s="66">
        <v>1.0</v>
      </c>
      <c r="F1214" s="66">
        <v>0.0733</v>
      </c>
      <c r="G1214" s="66">
        <v>0.0314</v>
      </c>
      <c r="I1214" s="82">
        <f t="shared" si="1"/>
        <v>1.334394904</v>
      </c>
      <c r="J1214" s="82">
        <f t="shared" si="2"/>
        <v>0.4283765348</v>
      </c>
    </row>
    <row r="1215">
      <c r="A1215" s="83">
        <v>44706.0</v>
      </c>
      <c r="B1215" s="66">
        <v>2301.0</v>
      </c>
      <c r="C1215" s="66">
        <v>3.0</v>
      </c>
      <c r="D1215" s="66" t="s">
        <v>228</v>
      </c>
      <c r="E1215" s="66">
        <v>1.0</v>
      </c>
      <c r="F1215" s="66">
        <v>0.4231</v>
      </c>
      <c r="G1215" s="66">
        <v>0.181</v>
      </c>
      <c r="H1215" s="66" t="s">
        <v>276</v>
      </c>
      <c r="I1215" s="82">
        <f t="shared" si="1"/>
        <v>1.337569061</v>
      </c>
      <c r="J1215" s="82">
        <f t="shared" si="2"/>
        <v>0.4277948476</v>
      </c>
    </row>
    <row r="1216">
      <c r="A1216" s="83">
        <v>44706.0</v>
      </c>
      <c r="B1216" s="66">
        <v>2301.0</v>
      </c>
      <c r="C1216" s="66">
        <v>3.0</v>
      </c>
      <c r="D1216" s="66" t="s">
        <v>227</v>
      </c>
      <c r="E1216" s="66">
        <v>1.0</v>
      </c>
      <c r="F1216" s="66">
        <v>2.749</v>
      </c>
      <c r="G1216" s="66">
        <v>1.176</v>
      </c>
      <c r="H1216" s="66" t="s">
        <v>279</v>
      </c>
      <c r="I1216" s="82">
        <f t="shared" si="1"/>
        <v>1.337585034</v>
      </c>
      <c r="J1216" s="82">
        <f t="shared" si="2"/>
        <v>0.4277919243</v>
      </c>
    </row>
    <row r="1217">
      <c r="A1217" s="83">
        <v>44706.0</v>
      </c>
      <c r="B1217" s="66">
        <v>2301.0</v>
      </c>
      <c r="C1217" s="66">
        <v>3.0</v>
      </c>
      <c r="D1217" s="66" t="s">
        <v>227</v>
      </c>
      <c r="E1217" s="66">
        <v>1.0</v>
      </c>
      <c r="F1217" s="66">
        <v>0.2088</v>
      </c>
      <c r="G1217" s="66">
        <v>0.0893</v>
      </c>
      <c r="H1217" s="66" t="s">
        <v>276</v>
      </c>
      <c r="I1217" s="82">
        <f t="shared" si="1"/>
        <v>1.33818589</v>
      </c>
      <c r="J1217" s="82">
        <f t="shared" si="2"/>
        <v>0.4276819923</v>
      </c>
    </row>
    <row r="1218">
      <c r="A1218" s="83">
        <v>44706.0</v>
      </c>
      <c r="B1218" s="66">
        <v>2331.0</v>
      </c>
      <c r="C1218" s="66">
        <v>1.0</v>
      </c>
      <c r="D1218" s="66" t="s">
        <v>228</v>
      </c>
      <c r="E1218" s="66">
        <v>0.0</v>
      </c>
      <c r="F1218" s="66">
        <v>0.269</v>
      </c>
      <c r="G1218" s="66">
        <v>0.115</v>
      </c>
      <c r="H1218" s="66" t="s">
        <v>279</v>
      </c>
      <c r="I1218" s="82">
        <f t="shared" si="1"/>
        <v>1.339130435</v>
      </c>
      <c r="J1218" s="82">
        <f t="shared" si="2"/>
        <v>0.4275092937</v>
      </c>
    </row>
    <row r="1219">
      <c r="A1219" s="83">
        <v>44706.0</v>
      </c>
      <c r="B1219" s="66">
        <v>2331.0</v>
      </c>
      <c r="C1219" s="66">
        <v>1.0</v>
      </c>
      <c r="D1219" s="66" t="s">
        <v>228</v>
      </c>
      <c r="E1219" s="66">
        <v>1.0</v>
      </c>
      <c r="F1219" s="66">
        <v>0.496</v>
      </c>
      <c r="G1219" s="66">
        <v>0.212</v>
      </c>
      <c r="H1219" s="66" t="s">
        <v>279</v>
      </c>
      <c r="I1219" s="82">
        <f t="shared" si="1"/>
        <v>1.339622642</v>
      </c>
      <c r="J1219" s="82">
        <f t="shared" si="2"/>
        <v>0.4274193548</v>
      </c>
    </row>
    <row r="1220">
      <c r="A1220" s="83">
        <v>44706.0</v>
      </c>
      <c r="B1220" s="66">
        <v>2331.0</v>
      </c>
      <c r="C1220" s="66">
        <v>1.0</v>
      </c>
      <c r="D1220" s="66" t="s">
        <v>227</v>
      </c>
      <c r="E1220" s="66">
        <v>0.0</v>
      </c>
      <c r="F1220" s="66">
        <v>0.146</v>
      </c>
      <c r="G1220" s="66">
        <v>0.0624</v>
      </c>
      <c r="H1220" s="66" t="s">
        <v>276</v>
      </c>
      <c r="I1220" s="82">
        <f t="shared" si="1"/>
        <v>1.33974359</v>
      </c>
      <c r="J1220" s="82">
        <f t="shared" si="2"/>
        <v>0.4273972603</v>
      </c>
    </row>
    <row r="1221">
      <c r="A1221" s="83">
        <v>44706.0</v>
      </c>
      <c r="B1221" s="66">
        <v>2331.0</v>
      </c>
      <c r="C1221" s="66">
        <v>1.0</v>
      </c>
      <c r="D1221" s="66" t="s">
        <v>227</v>
      </c>
      <c r="E1221" s="66">
        <v>1.0</v>
      </c>
      <c r="F1221" s="66">
        <v>0.245</v>
      </c>
      <c r="G1221" s="66">
        <v>0.1046</v>
      </c>
      <c r="H1221" s="66" t="s">
        <v>276</v>
      </c>
      <c r="I1221" s="82">
        <f t="shared" si="1"/>
        <v>1.342256214</v>
      </c>
      <c r="J1221" s="82">
        <f t="shared" si="2"/>
        <v>0.4269387755</v>
      </c>
    </row>
    <row r="1222">
      <c r="A1222" s="83">
        <v>44706.0</v>
      </c>
      <c r="B1222" s="66">
        <v>2331.0</v>
      </c>
      <c r="C1222" s="66">
        <v>2.0</v>
      </c>
      <c r="D1222" s="66" t="s">
        <v>228</v>
      </c>
      <c r="E1222" s="66">
        <v>0.0</v>
      </c>
      <c r="F1222" s="66">
        <v>0.075</v>
      </c>
      <c r="G1222" s="66">
        <v>0.032</v>
      </c>
      <c r="H1222" s="66" t="s">
        <v>277</v>
      </c>
      <c r="I1222" s="82">
        <f t="shared" si="1"/>
        <v>1.34375</v>
      </c>
      <c r="J1222" s="82">
        <f t="shared" si="2"/>
        <v>0.4266666667</v>
      </c>
    </row>
    <row r="1223">
      <c r="A1223" s="83">
        <v>44706.0</v>
      </c>
      <c r="B1223" s="66">
        <v>2331.0</v>
      </c>
      <c r="C1223" s="66">
        <v>2.0</v>
      </c>
      <c r="D1223" s="66" t="s">
        <v>228</v>
      </c>
      <c r="E1223" s="66">
        <v>1.0</v>
      </c>
      <c r="F1223" s="66">
        <v>0.0422</v>
      </c>
      <c r="G1223" s="66">
        <v>0.018</v>
      </c>
      <c r="H1223" s="66" t="s">
        <v>277</v>
      </c>
      <c r="I1223" s="82">
        <f t="shared" si="1"/>
        <v>1.344444444</v>
      </c>
      <c r="J1223" s="82">
        <f t="shared" si="2"/>
        <v>0.4265402844</v>
      </c>
    </row>
    <row r="1224">
      <c r="A1224" s="83">
        <v>44706.0</v>
      </c>
      <c r="B1224" s="66">
        <v>2331.0</v>
      </c>
      <c r="C1224" s="66">
        <v>2.0</v>
      </c>
      <c r="D1224" s="66" t="s">
        <v>227</v>
      </c>
      <c r="E1224" s="66">
        <v>0.0</v>
      </c>
      <c r="F1224" s="66">
        <v>0.0891</v>
      </c>
      <c r="G1224" s="66">
        <v>0.038</v>
      </c>
      <c r="I1224" s="82">
        <f t="shared" si="1"/>
        <v>1.344736842</v>
      </c>
      <c r="J1224" s="82">
        <f t="shared" si="2"/>
        <v>0.4264870932</v>
      </c>
    </row>
    <row r="1225">
      <c r="A1225" s="83">
        <v>44706.0</v>
      </c>
      <c r="B1225" s="66">
        <v>2331.0</v>
      </c>
      <c r="C1225" s="66">
        <v>2.0</v>
      </c>
      <c r="D1225" s="66" t="s">
        <v>227</v>
      </c>
      <c r="E1225" s="66">
        <v>1.0</v>
      </c>
      <c r="F1225" s="66">
        <v>0.0936</v>
      </c>
      <c r="G1225" s="66">
        <v>0.0399</v>
      </c>
      <c r="I1225" s="82">
        <f t="shared" si="1"/>
        <v>1.345864662</v>
      </c>
      <c r="J1225" s="82">
        <f t="shared" si="2"/>
        <v>0.4262820513</v>
      </c>
    </row>
    <row r="1226">
      <c r="A1226" s="83">
        <v>44706.0</v>
      </c>
      <c r="B1226" s="66">
        <v>2331.0</v>
      </c>
      <c r="C1226" s="66">
        <v>3.0</v>
      </c>
      <c r="D1226" s="66" t="s">
        <v>228</v>
      </c>
      <c r="E1226" s="66">
        <v>0.0</v>
      </c>
      <c r="F1226" s="66">
        <v>0.0868</v>
      </c>
      <c r="G1226" s="66">
        <v>0.037</v>
      </c>
      <c r="H1226" s="66" t="s">
        <v>277</v>
      </c>
      <c r="I1226" s="82">
        <f t="shared" si="1"/>
        <v>1.345945946</v>
      </c>
      <c r="J1226" s="82">
        <f t="shared" si="2"/>
        <v>0.4262672811</v>
      </c>
    </row>
    <row r="1227">
      <c r="A1227" s="83">
        <v>44706.0</v>
      </c>
      <c r="B1227" s="66">
        <v>2331.0</v>
      </c>
      <c r="C1227" s="66">
        <v>3.0</v>
      </c>
      <c r="D1227" s="66" t="s">
        <v>228</v>
      </c>
      <c r="E1227" s="66">
        <v>1.0</v>
      </c>
      <c r="F1227" s="66">
        <v>2.629</v>
      </c>
      <c r="G1227" s="66">
        <v>1.12</v>
      </c>
      <c r="H1227" s="66" t="s">
        <v>278</v>
      </c>
      <c r="I1227" s="82">
        <f t="shared" si="1"/>
        <v>1.347321429</v>
      </c>
      <c r="J1227" s="82">
        <f t="shared" si="2"/>
        <v>0.4260174971</v>
      </c>
    </row>
    <row r="1228">
      <c r="A1228" s="83">
        <v>44706.0</v>
      </c>
      <c r="B1228" s="66">
        <v>2331.0</v>
      </c>
      <c r="C1228" s="66">
        <v>3.0</v>
      </c>
      <c r="D1228" s="66" t="s">
        <v>227</v>
      </c>
      <c r="E1228" s="66">
        <v>0.0</v>
      </c>
      <c r="F1228" s="66">
        <v>0.3688</v>
      </c>
      <c r="G1228" s="66">
        <v>0.157</v>
      </c>
      <c r="H1228" s="66" t="s">
        <v>277</v>
      </c>
      <c r="I1228" s="82">
        <f t="shared" si="1"/>
        <v>1.349044586</v>
      </c>
      <c r="J1228" s="82">
        <f t="shared" si="2"/>
        <v>0.4257049892</v>
      </c>
    </row>
    <row r="1229">
      <c r="A1229" s="83">
        <v>44706.0</v>
      </c>
      <c r="B1229" s="66">
        <v>2331.0</v>
      </c>
      <c r="C1229" s="66">
        <v>3.0</v>
      </c>
      <c r="D1229" s="66" t="s">
        <v>227</v>
      </c>
      <c r="E1229" s="66">
        <v>1.0</v>
      </c>
      <c r="F1229" s="66">
        <v>0.0268</v>
      </c>
      <c r="G1229" s="66">
        <v>0.0114</v>
      </c>
      <c r="H1229" s="66" t="s">
        <v>277</v>
      </c>
      <c r="I1229" s="82">
        <f t="shared" si="1"/>
        <v>1.350877193</v>
      </c>
      <c r="J1229" s="82">
        <f t="shared" si="2"/>
        <v>0.4253731343</v>
      </c>
    </row>
    <row r="1230">
      <c r="A1230" s="83">
        <v>44706.0</v>
      </c>
      <c r="B1230" s="66">
        <v>2345.0</v>
      </c>
      <c r="C1230" s="66">
        <v>1.0</v>
      </c>
      <c r="D1230" s="66" t="s">
        <v>228</v>
      </c>
      <c r="E1230" s="66">
        <v>1.0</v>
      </c>
      <c r="F1230" s="66">
        <v>0.1834</v>
      </c>
      <c r="G1230" s="66">
        <v>0.078</v>
      </c>
      <c r="I1230" s="82">
        <f t="shared" si="1"/>
        <v>1.351282051</v>
      </c>
      <c r="J1230" s="82">
        <f t="shared" si="2"/>
        <v>0.4252998909</v>
      </c>
    </row>
    <row r="1231">
      <c r="A1231" s="83">
        <v>44706.0</v>
      </c>
      <c r="B1231" s="66">
        <v>2345.0</v>
      </c>
      <c r="C1231" s="66">
        <v>1.0</v>
      </c>
      <c r="D1231" s="66" t="s">
        <v>227</v>
      </c>
      <c r="E1231" s="66">
        <v>1.0</v>
      </c>
      <c r="F1231" s="66">
        <v>1.191</v>
      </c>
      <c r="G1231" s="66">
        <v>0.506</v>
      </c>
      <c r="H1231" s="66" t="s">
        <v>279</v>
      </c>
      <c r="I1231" s="82">
        <f t="shared" si="1"/>
        <v>1.353754941</v>
      </c>
      <c r="J1231" s="82">
        <f t="shared" si="2"/>
        <v>0.4248530647</v>
      </c>
    </row>
    <row r="1232">
      <c r="A1232" s="83">
        <v>44706.0</v>
      </c>
      <c r="B1232" s="66">
        <v>2345.0</v>
      </c>
      <c r="C1232" s="66">
        <v>2.0</v>
      </c>
      <c r="D1232" s="66" t="s">
        <v>228</v>
      </c>
      <c r="E1232" s="66">
        <v>1.0</v>
      </c>
      <c r="F1232" s="66">
        <v>0.1837</v>
      </c>
      <c r="G1232" s="66">
        <v>0.078</v>
      </c>
      <c r="I1232" s="82">
        <f t="shared" si="1"/>
        <v>1.355128205</v>
      </c>
      <c r="J1232" s="82">
        <f t="shared" si="2"/>
        <v>0.4246053348</v>
      </c>
    </row>
    <row r="1233">
      <c r="A1233" s="83">
        <v>44706.0</v>
      </c>
      <c r="B1233" s="66">
        <v>2345.0</v>
      </c>
      <c r="C1233" s="66">
        <v>2.0</v>
      </c>
      <c r="D1233" s="66" t="s">
        <v>227</v>
      </c>
      <c r="E1233" s="66">
        <v>1.0</v>
      </c>
      <c r="F1233" s="66">
        <v>0.2522</v>
      </c>
      <c r="G1233" s="66">
        <v>0.107</v>
      </c>
      <c r="I1233" s="82">
        <f t="shared" si="1"/>
        <v>1.357009346</v>
      </c>
      <c r="J1233" s="82">
        <f t="shared" si="2"/>
        <v>0.4242664552</v>
      </c>
    </row>
    <row r="1234">
      <c r="A1234" s="83">
        <v>44706.0</v>
      </c>
      <c r="B1234" s="66">
        <v>2345.0</v>
      </c>
      <c r="C1234" s="66">
        <v>3.0</v>
      </c>
      <c r="D1234" s="66" t="s">
        <v>228</v>
      </c>
      <c r="E1234" s="66">
        <v>1.0</v>
      </c>
      <c r="F1234" s="66">
        <v>0.1233</v>
      </c>
      <c r="G1234" s="66">
        <v>0.0523</v>
      </c>
      <c r="I1234" s="82">
        <f t="shared" si="1"/>
        <v>1.357552581</v>
      </c>
      <c r="J1234" s="82">
        <f t="shared" si="2"/>
        <v>0.4241686942</v>
      </c>
    </row>
    <row r="1235">
      <c r="A1235" s="83">
        <v>44706.0</v>
      </c>
      <c r="B1235" s="66">
        <v>2345.0</v>
      </c>
      <c r="C1235" s="66">
        <v>3.0</v>
      </c>
      <c r="D1235" s="66" t="s">
        <v>227</v>
      </c>
      <c r="E1235" s="66">
        <v>1.0</v>
      </c>
      <c r="F1235" s="66">
        <v>0.229</v>
      </c>
      <c r="G1235" s="66">
        <v>0.097</v>
      </c>
      <c r="H1235" s="66" t="s">
        <v>279</v>
      </c>
      <c r="I1235" s="82">
        <f t="shared" si="1"/>
        <v>1.360824742</v>
      </c>
      <c r="J1235" s="82">
        <f t="shared" si="2"/>
        <v>0.423580786</v>
      </c>
    </row>
    <row r="1236">
      <c r="A1236" s="83">
        <v>44706.0</v>
      </c>
      <c r="B1236" s="66">
        <v>2346.0</v>
      </c>
      <c r="C1236" s="66">
        <v>1.0</v>
      </c>
      <c r="D1236" s="66" t="s">
        <v>228</v>
      </c>
      <c r="E1236" s="66">
        <v>0.0</v>
      </c>
      <c r="F1236" s="66">
        <v>0.1299</v>
      </c>
      <c r="G1236" s="66">
        <v>0.055</v>
      </c>
      <c r="I1236" s="82">
        <f t="shared" si="1"/>
        <v>1.361818182</v>
      </c>
      <c r="J1236" s="82">
        <f t="shared" si="2"/>
        <v>0.4234026174</v>
      </c>
    </row>
    <row r="1237">
      <c r="A1237" s="83">
        <v>44706.0</v>
      </c>
      <c r="B1237" s="66">
        <v>2346.0</v>
      </c>
      <c r="C1237" s="66">
        <v>1.0</v>
      </c>
      <c r="D1237" s="66" t="s">
        <v>227</v>
      </c>
      <c r="E1237" s="66">
        <v>0.0</v>
      </c>
      <c r="F1237" s="66">
        <v>0.0274</v>
      </c>
      <c r="G1237" s="66">
        <v>0.0116</v>
      </c>
      <c r="H1237" s="66" t="s">
        <v>276</v>
      </c>
      <c r="I1237" s="82">
        <f t="shared" si="1"/>
        <v>1.362068966</v>
      </c>
      <c r="J1237" s="82">
        <f t="shared" si="2"/>
        <v>0.4233576642</v>
      </c>
    </row>
    <row r="1238">
      <c r="A1238" s="83">
        <v>44706.0</v>
      </c>
      <c r="B1238" s="66">
        <v>2346.0</v>
      </c>
      <c r="C1238" s="66">
        <v>1.0</v>
      </c>
      <c r="D1238" s="66" t="s">
        <v>227</v>
      </c>
      <c r="E1238" s="66">
        <v>1.0</v>
      </c>
      <c r="F1238" s="66">
        <v>0.9288</v>
      </c>
      <c r="G1238" s="66">
        <v>0.393</v>
      </c>
      <c r="H1238" s="66" t="s">
        <v>276</v>
      </c>
      <c r="I1238" s="82">
        <f t="shared" si="1"/>
        <v>1.363358779</v>
      </c>
      <c r="J1238" s="82">
        <f t="shared" si="2"/>
        <v>0.423126615</v>
      </c>
    </row>
    <row r="1239">
      <c r="A1239" s="83">
        <v>44706.0</v>
      </c>
      <c r="B1239" s="66">
        <v>2346.0</v>
      </c>
      <c r="C1239" s="66">
        <v>2.0</v>
      </c>
      <c r="D1239" s="66" t="s">
        <v>228</v>
      </c>
      <c r="E1239" s="66">
        <v>0.0</v>
      </c>
      <c r="F1239" s="66">
        <v>1.0328</v>
      </c>
      <c r="G1239" s="66">
        <v>0.437</v>
      </c>
      <c r="H1239" s="66" t="s">
        <v>276</v>
      </c>
      <c r="I1239" s="82">
        <f t="shared" si="1"/>
        <v>1.363386728</v>
      </c>
      <c r="J1239" s="82">
        <f t="shared" si="2"/>
        <v>0.4231216112</v>
      </c>
    </row>
    <row r="1240">
      <c r="A1240" s="83">
        <v>44706.0</v>
      </c>
      <c r="B1240" s="66">
        <v>2346.0</v>
      </c>
      <c r="C1240" s="66">
        <v>2.0</v>
      </c>
      <c r="D1240" s="66" t="s">
        <v>227</v>
      </c>
      <c r="E1240" s="66">
        <v>0.0</v>
      </c>
      <c r="F1240" s="66">
        <v>0.0781</v>
      </c>
      <c r="G1240" s="66">
        <v>0.033</v>
      </c>
      <c r="H1240" s="66" t="s">
        <v>276</v>
      </c>
      <c r="I1240" s="82">
        <f t="shared" si="1"/>
        <v>1.366666667</v>
      </c>
      <c r="J1240" s="82">
        <f t="shared" si="2"/>
        <v>0.4225352113</v>
      </c>
    </row>
    <row r="1241">
      <c r="A1241" s="83">
        <v>44706.0</v>
      </c>
      <c r="B1241" s="66">
        <v>2346.0</v>
      </c>
      <c r="C1241" s="66">
        <v>2.0</v>
      </c>
      <c r="D1241" s="66" t="s">
        <v>227</v>
      </c>
      <c r="E1241" s="66">
        <v>1.0</v>
      </c>
      <c r="F1241" s="66">
        <v>0.4704</v>
      </c>
      <c r="G1241" s="66">
        <v>0.1987</v>
      </c>
      <c r="I1241" s="82">
        <f t="shared" si="1"/>
        <v>1.367388022</v>
      </c>
      <c r="J1241" s="82">
        <f t="shared" si="2"/>
        <v>0.4224064626</v>
      </c>
    </row>
    <row r="1242">
      <c r="A1242" s="83">
        <v>44706.0</v>
      </c>
      <c r="B1242" s="66">
        <v>2346.0</v>
      </c>
      <c r="C1242" s="66">
        <v>3.0</v>
      </c>
      <c r="D1242" s="66" t="s">
        <v>228</v>
      </c>
      <c r="E1242" s="66">
        <v>0.0</v>
      </c>
      <c r="F1242" s="66">
        <v>0.1397</v>
      </c>
      <c r="G1242" s="66">
        <v>0.059</v>
      </c>
      <c r="I1242" s="82">
        <f t="shared" si="1"/>
        <v>1.36779661</v>
      </c>
      <c r="J1242" s="82">
        <f t="shared" si="2"/>
        <v>0.4223335719</v>
      </c>
    </row>
    <row r="1243">
      <c r="A1243" s="83">
        <v>44706.0</v>
      </c>
      <c r="B1243" s="66">
        <v>2346.0</v>
      </c>
      <c r="C1243" s="66">
        <v>3.0</v>
      </c>
      <c r="D1243" s="66" t="s">
        <v>227</v>
      </c>
      <c r="E1243" s="66">
        <v>0.0</v>
      </c>
      <c r="F1243" s="66">
        <v>0.0663</v>
      </c>
      <c r="G1243" s="66">
        <v>0.028</v>
      </c>
      <c r="H1243" s="66" t="s">
        <v>276</v>
      </c>
      <c r="I1243" s="82">
        <f t="shared" si="1"/>
        <v>1.367857143</v>
      </c>
      <c r="J1243" s="82">
        <f t="shared" si="2"/>
        <v>0.4223227753</v>
      </c>
    </row>
    <row r="1244">
      <c r="A1244" s="83">
        <v>44706.0</v>
      </c>
      <c r="B1244" s="66">
        <v>2346.0</v>
      </c>
      <c r="C1244" s="66">
        <v>3.0</v>
      </c>
      <c r="D1244" s="66" t="s">
        <v>227</v>
      </c>
      <c r="E1244" s="66">
        <v>1.0</v>
      </c>
      <c r="F1244" s="66">
        <v>0.2913</v>
      </c>
      <c r="G1244" s="66">
        <v>0.123</v>
      </c>
      <c r="H1244" s="66" t="s">
        <v>276</v>
      </c>
      <c r="I1244" s="82">
        <f t="shared" si="1"/>
        <v>1.368292683</v>
      </c>
      <c r="J1244" s="82">
        <f t="shared" si="2"/>
        <v>0.4222451081</v>
      </c>
    </row>
    <row r="1245">
      <c r="A1245" s="83">
        <v>44706.0</v>
      </c>
      <c r="B1245" s="66">
        <v>2347.0</v>
      </c>
      <c r="C1245" s="66">
        <v>1.0</v>
      </c>
      <c r="D1245" s="66" t="s">
        <v>228</v>
      </c>
      <c r="E1245" s="66">
        <v>0.0</v>
      </c>
      <c r="F1245" s="66">
        <v>0.131</v>
      </c>
      <c r="G1245" s="66">
        <v>0.0553</v>
      </c>
      <c r="I1245" s="82">
        <f t="shared" si="1"/>
        <v>1.368896926</v>
      </c>
      <c r="J1245" s="82">
        <f t="shared" si="2"/>
        <v>0.4221374046</v>
      </c>
    </row>
    <row r="1246">
      <c r="A1246" s="83">
        <v>44706.0</v>
      </c>
      <c r="B1246" s="66">
        <v>2347.0</v>
      </c>
      <c r="C1246" s="66">
        <v>1.0</v>
      </c>
      <c r="D1246" s="66" t="s">
        <v>227</v>
      </c>
      <c r="E1246" s="66">
        <v>0.0</v>
      </c>
      <c r="F1246" s="66">
        <v>0.602</v>
      </c>
      <c r="G1246" s="66">
        <v>0.254</v>
      </c>
      <c r="H1246" s="66" t="s">
        <v>279</v>
      </c>
      <c r="I1246" s="82">
        <f t="shared" si="1"/>
        <v>1.37007874</v>
      </c>
      <c r="J1246" s="82">
        <f t="shared" si="2"/>
        <v>0.4219269103</v>
      </c>
    </row>
    <row r="1247">
      <c r="A1247" s="83">
        <v>44706.0</v>
      </c>
      <c r="B1247" s="66">
        <v>2347.0</v>
      </c>
      <c r="C1247" s="66">
        <v>1.0</v>
      </c>
      <c r="D1247" s="66" t="s">
        <v>227</v>
      </c>
      <c r="E1247" s="66">
        <v>1.0</v>
      </c>
      <c r="F1247" s="66">
        <v>0.019</v>
      </c>
      <c r="G1247" s="66">
        <v>0.008</v>
      </c>
      <c r="H1247" s="66" t="s">
        <v>279</v>
      </c>
      <c r="I1247" s="82">
        <f t="shared" si="1"/>
        <v>1.375</v>
      </c>
      <c r="J1247" s="82">
        <f t="shared" si="2"/>
        <v>0.4210526316</v>
      </c>
    </row>
    <row r="1248">
      <c r="A1248" s="83">
        <v>44706.0</v>
      </c>
      <c r="B1248" s="66">
        <v>2347.0</v>
      </c>
      <c r="C1248" s="66">
        <v>2.0</v>
      </c>
      <c r="D1248" s="66" t="s">
        <v>228</v>
      </c>
      <c r="E1248" s="66">
        <v>0.0</v>
      </c>
      <c r="F1248" s="66">
        <v>0.1856</v>
      </c>
      <c r="G1248" s="66">
        <v>0.078</v>
      </c>
      <c r="H1248" s="66" t="s">
        <v>276</v>
      </c>
      <c r="I1248" s="82">
        <f t="shared" si="1"/>
        <v>1.379487179</v>
      </c>
      <c r="J1248" s="82">
        <f t="shared" si="2"/>
        <v>0.4202586207</v>
      </c>
    </row>
    <row r="1249">
      <c r="A1249" s="83">
        <v>44706.0</v>
      </c>
      <c r="B1249" s="66">
        <v>2347.0</v>
      </c>
      <c r="C1249" s="66">
        <v>2.0</v>
      </c>
      <c r="D1249" s="66" t="s">
        <v>227</v>
      </c>
      <c r="E1249" s="66">
        <v>0.0</v>
      </c>
      <c r="F1249" s="66">
        <v>0.328</v>
      </c>
      <c r="G1249" s="66">
        <v>0.1378</v>
      </c>
      <c r="I1249" s="82">
        <f t="shared" si="1"/>
        <v>1.380261248</v>
      </c>
      <c r="J1249" s="82">
        <f t="shared" si="2"/>
        <v>0.4201219512</v>
      </c>
    </row>
    <row r="1250">
      <c r="A1250" s="83">
        <v>44706.0</v>
      </c>
      <c r="B1250" s="66">
        <v>2347.0</v>
      </c>
      <c r="C1250" s="66">
        <v>2.0</v>
      </c>
      <c r="D1250" s="66" t="s">
        <v>227</v>
      </c>
      <c r="E1250" s="66">
        <v>1.0</v>
      </c>
      <c r="F1250" s="66">
        <v>0.0738</v>
      </c>
      <c r="G1250" s="66">
        <v>0.031</v>
      </c>
      <c r="H1250" s="66" t="s">
        <v>280</v>
      </c>
      <c r="I1250" s="82">
        <f t="shared" si="1"/>
        <v>1.380645161</v>
      </c>
      <c r="J1250" s="82">
        <f t="shared" si="2"/>
        <v>0.4200542005</v>
      </c>
    </row>
    <row r="1251">
      <c r="A1251" s="83">
        <v>44706.0</v>
      </c>
      <c r="B1251" s="66">
        <v>2347.0</v>
      </c>
      <c r="C1251" s="66">
        <v>3.0</v>
      </c>
      <c r="D1251" s="66" t="s">
        <v>228</v>
      </c>
      <c r="E1251" s="66">
        <v>0.0</v>
      </c>
      <c r="F1251" s="66">
        <v>0.7</v>
      </c>
      <c r="G1251" s="66">
        <v>0.294</v>
      </c>
      <c r="H1251" s="66" t="s">
        <v>279</v>
      </c>
      <c r="I1251" s="82">
        <f t="shared" si="1"/>
        <v>1.380952381</v>
      </c>
      <c r="J1251" s="82">
        <f t="shared" si="2"/>
        <v>0.42</v>
      </c>
    </row>
    <row r="1252">
      <c r="A1252" s="83">
        <v>44706.0</v>
      </c>
      <c r="B1252" s="66">
        <v>2347.0</v>
      </c>
      <c r="C1252" s="66">
        <v>3.0</v>
      </c>
      <c r="D1252" s="66" t="s">
        <v>227</v>
      </c>
      <c r="E1252" s="66">
        <v>0.0</v>
      </c>
      <c r="F1252" s="66">
        <v>0.2386</v>
      </c>
      <c r="G1252" s="66">
        <v>0.1002</v>
      </c>
      <c r="H1252" s="66" t="s">
        <v>276</v>
      </c>
      <c r="I1252" s="82">
        <f t="shared" si="1"/>
        <v>1.381237525</v>
      </c>
      <c r="J1252" s="82">
        <f t="shared" si="2"/>
        <v>0.4199497066</v>
      </c>
    </row>
    <row r="1253">
      <c r="A1253" s="83">
        <v>44706.0</v>
      </c>
      <c r="B1253" s="66">
        <v>2347.0</v>
      </c>
      <c r="C1253" s="66">
        <v>3.0</v>
      </c>
      <c r="D1253" s="66" t="s">
        <v>227</v>
      </c>
      <c r="E1253" s="66">
        <v>1.0</v>
      </c>
      <c r="F1253" s="66">
        <v>0.2386</v>
      </c>
      <c r="G1253" s="66">
        <v>0.1</v>
      </c>
      <c r="H1253" s="66" t="s">
        <v>276</v>
      </c>
      <c r="I1253" s="82">
        <f t="shared" si="1"/>
        <v>1.386</v>
      </c>
      <c r="J1253" s="82">
        <f t="shared" si="2"/>
        <v>0.4191114837</v>
      </c>
    </row>
    <row r="1254">
      <c r="A1254" s="83">
        <v>44706.0</v>
      </c>
      <c r="B1254" s="66">
        <v>2352.0</v>
      </c>
      <c r="C1254" s="66">
        <v>1.0</v>
      </c>
      <c r="D1254" s="66" t="s">
        <v>228</v>
      </c>
      <c r="E1254" s="66">
        <v>1.0</v>
      </c>
      <c r="F1254" s="66">
        <v>0.482</v>
      </c>
      <c r="G1254" s="66">
        <v>0.202</v>
      </c>
      <c r="H1254" s="66" t="s">
        <v>276</v>
      </c>
      <c r="I1254" s="82">
        <f t="shared" si="1"/>
        <v>1.386138614</v>
      </c>
      <c r="J1254" s="82">
        <f t="shared" si="2"/>
        <v>0.4190871369</v>
      </c>
    </row>
    <row r="1255">
      <c r="A1255" s="83">
        <v>44706.0</v>
      </c>
      <c r="B1255" s="66">
        <v>2352.0</v>
      </c>
      <c r="C1255" s="66">
        <v>1.0</v>
      </c>
      <c r="D1255" s="66" t="s">
        <v>227</v>
      </c>
      <c r="E1255" s="66">
        <v>1.0</v>
      </c>
      <c r="F1255" s="66">
        <v>0.1859</v>
      </c>
      <c r="G1255" s="66">
        <v>0.0779</v>
      </c>
      <c r="I1255" s="82">
        <f t="shared" si="1"/>
        <v>1.386392811</v>
      </c>
      <c r="J1255" s="82">
        <f t="shared" si="2"/>
        <v>0.419042496</v>
      </c>
    </row>
    <row r="1256">
      <c r="A1256" s="83">
        <v>44706.0</v>
      </c>
      <c r="B1256" s="66">
        <v>2352.0</v>
      </c>
      <c r="C1256" s="66">
        <v>2.0</v>
      </c>
      <c r="D1256" s="66" t="s">
        <v>228</v>
      </c>
      <c r="E1256" s="66">
        <v>1.0</v>
      </c>
      <c r="F1256" s="66">
        <v>0.83</v>
      </c>
      <c r="G1256" s="66">
        <v>0.347</v>
      </c>
      <c r="H1256" s="66" t="s">
        <v>279</v>
      </c>
      <c r="I1256" s="82">
        <f t="shared" si="1"/>
        <v>1.391930836</v>
      </c>
      <c r="J1256" s="82">
        <f t="shared" si="2"/>
        <v>0.4180722892</v>
      </c>
    </row>
    <row r="1257">
      <c r="A1257" s="83">
        <v>44706.0</v>
      </c>
      <c r="B1257" s="66">
        <v>2352.0</v>
      </c>
      <c r="C1257" s="66">
        <v>2.0</v>
      </c>
      <c r="D1257" s="66" t="s">
        <v>227</v>
      </c>
      <c r="E1257" s="66">
        <v>1.0</v>
      </c>
      <c r="F1257" s="66">
        <v>0.2117</v>
      </c>
      <c r="G1257" s="66">
        <v>0.0885</v>
      </c>
      <c r="H1257" s="66" t="s">
        <v>276</v>
      </c>
      <c r="I1257" s="82">
        <f t="shared" si="1"/>
        <v>1.392090395</v>
      </c>
      <c r="J1257" s="82">
        <f t="shared" si="2"/>
        <v>0.4180444025</v>
      </c>
    </row>
    <row r="1258">
      <c r="A1258" s="83">
        <v>44706.0</v>
      </c>
      <c r="B1258" s="66">
        <v>2352.0</v>
      </c>
      <c r="C1258" s="66">
        <v>3.0</v>
      </c>
      <c r="D1258" s="66" t="s">
        <v>228</v>
      </c>
      <c r="E1258" s="66">
        <v>1.0</v>
      </c>
      <c r="F1258" s="66">
        <v>0.0311</v>
      </c>
      <c r="G1258" s="66">
        <v>0.013</v>
      </c>
      <c r="H1258" s="66" t="s">
        <v>276</v>
      </c>
      <c r="I1258" s="82">
        <f t="shared" si="1"/>
        <v>1.392307692</v>
      </c>
      <c r="J1258" s="82">
        <f t="shared" si="2"/>
        <v>0.4180064309</v>
      </c>
    </row>
    <row r="1259">
      <c r="A1259" s="83">
        <v>44706.0</v>
      </c>
      <c r="B1259" s="66">
        <v>2352.0</v>
      </c>
      <c r="C1259" s="66">
        <v>3.0</v>
      </c>
      <c r="D1259" s="66" t="s">
        <v>227</v>
      </c>
      <c r="E1259" s="66">
        <v>1.0</v>
      </c>
      <c r="F1259" s="66">
        <v>0.1888</v>
      </c>
      <c r="G1259" s="66">
        <v>0.0789</v>
      </c>
      <c r="I1259" s="82">
        <f t="shared" si="1"/>
        <v>1.392902408</v>
      </c>
      <c r="J1259" s="82">
        <f t="shared" si="2"/>
        <v>0.4179025424</v>
      </c>
    </row>
    <row r="1260">
      <c r="A1260" s="83">
        <v>44706.0</v>
      </c>
      <c r="B1260" s="66">
        <v>2369.0</v>
      </c>
      <c r="C1260" s="66">
        <v>1.0</v>
      </c>
      <c r="D1260" s="66" t="s">
        <v>228</v>
      </c>
      <c r="E1260" s="66">
        <v>0.0</v>
      </c>
      <c r="F1260" s="66">
        <v>0.1532</v>
      </c>
      <c r="G1260" s="66">
        <v>0.064</v>
      </c>
      <c r="H1260" s="66" t="s">
        <v>276</v>
      </c>
      <c r="I1260" s="82">
        <f t="shared" si="1"/>
        <v>1.39375</v>
      </c>
      <c r="J1260" s="82">
        <f t="shared" si="2"/>
        <v>0.4177545692</v>
      </c>
    </row>
    <row r="1261">
      <c r="A1261" s="83">
        <v>44706.0</v>
      </c>
      <c r="B1261" s="66">
        <v>2369.0</v>
      </c>
      <c r="C1261" s="66">
        <v>1.0</v>
      </c>
      <c r="D1261" s="66" t="s">
        <v>227</v>
      </c>
      <c r="E1261" s="66">
        <v>0.0</v>
      </c>
      <c r="F1261" s="66">
        <v>0.0766</v>
      </c>
      <c r="G1261" s="66">
        <v>0.032</v>
      </c>
      <c r="H1261" s="66" t="s">
        <v>276</v>
      </c>
      <c r="I1261" s="82">
        <f t="shared" si="1"/>
        <v>1.39375</v>
      </c>
      <c r="J1261" s="82">
        <f t="shared" si="2"/>
        <v>0.4177545692</v>
      </c>
    </row>
    <row r="1262">
      <c r="A1262" s="83">
        <v>44706.0</v>
      </c>
      <c r="B1262" s="66">
        <v>2369.0</v>
      </c>
      <c r="C1262" s="66">
        <v>1.0</v>
      </c>
      <c r="D1262" s="66" t="s">
        <v>227</v>
      </c>
      <c r="E1262" s="66">
        <v>1.0</v>
      </c>
      <c r="F1262" s="66">
        <v>0.249</v>
      </c>
      <c r="G1262" s="66">
        <v>0.104</v>
      </c>
      <c r="H1262" s="66" t="s">
        <v>279</v>
      </c>
      <c r="I1262" s="82">
        <f t="shared" si="1"/>
        <v>1.394230769</v>
      </c>
      <c r="J1262" s="82">
        <f t="shared" si="2"/>
        <v>0.4176706827</v>
      </c>
    </row>
    <row r="1263">
      <c r="A1263" s="83">
        <v>44706.0</v>
      </c>
      <c r="B1263" s="66">
        <v>2369.0</v>
      </c>
      <c r="C1263" s="66">
        <v>2.0</v>
      </c>
      <c r="D1263" s="66" t="s">
        <v>228</v>
      </c>
      <c r="E1263" s="66">
        <v>0.0</v>
      </c>
      <c r="F1263" s="66">
        <v>0.0467</v>
      </c>
      <c r="G1263" s="66">
        <v>0.0195</v>
      </c>
      <c r="I1263" s="82">
        <f t="shared" si="1"/>
        <v>1.394871795</v>
      </c>
      <c r="J1263" s="82">
        <f t="shared" si="2"/>
        <v>0.4175588865</v>
      </c>
    </row>
    <row r="1264">
      <c r="A1264" s="83">
        <v>44706.0</v>
      </c>
      <c r="B1264" s="66">
        <v>2369.0</v>
      </c>
      <c r="C1264" s="66">
        <v>2.0</v>
      </c>
      <c r="D1264" s="66" t="s">
        <v>227</v>
      </c>
      <c r="E1264" s="66">
        <v>0.0</v>
      </c>
      <c r="F1264" s="66">
        <v>0.1198</v>
      </c>
      <c r="G1264" s="66">
        <v>0.05</v>
      </c>
      <c r="I1264" s="82">
        <f t="shared" si="1"/>
        <v>1.396</v>
      </c>
      <c r="J1264" s="82">
        <f t="shared" si="2"/>
        <v>0.4173622705</v>
      </c>
    </row>
    <row r="1265">
      <c r="A1265" s="83">
        <v>44706.0</v>
      </c>
      <c r="B1265" s="66">
        <v>2369.0</v>
      </c>
      <c r="C1265" s="66">
        <v>2.0</v>
      </c>
      <c r="D1265" s="66" t="s">
        <v>227</v>
      </c>
      <c r="E1265" s="66">
        <v>1.0</v>
      </c>
      <c r="F1265" s="66">
        <v>0.2001</v>
      </c>
      <c r="G1265" s="66">
        <v>0.0835</v>
      </c>
      <c r="I1265" s="82">
        <f t="shared" si="1"/>
        <v>1.396407186</v>
      </c>
      <c r="J1265" s="82">
        <f t="shared" si="2"/>
        <v>0.4172913543</v>
      </c>
    </row>
    <row r="1266">
      <c r="A1266" s="83">
        <v>44706.0</v>
      </c>
      <c r="B1266" s="66">
        <v>2369.0</v>
      </c>
      <c r="C1266" s="66">
        <v>3.0</v>
      </c>
      <c r="D1266" s="66" t="s">
        <v>228</v>
      </c>
      <c r="E1266" s="66">
        <v>0.0</v>
      </c>
      <c r="F1266" s="66">
        <v>0.2469</v>
      </c>
      <c r="G1266" s="66">
        <v>0.103</v>
      </c>
      <c r="H1266" s="66" t="s">
        <v>277</v>
      </c>
      <c r="I1266" s="82">
        <f t="shared" si="1"/>
        <v>1.397087379</v>
      </c>
      <c r="J1266" s="82">
        <f t="shared" si="2"/>
        <v>0.4171729445</v>
      </c>
    </row>
    <row r="1267">
      <c r="A1267" s="83">
        <v>44706.0</v>
      </c>
      <c r="B1267" s="66">
        <v>2369.0</v>
      </c>
      <c r="C1267" s="66">
        <v>3.0</v>
      </c>
      <c r="D1267" s="66" t="s">
        <v>227</v>
      </c>
      <c r="E1267" s="66">
        <v>0.0</v>
      </c>
      <c r="F1267" s="66">
        <v>1.35</v>
      </c>
      <c r="G1267" s="66">
        <v>0.563</v>
      </c>
      <c r="H1267" s="66" t="s">
        <v>278</v>
      </c>
      <c r="I1267" s="82">
        <f t="shared" si="1"/>
        <v>1.397868561</v>
      </c>
      <c r="J1267" s="82">
        <f t="shared" si="2"/>
        <v>0.417037037</v>
      </c>
    </row>
    <row r="1268">
      <c r="A1268" s="83">
        <v>44706.0</v>
      </c>
      <c r="B1268" s="66">
        <v>2369.0</v>
      </c>
      <c r="C1268" s="66">
        <v>3.0</v>
      </c>
      <c r="D1268" s="66" t="s">
        <v>227</v>
      </c>
      <c r="E1268" s="66">
        <v>1.0</v>
      </c>
      <c r="F1268" s="66">
        <v>1.1492</v>
      </c>
      <c r="G1268" s="66">
        <v>0.479</v>
      </c>
      <c r="H1268" s="66" t="s">
        <v>276</v>
      </c>
      <c r="I1268" s="82">
        <f t="shared" si="1"/>
        <v>1.399164927</v>
      </c>
      <c r="J1268" s="82">
        <f t="shared" si="2"/>
        <v>0.4168116951</v>
      </c>
    </row>
    <row r="1269">
      <c r="A1269" s="83">
        <v>44706.0</v>
      </c>
      <c r="B1269" s="66">
        <v>2370.0</v>
      </c>
      <c r="C1269" s="66">
        <v>1.0</v>
      </c>
      <c r="D1269" s="66" t="s">
        <v>228</v>
      </c>
      <c r="E1269" s="66">
        <v>0.0</v>
      </c>
      <c r="F1269" s="66">
        <v>0.1356</v>
      </c>
      <c r="G1269" s="66">
        <v>0.0565</v>
      </c>
      <c r="H1269" s="66" t="s">
        <v>276</v>
      </c>
      <c r="I1269" s="82">
        <f t="shared" si="1"/>
        <v>1.4</v>
      </c>
      <c r="J1269" s="82">
        <f t="shared" si="2"/>
        <v>0.4166666667</v>
      </c>
    </row>
    <row r="1270">
      <c r="A1270" s="83">
        <v>44706.0</v>
      </c>
      <c r="B1270" s="66">
        <v>2370.0</v>
      </c>
      <c r="C1270" s="66">
        <v>1.0</v>
      </c>
      <c r="D1270" s="66" t="s">
        <v>227</v>
      </c>
      <c r="E1270" s="66">
        <v>0.0</v>
      </c>
      <c r="F1270" s="66">
        <v>0.0909</v>
      </c>
      <c r="G1270" s="66">
        <v>0.0378</v>
      </c>
      <c r="I1270" s="82">
        <f t="shared" si="1"/>
        <v>1.404761905</v>
      </c>
      <c r="J1270" s="82">
        <f t="shared" si="2"/>
        <v>0.4158415842</v>
      </c>
    </row>
    <row r="1271">
      <c r="A1271" s="83">
        <v>44706.0</v>
      </c>
      <c r="B1271" s="66">
        <v>2370.0</v>
      </c>
      <c r="C1271" s="66">
        <v>1.0</v>
      </c>
      <c r="D1271" s="66" t="s">
        <v>227</v>
      </c>
      <c r="E1271" s="66">
        <v>1.0</v>
      </c>
      <c r="F1271" s="66">
        <v>1.648</v>
      </c>
      <c r="G1271" s="66">
        <v>0.685</v>
      </c>
      <c r="H1271" s="66" t="s">
        <v>278</v>
      </c>
      <c r="I1271" s="82">
        <f t="shared" si="1"/>
        <v>1.405839416</v>
      </c>
      <c r="J1271" s="82">
        <f t="shared" si="2"/>
        <v>0.4156553398</v>
      </c>
    </row>
    <row r="1272">
      <c r="A1272" s="83">
        <v>44706.0</v>
      </c>
      <c r="B1272" s="66">
        <v>2370.0</v>
      </c>
      <c r="C1272" s="66">
        <v>2.0</v>
      </c>
      <c r="D1272" s="66" t="s">
        <v>228</v>
      </c>
      <c r="E1272" s="66">
        <v>0.0</v>
      </c>
      <c r="F1272" s="66">
        <v>0.1252</v>
      </c>
      <c r="G1272" s="66">
        <v>0.052</v>
      </c>
      <c r="H1272" s="66" t="s">
        <v>276</v>
      </c>
      <c r="I1272" s="82">
        <f t="shared" si="1"/>
        <v>1.407692308</v>
      </c>
      <c r="J1272" s="82">
        <f t="shared" si="2"/>
        <v>0.4153354633</v>
      </c>
    </row>
    <row r="1273">
      <c r="A1273" s="83">
        <v>44706.0</v>
      </c>
      <c r="B1273" s="66">
        <v>2370.0</v>
      </c>
      <c r="C1273" s="66">
        <v>2.0</v>
      </c>
      <c r="D1273" s="66" t="s">
        <v>227</v>
      </c>
      <c r="E1273" s="66">
        <v>0.0</v>
      </c>
      <c r="F1273" s="66">
        <v>0.1127</v>
      </c>
      <c r="G1273" s="66">
        <v>0.0468</v>
      </c>
      <c r="I1273" s="82">
        <f t="shared" si="1"/>
        <v>1.408119658</v>
      </c>
      <c r="J1273" s="82">
        <f t="shared" si="2"/>
        <v>0.4152617569</v>
      </c>
    </row>
    <row r="1274">
      <c r="A1274" s="83">
        <v>44706.0</v>
      </c>
      <c r="B1274" s="66">
        <v>2370.0</v>
      </c>
      <c r="C1274" s="66">
        <v>2.0</v>
      </c>
      <c r="D1274" s="66" t="s">
        <v>227</v>
      </c>
      <c r="E1274" s="66">
        <v>1.0</v>
      </c>
      <c r="F1274" s="66">
        <v>1.549</v>
      </c>
      <c r="G1274" s="66">
        <v>0.642</v>
      </c>
      <c r="H1274" s="66" t="s">
        <v>279</v>
      </c>
      <c r="I1274" s="82">
        <f t="shared" si="1"/>
        <v>1.412772586</v>
      </c>
      <c r="J1274" s="82">
        <f t="shared" si="2"/>
        <v>0.4144609425</v>
      </c>
    </row>
    <row r="1275">
      <c r="A1275" s="83">
        <v>44706.0</v>
      </c>
      <c r="B1275" s="66">
        <v>2370.0</v>
      </c>
      <c r="C1275" s="66">
        <v>3.0</v>
      </c>
      <c r="D1275" s="66" t="s">
        <v>228</v>
      </c>
      <c r="E1275" s="66">
        <v>0.0</v>
      </c>
      <c r="F1275" s="66">
        <v>0.0828</v>
      </c>
      <c r="G1275" s="66">
        <v>0.0343</v>
      </c>
      <c r="I1275" s="82">
        <f t="shared" si="1"/>
        <v>1.413994169</v>
      </c>
      <c r="J1275" s="82">
        <f t="shared" si="2"/>
        <v>0.4142512077</v>
      </c>
    </row>
    <row r="1276">
      <c r="A1276" s="83">
        <v>44706.0</v>
      </c>
      <c r="B1276" s="66">
        <v>2370.0</v>
      </c>
      <c r="C1276" s="66">
        <v>3.0</v>
      </c>
      <c r="D1276" s="66" t="s">
        <v>227</v>
      </c>
      <c r="E1276" s="66">
        <v>0.0</v>
      </c>
      <c r="F1276" s="66">
        <v>0.1739</v>
      </c>
      <c r="G1276" s="66">
        <v>0.072</v>
      </c>
      <c r="H1276" s="66" t="s">
        <v>276</v>
      </c>
      <c r="I1276" s="82">
        <f t="shared" si="1"/>
        <v>1.415277778</v>
      </c>
      <c r="J1276" s="82">
        <f t="shared" si="2"/>
        <v>0.4140310523</v>
      </c>
    </row>
    <row r="1277">
      <c r="A1277" s="83">
        <v>44706.0</v>
      </c>
      <c r="B1277" s="66">
        <v>2370.0</v>
      </c>
      <c r="C1277" s="66">
        <v>3.0</v>
      </c>
      <c r="D1277" s="66" t="s">
        <v>227</v>
      </c>
      <c r="E1277" s="66">
        <v>1.0</v>
      </c>
      <c r="F1277" s="66">
        <v>0.266</v>
      </c>
      <c r="G1277" s="66">
        <v>0.11</v>
      </c>
      <c r="H1277" s="66" t="s">
        <v>279</v>
      </c>
      <c r="I1277" s="82">
        <f t="shared" si="1"/>
        <v>1.418181818</v>
      </c>
      <c r="J1277" s="82">
        <f t="shared" si="2"/>
        <v>0.4135338346</v>
      </c>
    </row>
    <row r="1278">
      <c r="A1278" s="83">
        <v>44706.0</v>
      </c>
      <c r="B1278" s="66">
        <v>2371.0</v>
      </c>
      <c r="C1278" s="66">
        <v>1.0</v>
      </c>
      <c r="D1278" s="66" t="s">
        <v>228</v>
      </c>
      <c r="E1278" s="66">
        <v>0.0</v>
      </c>
      <c r="F1278" s="66">
        <v>0.0499</v>
      </c>
      <c r="G1278" s="66">
        <v>0.0206</v>
      </c>
      <c r="H1278" s="66" t="s">
        <v>276</v>
      </c>
      <c r="I1278" s="82">
        <f t="shared" si="1"/>
        <v>1.422330097</v>
      </c>
      <c r="J1278" s="82">
        <f t="shared" si="2"/>
        <v>0.4128256513</v>
      </c>
    </row>
    <row r="1279">
      <c r="A1279" s="83">
        <v>44706.0</v>
      </c>
      <c r="B1279" s="66">
        <v>2371.0</v>
      </c>
      <c r="C1279" s="66">
        <v>1.0</v>
      </c>
      <c r="D1279" s="66" t="s">
        <v>227</v>
      </c>
      <c r="E1279" s="66">
        <v>1.0</v>
      </c>
      <c r="F1279" s="66">
        <v>0.1841</v>
      </c>
      <c r="G1279" s="66">
        <v>0.076</v>
      </c>
      <c r="I1279" s="82">
        <f t="shared" si="1"/>
        <v>1.422368421</v>
      </c>
      <c r="J1279" s="82">
        <f t="shared" si="2"/>
        <v>0.41281912</v>
      </c>
    </row>
    <row r="1280">
      <c r="A1280" s="83">
        <v>44706.0</v>
      </c>
      <c r="B1280" s="66">
        <v>2371.0</v>
      </c>
      <c r="C1280" s="66">
        <v>2.0</v>
      </c>
      <c r="D1280" s="66" t="s">
        <v>228</v>
      </c>
      <c r="E1280" s="66">
        <v>0.0</v>
      </c>
      <c r="F1280" s="66">
        <v>1.2576</v>
      </c>
      <c r="G1280" s="66">
        <v>0.519</v>
      </c>
      <c r="H1280" s="66" t="s">
        <v>276</v>
      </c>
      <c r="I1280" s="82">
        <f t="shared" si="1"/>
        <v>1.423121387</v>
      </c>
      <c r="J1280" s="82">
        <f t="shared" si="2"/>
        <v>0.4126908397</v>
      </c>
    </row>
    <row r="1281">
      <c r="A1281" s="83">
        <v>44706.0</v>
      </c>
      <c r="B1281" s="66">
        <v>2371.0</v>
      </c>
      <c r="C1281" s="66">
        <v>2.0</v>
      </c>
      <c r="D1281" s="66" t="s">
        <v>227</v>
      </c>
      <c r="E1281" s="66">
        <v>0.0</v>
      </c>
      <c r="F1281" s="66">
        <v>0.0795</v>
      </c>
      <c r="G1281" s="66">
        <v>0.0328</v>
      </c>
      <c r="I1281" s="82">
        <f t="shared" si="1"/>
        <v>1.423780488</v>
      </c>
      <c r="J1281" s="82">
        <f t="shared" si="2"/>
        <v>0.4125786164</v>
      </c>
    </row>
    <row r="1282">
      <c r="A1282" s="83">
        <v>44706.0</v>
      </c>
      <c r="B1282" s="66">
        <v>2371.0</v>
      </c>
      <c r="C1282" s="66">
        <v>2.0</v>
      </c>
      <c r="D1282" s="66" t="s">
        <v>227</v>
      </c>
      <c r="E1282" s="66">
        <v>1.0</v>
      </c>
      <c r="F1282" s="66">
        <v>0.31658</v>
      </c>
      <c r="G1282" s="66">
        <v>0.1306</v>
      </c>
      <c r="I1282" s="82">
        <f t="shared" si="1"/>
        <v>1.424042879</v>
      </c>
      <c r="J1282" s="82">
        <f t="shared" si="2"/>
        <v>0.4125339567</v>
      </c>
    </row>
    <row r="1283">
      <c r="A1283" s="83">
        <v>44706.0</v>
      </c>
      <c r="B1283" s="66">
        <v>2371.0</v>
      </c>
      <c r="C1283" s="66">
        <v>3.0</v>
      </c>
      <c r="D1283" s="66" t="s">
        <v>228</v>
      </c>
      <c r="E1283" s="66">
        <v>0.0</v>
      </c>
      <c r="F1283" s="66">
        <v>0.0442</v>
      </c>
      <c r="G1283" s="66">
        <v>0.0182</v>
      </c>
      <c r="H1283" s="66" t="s">
        <v>276</v>
      </c>
      <c r="I1283" s="82">
        <f t="shared" si="1"/>
        <v>1.428571429</v>
      </c>
      <c r="J1283" s="82">
        <f t="shared" si="2"/>
        <v>0.4117647059</v>
      </c>
    </row>
    <row r="1284">
      <c r="A1284" s="83">
        <v>44706.0</v>
      </c>
      <c r="B1284" s="66">
        <v>2371.0</v>
      </c>
      <c r="C1284" s="66">
        <v>3.0</v>
      </c>
      <c r="D1284" s="66" t="s">
        <v>227</v>
      </c>
      <c r="E1284" s="66">
        <v>0.0</v>
      </c>
      <c r="F1284" s="66">
        <v>0.068</v>
      </c>
      <c r="G1284" s="66">
        <v>0.028</v>
      </c>
      <c r="H1284" s="66" t="s">
        <v>277</v>
      </c>
      <c r="I1284" s="82">
        <f t="shared" si="1"/>
        <v>1.428571429</v>
      </c>
      <c r="J1284" s="82">
        <f t="shared" si="2"/>
        <v>0.4117647059</v>
      </c>
    </row>
    <row r="1285">
      <c r="A1285" s="83">
        <v>44706.0</v>
      </c>
      <c r="B1285" s="66">
        <v>2371.0</v>
      </c>
      <c r="C1285" s="66">
        <v>3.0</v>
      </c>
      <c r="D1285" s="66" t="s">
        <v>227</v>
      </c>
      <c r="E1285" s="66">
        <v>1.0</v>
      </c>
      <c r="F1285" s="66">
        <v>0.1628</v>
      </c>
      <c r="G1285" s="66">
        <v>0.067</v>
      </c>
      <c r="H1285" s="66" t="s">
        <v>276</v>
      </c>
      <c r="I1285" s="82">
        <f t="shared" si="1"/>
        <v>1.429850746</v>
      </c>
      <c r="J1285" s="82">
        <f t="shared" si="2"/>
        <v>0.4115479115</v>
      </c>
    </row>
    <row r="1286">
      <c r="A1286" s="83">
        <v>44706.0</v>
      </c>
      <c r="B1286" s="66">
        <v>2372.0</v>
      </c>
      <c r="C1286" s="66">
        <v>1.0</v>
      </c>
      <c r="D1286" s="66" t="s">
        <v>228</v>
      </c>
      <c r="E1286" s="66">
        <v>0.0</v>
      </c>
      <c r="F1286" s="66">
        <v>0.1095</v>
      </c>
      <c r="G1286" s="66">
        <v>0.045</v>
      </c>
      <c r="H1286" s="66" t="s">
        <v>276</v>
      </c>
      <c r="I1286" s="82">
        <f t="shared" si="1"/>
        <v>1.433333333</v>
      </c>
      <c r="J1286" s="82">
        <f t="shared" si="2"/>
        <v>0.4109589041</v>
      </c>
    </row>
    <row r="1287">
      <c r="A1287" s="83">
        <v>44706.0</v>
      </c>
      <c r="B1287" s="66">
        <v>2372.0</v>
      </c>
      <c r="C1287" s="66">
        <v>1.0</v>
      </c>
      <c r="D1287" s="66" t="s">
        <v>227</v>
      </c>
      <c r="E1287" s="66">
        <v>0.0</v>
      </c>
      <c r="F1287" s="66">
        <v>1.03</v>
      </c>
      <c r="G1287" s="66">
        <v>0.423</v>
      </c>
      <c r="H1287" s="66" t="s">
        <v>279</v>
      </c>
      <c r="I1287" s="82">
        <f t="shared" si="1"/>
        <v>1.43498818</v>
      </c>
      <c r="J1287" s="82">
        <f t="shared" si="2"/>
        <v>0.4106796117</v>
      </c>
    </row>
    <row r="1288">
      <c r="A1288" s="83">
        <v>44706.0</v>
      </c>
      <c r="B1288" s="66">
        <v>2372.0</v>
      </c>
      <c r="C1288" s="66">
        <v>1.0</v>
      </c>
      <c r="D1288" s="66" t="s">
        <v>227</v>
      </c>
      <c r="E1288" s="66">
        <v>1.0</v>
      </c>
      <c r="F1288" s="66">
        <v>0.1758</v>
      </c>
      <c r="G1288" s="66">
        <v>0.072</v>
      </c>
      <c r="I1288" s="82">
        <f t="shared" si="1"/>
        <v>1.441666667</v>
      </c>
      <c r="J1288" s="82">
        <f t="shared" si="2"/>
        <v>0.409556314</v>
      </c>
    </row>
    <row r="1289">
      <c r="A1289" s="83">
        <v>44706.0</v>
      </c>
      <c r="B1289" s="66">
        <v>2372.0</v>
      </c>
      <c r="C1289" s="66">
        <v>2.0</v>
      </c>
      <c r="D1289" s="66" t="s">
        <v>228</v>
      </c>
      <c r="E1289" s="66">
        <v>0.0</v>
      </c>
      <c r="F1289" s="66">
        <v>0.232</v>
      </c>
      <c r="G1289" s="66">
        <v>0.095</v>
      </c>
      <c r="H1289" s="66" t="s">
        <v>276</v>
      </c>
      <c r="I1289" s="82">
        <f t="shared" si="1"/>
        <v>1.442105263</v>
      </c>
      <c r="J1289" s="82">
        <f t="shared" si="2"/>
        <v>0.4094827586</v>
      </c>
    </row>
    <row r="1290">
      <c r="A1290" s="83">
        <v>44706.0</v>
      </c>
      <c r="B1290" s="66">
        <v>2372.0</v>
      </c>
      <c r="C1290" s="66">
        <v>2.0</v>
      </c>
      <c r="D1290" s="66" t="s">
        <v>227</v>
      </c>
      <c r="E1290" s="66">
        <v>0.0</v>
      </c>
      <c r="F1290" s="66">
        <v>0.0547</v>
      </c>
      <c r="G1290" s="66">
        <v>0.0223</v>
      </c>
      <c r="H1290" s="66" t="s">
        <v>276</v>
      </c>
      <c r="I1290" s="82">
        <f t="shared" si="1"/>
        <v>1.452914798</v>
      </c>
      <c r="J1290" s="82">
        <f t="shared" si="2"/>
        <v>0.407678245</v>
      </c>
    </row>
    <row r="1291">
      <c r="A1291" s="83">
        <v>44706.0</v>
      </c>
      <c r="B1291" s="66">
        <v>2372.0</v>
      </c>
      <c r="C1291" s="66">
        <v>2.0</v>
      </c>
      <c r="D1291" s="66" t="s">
        <v>227</v>
      </c>
      <c r="E1291" s="66">
        <v>0.0</v>
      </c>
      <c r="F1291" s="66">
        <v>0.1678</v>
      </c>
      <c r="G1291" s="66">
        <v>0.0684</v>
      </c>
      <c r="I1291" s="82">
        <f t="shared" si="1"/>
        <v>1.453216374</v>
      </c>
      <c r="J1291" s="82">
        <f t="shared" si="2"/>
        <v>0.4076281287</v>
      </c>
    </row>
    <row r="1292">
      <c r="A1292" s="83">
        <v>44706.0</v>
      </c>
      <c r="B1292" s="66">
        <v>2372.0</v>
      </c>
      <c r="C1292" s="66">
        <v>2.0</v>
      </c>
      <c r="D1292" s="66" t="s">
        <v>227</v>
      </c>
      <c r="E1292" s="66">
        <v>1.0</v>
      </c>
      <c r="F1292" s="66">
        <v>0.3259</v>
      </c>
      <c r="G1292" s="66">
        <v>0.1328</v>
      </c>
      <c r="H1292" s="66" t="s">
        <v>276</v>
      </c>
      <c r="I1292" s="82">
        <f t="shared" si="1"/>
        <v>1.454066265</v>
      </c>
      <c r="J1292" s="82">
        <f t="shared" si="2"/>
        <v>0.4074869592</v>
      </c>
    </row>
    <row r="1293">
      <c r="A1293" s="83">
        <v>44706.0</v>
      </c>
      <c r="B1293" s="66">
        <v>2372.0</v>
      </c>
      <c r="C1293" s="66">
        <v>3.0</v>
      </c>
      <c r="D1293" s="66" t="s">
        <v>228</v>
      </c>
      <c r="E1293" s="66">
        <v>3.0</v>
      </c>
      <c r="F1293" s="66">
        <v>0.764</v>
      </c>
      <c r="G1293" s="66">
        <v>0.311</v>
      </c>
      <c r="H1293" s="66" t="s">
        <v>279</v>
      </c>
      <c r="I1293" s="82">
        <f t="shared" si="1"/>
        <v>1.45659164</v>
      </c>
      <c r="J1293" s="82">
        <f t="shared" si="2"/>
        <v>0.4070680628</v>
      </c>
    </row>
    <row r="1294">
      <c r="A1294" s="83">
        <v>44706.0</v>
      </c>
      <c r="B1294" s="66">
        <v>2372.0</v>
      </c>
      <c r="C1294" s="66">
        <v>3.0</v>
      </c>
      <c r="D1294" s="66" t="s">
        <v>227</v>
      </c>
      <c r="E1294" s="66">
        <v>1.0</v>
      </c>
      <c r="F1294" s="66">
        <v>0.2413</v>
      </c>
      <c r="G1294" s="66">
        <v>0.098</v>
      </c>
      <c r="I1294" s="82">
        <f t="shared" si="1"/>
        <v>1.462244898</v>
      </c>
      <c r="J1294" s="82">
        <f t="shared" si="2"/>
        <v>0.4061334438</v>
      </c>
    </row>
    <row r="1295">
      <c r="A1295" s="83">
        <v>44706.0</v>
      </c>
      <c r="B1295" s="66">
        <v>2374.0</v>
      </c>
      <c r="C1295" s="66">
        <v>1.0</v>
      </c>
      <c r="D1295" s="66" t="s">
        <v>227</v>
      </c>
      <c r="E1295" s="66">
        <v>0.0</v>
      </c>
      <c r="F1295" s="66">
        <v>0.1252</v>
      </c>
      <c r="G1295" s="66">
        <v>0.0508</v>
      </c>
      <c r="H1295" s="66" t="s">
        <v>276</v>
      </c>
      <c r="I1295" s="82">
        <f t="shared" si="1"/>
        <v>1.464566929</v>
      </c>
      <c r="J1295" s="82">
        <f t="shared" si="2"/>
        <v>0.4057507987</v>
      </c>
    </row>
    <row r="1296">
      <c r="A1296" s="83">
        <v>44706.0</v>
      </c>
      <c r="B1296" s="66">
        <v>2375.0</v>
      </c>
      <c r="C1296" s="66">
        <v>1.0</v>
      </c>
      <c r="D1296" s="66" t="s">
        <v>228</v>
      </c>
      <c r="E1296" s="66">
        <v>0.0</v>
      </c>
      <c r="F1296" s="66">
        <v>0.915</v>
      </c>
      <c r="G1296" s="66">
        <v>0.371</v>
      </c>
      <c r="H1296" s="66" t="s">
        <v>279</v>
      </c>
      <c r="I1296" s="82">
        <f t="shared" si="1"/>
        <v>1.466307278</v>
      </c>
      <c r="J1296" s="82">
        <f t="shared" si="2"/>
        <v>0.4054644809</v>
      </c>
    </row>
    <row r="1297">
      <c r="A1297" s="83">
        <v>44706.0</v>
      </c>
      <c r="B1297" s="66">
        <v>2375.0</v>
      </c>
      <c r="C1297" s="66">
        <v>1.0</v>
      </c>
      <c r="D1297" s="66" t="s">
        <v>227</v>
      </c>
      <c r="E1297" s="66">
        <v>0.0</v>
      </c>
      <c r="F1297" s="66">
        <v>0.0671</v>
      </c>
      <c r="G1297" s="66">
        <v>0.0272</v>
      </c>
      <c r="I1297" s="82">
        <f t="shared" si="1"/>
        <v>1.466911765</v>
      </c>
      <c r="J1297" s="82">
        <f t="shared" si="2"/>
        <v>0.4053651267</v>
      </c>
    </row>
    <row r="1298">
      <c r="A1298" s="83">
        <v>44706.0</v>
      </c>
      <c r="B1298" s="66">
        <v>2375.0</v>
      </c>
      <c r="C1298" s="66">
        <v>1.0</v>
      </c>
      <c r="D1298" s="66" t="s">
        <v>227</v>
      </c>
      <c r="E1298" s="66">
        <v>1.0</v>
      </c>
      <c r="F1298" s="66">
        <v>0.0499</v>
      </c>
      <c r="G1298" s="66">
        <v>0.0202</v>
      </c>
      <c r="I1298" s="82">
        <f t="shared" si="1"/>
        <v>1.47029703</v>
      </c>
      <c r="J1298" s="82">
        <f t="shared" si="2"/>
        <v>0.4048096192</v>
      </c>
    </row>
    <row r="1299">
      <c r="A1299" s="83">
        <v>44706.0</v>
      </c>
      <c r="B1299" s="66">
        <v>2375.0</v>
      </c>
      <c r="C1299" s="66">
        <v>2.0</v>
      </c>
      <c r="D1299" s="66" t="s">
        <v>228</v>
      </c>
      <c r="E1299" s="66">
        <v>0.0</v>
      </c>
      <c r="F1299" s="66">
        <v>0.1745</v>
      </c>
      <c r="G1299" s="66">
        <v>0.0706</v>
      </c>
      <c r="H1299" s="66" t="s">
        <v>276</v>
      </c>
      <c r="I1299" s="82">
        <f t="shared" si="1"/>
        <v>1.471671388</v>
      </c>
      <c r="J1299" s="82">
        <f t="shared" si="2"/>
        <v>0.4045845272</v>
      </c>
    </row>
    <row r="1300">
      <c r="A1300" s="83">
        <v>44706.0</v>
      </c>
      <c r="B1300" s="66">
        <v>2375.0</v>
      </c>
      <c r="C1300" s="66">
        <v>2.0</v>
      </c>
      <c r="D1300" s="66" t="s">
        <v>227</v>
      </c>
      <c r="E1300" s="66">
        <v>0.0</v>
      </c>
      <c r="F1300" s="66">
        <v>0.1854</v>
      </c>
      <c r="G1300" s="66">
        <v>0.075</v>
      </c>
      <c r="H1300" s="66" t="s">
        <v>276</v>
      </c>
      <c r="I1300" s="82">
        <f t="shared" si="1"/>
        <v>1.472</v>
      </c>
      <c r="J1300" s="82">
        <f t="shared" si="2"/>
        <v>0.4045307443</v>
      </c>
    </row>
    <row r="1301">
      <c r="A1301" s="83">
        <v>44706.0</v>
      </c>
      <c r="B1301" s="66">
        <v>2375.0</v>
      </c>
      <c r="C1301" s="66">
        <v>2.0</v>
      </c>
      <c r="D1301" s="66" t="s">
        <v>227</v>
      </c>
      <c r="E1301" s="66">
        <v>1.0</v>
      </c>
      <c r="F1301" s="66">
        <v>0.2863</v>
      </c>
      <c r="G1301" s="66">
        <v>0.1156</v>
      </c>
      <c r="I1301" s="82">
        <f t="shared" si="1"/>
        <v>1.476643599</v>
      </c>
      <c r="J1301" s="82">
        <f t="shared" si="2"/>
        <v>0.4037722669</v>
      </c>
    </row>
    <row r="1302">
      <c r="A1302" s="83">
        <v>44706.0</v>
      </c>
      <c r="B1302" s="66">
        <v>2375.0</v>
      </c>
      <c r="C1302" s="66">
        <v>3.0</v>
      </c>
      <c r="D1302" s="66" t="s">
        <v>228</v>
      </c>
      <c r="E1302" s="66">
        <v>0.0</v>
      </c>
      <c r="F1302" s="66">
        <v>1.562</v>
      </c>
      <c r="G1302" s="66">
        <v>0.63</v>
      </c>
      <c r="H1302" s="66" t="s">
        <v>279</v>
      </c>
      <c r="I1302" s="82">
        <f t="shared" si="1"/>
        <v>1.479365079</v>
      </c>
      <c r="J1302" s="82">
        <f t="shared" si="2"/>
        <v>0.4033290653</v>
      </c>
    </row>
    <row r="1303">
      <c r="A1303" s="83">
        <v>44706.0</v>
      </c>
      <c r="B1303" s="66">
        <v>2375.0</v>
      </c>
      <c r="C1303" s="66">
        <v>3.0</v>
      </c>
      <c r="D1303" s="66" t="s">
        <v>227</v>
      </c>
      <c r="E1303" s="66">
        <v>0.0</v>
      </c>
      <c r="F1303" s="66">
        <v>0.436</v>
      </c>
      <c r="G1303" s="66">
        <v>0.1757</v>
      </c>
      <c r="I1303" s="82">
        <f t="shared" si="1"/>
        <v>1.481502561</v>
      </c>
      <c r="J1303" s="82">
        <f t="shared" si="2"/>
        <v>0.4029816514</v>
      </c>
    </row>
    <row r="1304">
      <c r="A1304" s="83">
        <v>44706.0</v>
      </c>
      <c r="B1304" s="66">
        <v>2375.0</v>
      </c>
      <c r="C1304" s="66">
        <v>3.0</v>
      </c>
      <c r="D1304" s="66" t="s">
        <v>227</v>
      </c>
      <c r="E1304" s="66">
        <v>1.0</v>
      </c>
      <c r="F1304" s="66">
        <v>0.0752</v>
      </c>
      <c r="G1304" s="66">
        <v>0.0303</v>
      </c>
      <c r="H1304" s="66" t="s">
        <v>276</v>
      </c>
      <c r="I1304" s="82">
        <f t="shared" si="1"/>
        <v>1.481848185</v>
      </c>
      <c r="J1304" s="82">
        <f t="shared" si="2"/>
        <v>0.4029255319</v>
      </c>
    </row>
    <row r="1305">
      <c r="A1305" s="83">
        <v>44706.0</v>
      </c>
      <c r="B1305" s="66">
        <v>2377.0</v>
      </c>
      <c r="C1305" s="66">
        <v>2.0</v>
      </c>
      <c r="D1305" s="66" t="s">
        <v>228</v>
      </c>
      <c r="E1305" s="66">
        <v>0.0</v>
      </c>
      <c r="F1305" s="66">
        <v>0.1045</v>
      </c>
      <c r="G1305" s="66">
        <v>0.042</v>
      </c>
      <c r="H1305" s="66" t="s">
        <v>276</v>
      </c>
      <c r="I1305" s="82">
        <f t="shared" si="1"/>
        <v>1.488095238</v>
      </c>
      <c r="J1305" s="82">
        <f t="shared" si="2"/>
        <v>0.4019138756</v>
      </c>
    </row>
    <row r="1306">
      <c r="A1306" s="83">
        <v>44706.0</v>
      </c>
      <c r="B1306" s="66">
        <v>2378.0</v>
      </c>
      <c r="C1306" s="66">
        <v>1.0</v>
      </c>
      <c r="D1306" s="66" t="s">
        <v>228</v>
      </c>
      <c r="E1306" s="66">
        <v>0.0</v>
      </c>
      <c r="F1306" s="66">
        <v>0.5771</v>
      </c>
      <c r="G1306" s="66">
        <v>0.2319</v>
      </c>
      <c r="I1306" s="82">
        <f t="shared" si="1"/>
        <v>1.488572661</v>
      </c>
      <c r="J1306" s="82">
        <f t="shared" si="2"/>
        <v>0.4018367701</v>
      </c>
    </row>
    <row r="1307">
      <c r="A1307" s="83">
        <v>44706.0</v>
      </c>
      <c r="B1307" s="66">
        <v>2378.0</v>
      </c>
      <c r="C1307" s="66">
        <v>1.0</v>
      </c>
      <c r="D1307" s="66" t="s">
        <v>227</v>
      </c>
      <c r="E1307" s="66">
        <v>0.0</v>
      </c>
      <c r="F1307" s="66">
        <v>0.1334</v>
      </c>
      <c r="G1307" s="66">
        <v>0.0536</v>
      </c>
      <c r="H1307" s="66" t="s">
        <v>276</v>
      </c>
      <c r="I1307" s="82">
        <f t="shared" si="1"/>
        <v>1.48880597</v>
      </c>
      <c r="J1307" s="82">
        <f t="shared" si="2"/>
        <v>0.4017991004</v>
      </c>
    </row>
    <row r="1308">
      <c r="A1308" s="83">
        <v>44706.0</v>
      </c>
      <c r="B1308" s="66">
        <v>2378.0</v>
      </c>
      <c r="C1308" s="66">
        <v>1.0</v>
      </c>
      <c r="D1308" s="66" t="s">
        <v>227</v>
      </c>
      <c r="E1308" s="66">
        <v>1.0</v>
      </c>
      <c r="F1308" s="66">
        <v>0.157</v>
      </c>
      <c r="G1308" s="66">
        <v>0.063</v>
      </c>
      <c r="H1308" s="66" t="s">
        <v>276</v>
      </c>
      <c r="I1308" s="82">
        <f t="shared" si="1"/>
        <v>1.492063492</v>
      </c>
      <c r="J1308" s="82">
        <f t="shared" si="2"/>
        <v>0.4012738854</v>
      </c>
    </row>
    <row r="1309">
      <c r="A1309" s="83">
        <v>44706.0</v>
      </c>
      <c r="B1309" s="66">
        <v>2378.0</v>
      </c>
      <c r="C1309" s="66">
        <v>2.0</v>
      </c>
      <c r="D1309" s="66" t="s">
        <v>228</v>
      </c>
      <c r="E1309" s="66">
        <v>0.0</v>
      </c>
      <c r="F1309" s="66">
        <v>0.02</v>
      </c>
      <c r="G1309" s="66">
        <v>0.008</v>
      </c>
      <c r="H1309" s="66" t="s">
        <v>279</v>
      </c>
      <c r="I1309" s="82">
        <f t="shared" si="1"/>
        <v>1.5</v>
      </c>
      <c r="J1309" s="82">
        <f t="shared" si="2"/>
        <v>0.4</v>
      </c>
    </row>
    <row r="1310">
      <c r="A1310" s="83">
        <v>44706.0</v>
      </c>
      <c r="B1310" s="66">
        <v>2378.0</v>
      </c>
      <c r="C1310" s="66">
        <v>2.0</v>
      </c>
      <c r="D1310" s="66" t="s">
        <v>227</v>
      </c>
      <c r="E1310" s="66">
        <v>0.0</v>
      </c>
      <c r="F1310" s="66">
        <v>0.7177</v>
      </c>
      <c r="G1310" s="66">
        <v>0.287</v>
      </c>
      <c r="H1310" s="66" t="s">
        <v>276</v>
      </c>
      <c r="I1310" s="82">
        <f t="shared" si="1"/>
        <v>1.500696864</v>
      </c>
      <c r="J1310" s="82">
        <f t="shared" si="2"/>
        <v>0.3998885328</v>
      </c>
    </row>
    <row r="1311">
      <c r="A1311" s="83">
        <v>44706.0</v>
      </c>
      <c r="B1311" s="66">
        <v>2378.0</v>
      </c>
      <c r="C1311" s="66">
        <v>2.0</v>
      </c>
      <c r="D1311" s="66" t="s">
        <v>227</v>
      </c>
      <c r="E1311" s="66">
        <v>1.0</v>
      </c>
      <c r="F1311" s="66">
        <v>0.178</v>
      </c>
      <c r="G1311" s="66">
        <v>0.071</v>
      </c>
      <c r="I1311" s="82">
        <f t="shared" si="1"/>
        <v>1.507042254</v>
      </c>
      <c r="J1311" s="82">
        <f t="shared" si="2"/>
        <v>0.3988764045</v>
      </c>
    </row>
    <row r="1312">
      <c r="A1312" s="83">
        <v>44706.0</v>
      </c>
      <c r="B1312" s="66">
        <v>2378.0</v>
      </c>
      <c r="C1312" s="66">
        <v>3.0</v>
      </c>
      <c r="D1312" s="66" t="s">
        <v>228</v>
      </c>
      <c r="E1312" s="66">
        <v>0.0</v>
      </c>
      <c r="F1312" s="66">
        <v>0.148</v>
      </c>
      <c r="G1312" s="66">
        <v>0.059</v>
      </c>
      <c r="H1312" s="66" t="s">
        <v>279</v>
      </c>
      <c r="I1312" s="82">
        <f t="shared" si="1"/>
        <v>1.508474576</v>
      </c>
      <c r="J1312" s="82">
        <f t="shared" si="2"/>
        <v>0.3986486486</v>
      </c>
    </row>
    <row r="1313">
      <c r="A1313" s="83">
        <v>44706.0</v>
      </c>
      <c r="B1313" s="66">
        <v>2378.0</v>
      </c>
      <c r="C1313" s="66">
        <v>3.0</v>
      </c>
      <c r="D1313" s="66" t="s">
        <v>227</v>
      </c>
      <c r="E1313" s="66">
        <v>0.0</v>
      </c>
      <c r="F1313" s="66">
        <v>0.537</v>
      </c>
      <c r="G1313" s="66">
        <v>0.214</v>
      </c>
      <c r="H1313" s="66" t="s">
        <v>279</v>
      </c>
      <c r="I1313" s="82">
        <f t="shared" si="1"/>
        <v>1.509345794</v>
      </c>
      <c r="J1313" s="82">
        <f t="shared" si="2"/>
        <v>0.3985102421</v>
      </c>
    </row>
    <row r="1314">
      <c r="A1314" s="83">
        <v>44706.0</v>
      </c>
      <c r="B1314" s="66">
        <v>2378.0</v>
      </c>
      <c r="C1314" s="66">
        <v>3.0</v>
      </c>
      <c r="D1314" s="66" t="s">
        <v>227</v>
      </c>
      <c r="E1314" s="66">
        <v>1.0</v>
      </c>
      <c r="F1314" s="66">
        <v>0.688</v>
      </c>
      <c r="G1314" s="66">
        <v>0.274</v>
      </c>
      <c r="H1314" s="66" t="s">
        <v>279</v>
      </c>
      <c r="I1314" s="82">
        <f t="shared" si="1"/>
        <v>1.510948905</v>
      </c>
      <c r="J1314" s="82">
        <f t="shared" si="2"/>
        <v>0.398255814</v>
      </c>
    </row>
    <row r="1315">
      <c r="A1315" s="83">
        <v>44706.0</v>
      </c>
      <c r="B1315" s="66">
        <v>2379.0</v>
      </c>
      <c r="C1315" s="66">
        <v>1.0</v>
      </c>
      <c r="D1315" s="66" t="s">
        <v>228</v>
      </c>
      <c r="E1315" s="66">
        <v>0.0</v>
      </c>
      <c r="F1315" s="66">
        <v>0.0776</v>
      </c>
      <c r="G1315" s="66">
        <v>0.0309</v>
      </c>
      <c r="H1315" s="66" t="s">
        <v>276</v>
      </c>
      <c r="I1315" s="82">
        <f t="shared" si="1"/>
        <v>1.511326861</v>
      </c>
      <c r="J1315" s="82">
        <f t="shared" si="2"/>
        <v>0.3981958763</v>
      </c>
    </row>
    <row r="1316">
      <c r="A1316" s="83">
        <v>44706.0</v>
      </c>
      <c r="B1316" s="66">
        <v>2379.0</v>
      </c>
      <c r="C1316" s="66">
        <v>1.0</v>
      </c>
      <c r="D1316" s="66" t="s">
        <v>227</v>
      </c>
      <c r="E1316" s="66">
        <v>0.0</v>
      </c>
      <c r="F1316" s="66">
        <v>0.97</v>
      </c>
      <c r="G1316" s="66">
        <v>0.386</v>
      </c>
      <c r="H1316" s="66" t="s">
        <v>276</v>
      </c>
      <c r="I1316" s="82">
        <f t="shared" si="1"/>
        <v>1.512953368</v>
      </c>
      <c r="J1316" s="82">
        <f t="shared" si="2"/>
        <v>0.3979381443</v>
      </c>
    </row>
    <row r="1317">
      <c r="A1317" s="83">
        <v>44706.0</v>
      </c>
      <c r="B1317" s="66">
        <v>2379.0</v>
      </c>
      <c r="C1317" s="66">
        <v>1.0</v>
      </c>
      <c r="D1317" s="66" t="s">
        <v>227</v>
      </c>
      <c r="E1317" s="66">
        <v>1.0</v>
      </c>
      <c r="F1317" s="66">
        <v>0.259</v>
      </c>
      <c r="G1317" s="66">
        <v>0.103</v>
      </c>
      <c r="H1317" s="66" t="s">
        <v>279</v>
      </c>
      <c r="I1317" s="82">
        <f t="shared" si="1"/>
        <v>1.514563107</v>
      </c>
      <c r="J1317" s="82">
        <f t="shared" si="2"/>
        <v>0.3976833977</v>
      </c>
    </row>
    <row r="1318">
      <c r="A1318" s="83">
        <v>44706.0</v>
      </c>
      <c r="B1318" s="66">
        <v>2379.0</v>
      </c>
      <c r="C1318" s="66">
        <v>2.0</v>
      </c>
      <c r="D1318" s="66" t="s">
        <v>228</v>
      </c>
      <c r="E1318" s="66">
        <v>0.0</v>
      </c>
      <c r="F1318" s="66">
        <v>0.12</v>
      </c>
      <c r="G1318" s="66">
        <v>0.0477</v>
      </c>
      <c r="H1318" s="66" t="s">
        <v>276</v>
      </c>
      <c r="I1318" s="82">
        <f t="shared" si="1"/>
        <v>1.51572327</v>
      </c>
      <c r="J1318" s="82">
        <f t="shared" si="2"/>
        <v>0.3975</v>
      </c>
    </row>
    <row r="1319">
      <c r="A1319" s="83">
        <v>44706.0</v>
      </c>
      <c r="B1319" s="66">
        <v>2379.0</v>
      </c>
      <c r="C1319" s="66">
        <v>2.0</v>
      </c>
      <c r="D1319" s="66" t="s">
        <v>227</v>
      </c>
      <c r="E1319" s="66">
        <v>0.0</v>
      </c>
      <c r="F1319" s="66">
        <v>0.0782</v>
      </c>
      <c r="G1319" s="66">
        <v>0.031</v>
      </c>
      <c r="I1319" s="82">
        <f t="shared" si="1"/>
        <v>1.522580645</v>
      </c>
      <c r="J1319" s="82">
        <f t="shared" si="2"/>
        <v>0.3964194373</v>
      </c>
    </row>
    <row r="1320">
      <c r="A1320" s="83">
        <v>44706.0</v>
      </c>
      <c r="B1320" s="66">
        <v>2379.0</v>
      </c>
      <c r="C1320" s="66">
        <v>2.0</v>
      </c>
      <c r="D1320" s="66" t="s">
        <v>227</v>
      </c>
      <c r="E1320" s="66">
        <v>1.0</v>
      </c>
      <c r="F1320" s="66">
        <v>0.123</v>
      </c>
      <c r="G1320" s="66">
        <v>0.0487</v>
      </c>
      <c r="H1320" s="66" t="s">
        <v>276</v>
      </c>
      <c r="I1320" s="82">
        <f t="shared" si="1"/>
        <v>1.525667351</v>
      </c>
      <c r="J1320" s="82">
        <f t="shared" si="2"/>
        <v>0.3959349593</v>
      </c>
    </row>
    <row r="1321">
      <c r="A1321" s="83">
        <v>44706.0</v>
      </c>
      <c r="B1321" s="66">
        <v>2379.0</v>
      </c>
      <c r="C1321" s="66">
        <v>3.0</v>
      </c>
      <c r="D1321" s="66" t="s">
        <v>228</v>
      </c>
      <c r="E1321" s="66">
        <v>0.0</v>
      </c>
      <c r="F1321" s="66">
        <v>0.0844</v>
      </c>
      <c r="G1321" s="66">
        <v>0.0334</v>
      </c>
      <c r="I1321" s="82">
        <f t="shared" si="1"/>
        <v>1.526946108</v>
      </c>
      <c r="J1321" s="82">
        <f t="shared" si="2"/>
        <v>0.3957345972</v>
      </c>
    </row>
    <row r="1322">
      <c r="A1322" s="83">
        <v>44706.0</v>
      </c>
      <c r="B1322" s="66">
        <v>2379.0</v>
      </c>
      <c r="C1322" s="66">
        <v>3.0</v>
      </c>
      <c r="D1322" s="66" t="s">
        <v>227</v>
      </c>
      <c r="E1322" s="66">
        <v>0.0</v>
      </c>
      <c r="F1322" s="66">
        <v>0.301</v>
      </c>
      <c r="G1322" s="66">
        <v>0.119</v>
      </c>
      <c r="H1322" s="66" t="s">
        <v>279</v>
      </c>
      <c r="I1322" s="82">
        <f t="shared" si="1"/>
        <v>1.529411765</v>
      </c>
      <c r="J1322" s="82">
        <f t="shared" si="2"/>
        <v>0.3953488372</v>
      </c>
    </row>
    <row r="1323">
      <c r="A1323" s="83">
        <v>44706.0</v>
      </c>
      <c r="B1323" s="66">
        <v>2379.0</v>
      </c>
      <c r="C1323" s="66">
        <v>3.0</v>
      </c>
      <c r="D1323" s="66" t="s">
        <v>227</v>
      </c>
      <c r="E1323" s="66">
        <v>1.0</v>
      </c>
      <c r="F1323" s="66">
        <v>0.516</v>
      </c>
      <c r="G1323" s="66">
        <v>0.204</v>
      </c>
      <c r="H1323" s="66" t="s">
        <v>279</v>
      </c>
      <c r="I1323" s="82">
        <f t="shared" si="1"/>
        <v>1.529411765</v>
      </c>
      <c r="J1323" s="82">
        <f t="shared" si="2"/>
        <v>0.3953488372</v>
      </c>
    </row>
    <row r="1324">
      <c r="A1324" s="83">
        <v>44706.0</v>
      </c>
      <c r="B1324" s="66">
        <v>2380.0</v>
      </c>
      <c r="C1324" s="66">
        <v>1.0</v>
      </c>
      <c r="D1324" s="66" t="s">
        <v>228</v>
      </c>
      <c r="E1324" s="66">
        <v>1.0</v>
      </c>
      <c r="F1324" s="66">
        <v>0.1122</v>
      </c>
      <c r="G1324" s="66">
        <v>0.0443</v>
      </c>
      <c r="H1324" s="66" t="s">
        <v>276</v>
      </c>
      <c r="I1324" s="82">
        <f t="shared" si="1"/>
        <v>1.532731377</v>
      </c>
      <c r="J1324" s="82">
        <f t="shared" si="2"/>
        <v>0.3948306595</v>
      </c>
    </row>
    <row r="1325">
      <c r="A1325" s="83">
        <v>44706.0</v>
      </c>
      <c r="B1325" s="66">
        <v>2380.0</v>
      </c>
      <c r="C1325" s="66">
        <v>1.0</v>
      </c>
      <c r="D1325" s="66" t="s">
        <v>227</v>
      </c>
      <c r="E1325" s="66">
        <v>1.0</v>
      </c>
      <c r="F1325" s="66">
        <v>0.2727</v>
      </c>
      <c r="G1325" s="66">
        <v>0.1076</v>
      </c>
      <c r="I1325" s="82">
        <f t="shared" si="1"/>
        <v>1.534386617</v>
      </c>
      <c r="J1325" s="82">
        <f t="shared" si="2"/>
        <v>0.3945727906</v>
      </c>
    </row>
    <row r="1326">
      <c r="A1326" s="83">
        <v>44706.0</v>
      </c>
      <c r="B1326" s="66">
        <v>2380.0</v>
      </c>
      <c r="C1326" s="66">
        <v>2.0</v>
      </c>
      <c r="D1326" s="66" t="s">
        <v>228</v>
      </c>
      <c r="E1326" s="66">
        <v>0.0</v>
      </c>
      <c r="F1326" s="66">
        <v>0.0279</v>
      </c>
      <c r="G1326" s="66">
        <v>0.011</v>
      </c>
      <c r="H1326" s="66" t="s">
        <v>276</v>
      </c>
      <c r="I1326" s="82">
        <f t="shared" si="1"/>
        <v>1.536363636</v>
      </c>
      <c r="J1326" s="82">
        <f t="shared" si="2"/>
        <v>0.394265233</v>
      </c>
    </row>
    <row r="1327">
      <c r="A1327" s="83">
        <v>44706.0</v>
      </c>
      <c r="B1327" s="66">
        <v>2380.0</v>
      </c>
      <c r="C1327" s="66">
        <v>2.0</v>
      </c>
      <c r="D1327" s="66" t="s">
        <v>227</v>
      </c>
      <c r="E1327" s="66">
        <v>0.0</v>
      </c>
      <c r="F1327" s="66">
        <v>1.626</v>
      </c>
      <c r="G1327" s="66">
        <v>0.641</v>
      </c>
      <c r="H1327" s="66" t="s">
        <v>278</v>
      </c>
      <c r="I1327" s="82">
        <f t="shared" si="1"/>
        <v>1.536661466</v>
      </c>
      <c r="J1327" s="82">
        <f t="shared" si="2"/>
        <v>0.3942189422</v>
      </c>
    </row>
    <row r="1328">
      <c r="A1328" s="83">
        <v>44706.0</v>
      </c>
      <c r="B1328" s="66">
        <v>2380.0</v>
      </c>
      <c r="C1328" s="66">
        <v>2.0</v>
      </c>
      <c r="D1328" s="66" t="s">
        <v>227</v>
      </c>
      <c r="E1328" s="66">
        <v>1.0</v>
      </c>
      <c r="F1328" s="66">
        <v>0.0729</v>
      </c>
      <c r="G1328" s="66">
        <v>0.0287</v>
      </c>
      <c r="H1328" s="66" t="s">
        <v>276</v>
      </c>
      <c r="I1328" s="82">
        <f t="shared" si="1"/>
        <v>1.540069686</v>
      </c>
      <c r="J1328" s="82">
        <f t="shared" si="2"/>
        <v>0.3936899863</v>
      </c>
    </row>
    <row r="1329">
      <c r="A1329" s="83">
        <v>44706.0</v>
      </c>
      <c r="B1329" s="66">
        <v>2380.0</v>
      </c>
      <c r="C1329" s="66">
        <v>3.0</v>
      </c>
      <c r="D1329" s="66" t="s">
        <v>228</v>
      </c>
      <c r="E1329" s="66">
        <v>0.0</v>
      </c>
      <c r="F1329" s="66">
        <v>0.2166</v>
      </c>
      <c r="G1329" s="66">
        <v>0.0852</v>
      </c>
      <c r="H1329" s="66" t="s">
        <v>276</v>
      </c>
      <c r="I1329" s="82">
        <f t="shared" si="1"/>
        <v>1.542253521</v>
      </c>
      <c r="J1329" s="82">
        <f t="shared" si="2"/>
        <v>0.3933518006</v>
      </c>
    </row>
    <row r="1330">
      <c r="A1330" s="83">
        <v>44706.0</v>
      </c>
      <c r="B1330" s="66">
        <v>2380.0</v>
      </c>
      <c r="C1330" s="66">
        <v>3.0</v>
      </c>
      <c r="D1330" s="66" t="s">
        <v>228</v>
      </c>
      <c r="E1330" s="66">
        <v>1.0</v>
      </c>
      <c r="F1330" s="66">
        <v>0.4273</v>
      </c>
      <c r="G1330" s="66">
        <v>0.1677</v>
      </c>
      <c r="I1330" s="82">
        <f t="shared" si="1"/>
        <v>1.548002385</v>
      </c>
      <c r="J1330" s="82">
        <f t="shared" si="2"/>
        <v>0.3924643108</v>
      </c>
    </row>
    <row r="1331">
      <c r="A1331" s="83">
        <v>44706.0</v>
      </c>
      <c r="B1331" s="66">
        <v>2380.0</v>
      </c>
      <c r="C1331" s="66">
        <v>3.0</v>
      </c>
      <c r="D1331" s="66" t="s">
        <v>227</v>
      </c>
      <c r="E1331" s="66">
        <v>0.0</v>
      </c>
      <c r="F1331" s="66">
        <v>0.1963</v>
      </c>
      <c r="G1331" s="66">
        <v>0.077</v>
      </c>
      <c r="H1331" s="66" t="s">
        <v>276</v>
      </c>
      <c r="I1331" s="82">
        <f t="shared" si="1"/>
        <v>1.549350649</v>
      </c>
      <c r="J1331" s="82">
        <f t="shared" si="2"/>
        <v>0.3922567499</v>
      </c>
    </row>
    <row r="1332">
      <c r="A1332" s="83">
        <v>44706.0</v>
      </c>
      <c r="B1332" s="66">
        <v>2380.0</v>
      </c>
      <c r="C1332" s="66">
        <v>3.0</v>
      </c>
      <c r="D1332" s="66" t="s">
        <v>227</v>
      </c>
      <c r="E1332" s="66">
        <v>1.0</v>
      </c>
      <c r="F1332" s="82">
        <f>0.161+1.5393</f>
        <v>1.7003</v>
      </c>
      <c r="G1332" s="66">
        <v>0.666</v>
      </c>
      <c r="H1332" s="66" t="s">
        <v>276</v>
      </c>
      <c r="I1332" s="82">
        <f t="shared" si="1"/>
        <v>1.553003003</v>
      </c>
      <c r="J1332" s="82">
        <f t="shared" si="2"/>
        <v>0.3916955831</v>
      </c>
    </row>
    <row r="1333">
      <c r="A1333" s="83">
        <v>44706.0</v>
      </c>
      <c r="B1333" s="66">
        <v>2381.0</v>
      </c>
      <c r="C1333" s="66">
        <v>1.0</v>
      </c>
      <c r="D1333" s="66" t="s">
        <v>228</v>
      </c>
      <c r="E1333" s="66">
        <v>0.0</v>
      </c>
      <c r="F1333" s="66">
        <v>0.3245</v>
      </c>
      <c r="G1333" s="66">
        <v>0.127</v>
      </c>
      <c r="H1333" s="66" t="s">
        <v>276</v>
      </c>
      <c r="I1333" s="82">
        <f t="shared" si="1"/>
        <v>1.55511811</v>
      </c>
      <c r="J1333" s="82">
        <f t="shared" si="2"/>
        <v>0.3913713405</v>
      </c>
    </row>
    <row r="1334">
      <c r="A1334" s="83">
        <v>44706.0</v>
      </c>
      <c r="B1334" s="66">
        <v>2381.0</v>
      </c>
      <c r="C1334" s="66">
        <v>1.0</v>
      </c>
      <c r="D1334" s="66" t="s">
        <v>227</v>
      </c>
      <c r="E1334" s="66">
        <v>1.0</v>
      </c>
      <c r="F1334" s="66">
        <v>0.0307</v>
      </c>
      <c r="G1334" s="66">
        <v>0.012</v>
      </c>
      <c r="H1334" s="66" t="s">
        <v>277</v>
      </c>
      <c r="I1334" s="82">
        <f t="shared" si="1"/>
        <v>1.558333333</v>
      </c>
      <c r="J1334" s="82">
        <f t="shared" si="2"/>
        <v>0.3908794788</v>
      </c>
    </row>
    <row r="1335">
      <c r="A1335" s="83">
        <v>44706.0</v>
      </c>
      <c r="B1335" s="66">
        <v>2381.0</v>
      </c>
      <c r="C1335" s="66">
        <v>2.0</v>
      </c>
      <c r="D1335" s="66" t="s">
        <v>228</v>
      </c>
      <c r="E1335" s="66">
        <v>0.0</v>
      </c>
      <c r="F1335" s="66">
        <v>0.325</v>
      </c>
      <c r="G1335" s="66">
        <v>0.127</v>
      </c>
      <c r="H1335" s="66" t="s">
        <v>279</v>
      </c>
      <c r="I1335" s="82">
        <f t="shared" si="1"/>
        <v>1.559055118</v>
      </c>
      <c r="J1335" s="82">
        <f t="shared" si="2"/>
        <v>0.3907692308</v>
      </c>
    </row>
    <row r="1336">
      <c r="A1336" s="83">
        <v>44706.0</v>
      </c>
      <c r="B1336" s="66">
        <v>2381.0</v>
      </c>
      <c r="C1336" s="66">
        <v>2.0</v>
      </c>
      <c r="D1336" s="66" t="s">
        <v>228</v>
      </c>
      <c r="E1336" s="66">
        <v>0.0</v>
      </c>
      <c r="F1336" s="66">
        <v>0.0829</v>
      </c>
      <c r="G1336" s="66">
        <v>0.0323</v>
      </c>
      <c r="H1336" s="66" t="s">
        <v>276</v>
      </c>
      <c r="I1336" s="82">
        <f t="shared" si="1"/>
        <v>1.566563467</v>
      </c>
      <c r="J1336" s="82">
        <f t="shared" si="2"/>
        <v>0.3896260555</v>
      </c>
    </row>
    <row r="1337">
      <c r="A1337" s="83">
        <v>44706.0</v>
      </c>
      <c r="B1337" s="66">
        <v>2381.0</v>
      </c>
      <c r="C1337" s="66">
        <v>2.0</v>
      </c>
      <c r="D1337" s="66" t="s">
        <v>227</v>
      </c>
      <c r="E1337" s="66">
        <v>0.0</v>
      </c>
      <c r="F1337" s="66">
        <v>0.0411</v>
      </c>
      <c r="G1337" s="66">
        <v>0.016</v>
      </c>
      <c r="H1337" s="66" t="s">
        <v>276</v>
      </c>
      <c r="I1337" s="82">
        <f t="shared" si="1"/>
        <v>1.56875</v>
      </c>
      <c r="J1337" s="82">
        <f t="shared" si="2"/>
        <v>0.3892944039</v>
      </c>
    </row>
    <row r="1338">
      <c r="A1338" s="83">
        <v>44706.0</v>
      </c>
      <c r="B1338" s="66">
        <v>2381.0</v>
      </c>
      <c r="C1338" s="66">
        <v>2.0</v>
      </c>
      <c r="D1338" s="66" t="s">
        <v>227</v>
      </c>
      <c r="E1338" s="66">
        <v>1.0</v>
      </c>
      <c r="F1338" s="66">
        <v>0.0257</v>
      </c>
      <c r="G1338" s="66">
        <v>0.01</v>
      </c>
      <c r="H1338" s="66" t="s">
        <v>276</v>
      </c>
      <c r="I1338" s="82">
        <f t="shared" si="1"/>
        <v>1.57</v>
      </c>
      <c r="J1338" s="82">
        <f t="shared" si="2"/>
        <v>0.3891050584</v>
      </c>
    </row>
    <row r="1339">
      <c r="A1339" s="83">
        <v>44706.0</v>
      </c>
      <c r="B1339" s="66">
        <v>2381.0</v>
      </c>
      <c r="C1339" s="66">
        <v>3.0</v>
      </c>
      <c r="D1339" s="66" t="s">
        <v>228</v>
      </c>
      <c r="E1339" s="66">
        <v>0.0</v>
      </c>
      <c r="F1339" s="66">
        <v>0.2608</v>
      </c>
      <c r="G1339" s="66">
        <v>0.1014</v>
      </c>
      <c r="H1339" s="66" t="s">
        <v>276</v>
      </c>
      <c r="I1339" s="82">
        <f t="shared" si="1"/>
        <v>1.57199211</v>
      </c>
      <c r="J1339" s="82">
        <f t="shared" si="2"/>
        <v>0.388803681</v>
      </c>
    </row>
    <row r="1340">
      <c r="A1340" s="83">
        <v>44706.0</v>
      </c>
      <c r="B1340" s="66">
        <v>2381.0</v>
      </c>
      <c r="C1340" s="66">
        <v>3.0</v>
      </c>
      <c r="D1340" s="66" t="s">
        <v>227</v>
      </c>
      <c r="E1340" s="66">
        <v>0.0</v>
      </c>
      <c r="F1340" s="66">
        <v>0.0592</v>
      </c>
      <c r="G1340" s="66">
        <v>0.023</v>
      </c>
      <c r="H1340" s="66" t="s">
        <v>276</v>
      </c>
      <c r="I1340" s="82">
        <f t="shared" si="1"/>
        <v>1.573913043</v>
      </c>
      <c r="J1340" s="82">
        <f t="shared" si="2"/>
        <v>0.3885135135</v>
      </c>
    </row>
    <row r="1341">
      <c r="A1341" s="83">
        <v>44706.0</v>
      </c>
      <c r="B1341" s="66">
        <v>2381.0</v>
      </c>
      <c r="C1341" s="66">
        <v>3.0</v>
      </c>
      <c r="D1341" s="66" t="s">
        <v>227</v>
      </c>
      <c r="E1341" s="66">
        <v>1.0</v>
      </c>
      <c r="F1341" s="66">
        <v>0.0541</v>
      </c>
      <c r="G1341" s="66">
        <v>0.021</v>
      </c>
      <c r="H1341" s="66" t="s">
        <v>276</v>
      </c>
      <c r="I1341" s="82">
        <f t="shared" si="1"/>
        <v>1.576190476</v>
      </c>
      <c r="J1341" s="82">
        <f t="shared" si="2"/>
        <v>0.3881700555</v>
      </c>
    </row>
    <row r="1342">
      <c r="A1342" s="83">
        <v>44706.0</v>
      </c>
      <c r="B1342" s="66">
        <v>2382.0</v>
      </c>
      <c r="C1342" s="66">
        <v>1.0</v>
      </c>
      <c r="D1342" s="66" t="s">
        <v>228</v>
      </c>
      <c r="E1342" s="66">
        <v>0.0</v>
      </c>
      <c r="F1342" s="66">
        <v>0.9838</v>
      </c>
      <c r="G1342" s="66">
        <v>0.3818</v>
      </c>
      <c r="H1342" s="66" t="s">
        <v>276</v>
      </c>
      <c r="I1342" s="82">
        <f t="shared" si="1"/>
        <v>1.57674175</v>
      </c>
      <c r="J1342" s="82">
        <f t="shared" si="2"/>
        <v>0.3880870096</v>
      </c>
    </row>
    <row r="1343">
      <c r="A1343" s="83">
        <v>44706.0</v>
      </c>
      <c r="B1343" s="66">
        <v>2382.0</v>
      </c>
      <c r="C1343" s="66">
        <v>1.0</v>
      </c>
      <c r="D1343" s="66" t="s">
        <v>227</v>
      </c>
      <c r="E1343" s="66">
        <v>0.0</v>
      </c>
      <c r="F1343" s="66">
        <v>0.0701</v>
      </c>
      <c r="G1343" s="66">
        <v>0.0272</v>
      </c>
      <c r="H1343" s="66" t="s">
        <v>276</v>
      </c>
      <c r="I1343" s="82">
        <f t="shared" si="1"/>
        <v>1.577205882</v>
      </c>
      <c r="J1343" s="82">
        <f t="shared" si="2"/>
        <v>0.3880171184</v>
      </c>
    </row>
    <row r="1344">
      <c r="A1344" s="83">
        <v>44706.0</v>
      </c>
      <c r="B1344" s="66">
        <v>2382.0</v>
      </c>
      <c r="C1344" s="66">
        <v>1.0</v>
      </c>
      <c r="D1344" s="66" t="s">
        <v>227</v>
      </c>
      <c r="E1344" s="66">
        <v>1.0</v>
      </c>
      <c r="F1344" s="66">
        <v>0.0849</v>
      </c>
      <c r="G1344" s="66">
        <v>0.0329</v>
      </c>
      <c r="H1344" s="66" t="s">
        <v>276</v>
      </c>
      <c r="I1344" s="82">
        <f t="shared" si="1"/>
        <v>1.580547112</v>
      </c>
      <c r="J1344" s="82">
        <f t="shared" si="2"/>
        <v>0.3875147232</v>
      </c>
    </row>
    <row r="1345">
      <c r="A1345" s="83">
        <v>44706.0</v>
      </c>
      <c r="B1345" s="66">
        <v>2382.0</v>
      </c>
      <c r="C1345" s="66">
        <v>2.0</v>
      </c>
      <c r="D1345" s="66" t="s">
        <v>228</v>
      </c>
      <c r="E1345" s="66">
        <v>0.0</v>
      </c>
      <c r="F1345" s="66">
        <v>0.124</v>
      </c>
      <c r="G1345" s="66">
        <v>0.048</v>
      </c>
      <c r="H1345" s="66" t="s">
        <v>279</v>
      </c>
      <c r="I1345" s="82">
        <f t="shared" si="1"/>
        <v>1.583333333</v>
      </c>
      <c r="J1345" s="82">
        <f t="shared" si="2"/>
        <v>0.3870967742</v>
      </c>
    </row>
    <row r="1346">
      <c r="A1346" s="83">
        <v>44706.0</v>
      </c>
      <c r="B1346" s="66">
        <v>2382.0</v>
      </c>
      <c r="C1346" s="66">
        <v>2.0</v>
      </c>
      <c r="D1346" s="66" t="s">
        <v>227</v>
      </c>
      <c r="E1346" s="66">
        <v>0.0</v>
      </c>
      <c r="F1346" s="66">
        <v>0.0181</v>
      </c>
      <c r="G1346" s="66">
        <v>0.007</v>
      </c>
      <c r="H1346" s="66" t="s">
        <v>276</v>
      </c>
      <c r="I1346" s="82">
        <f t="shared" si="1"/>
        <v>1.585714286</v>
      </c>
      <c r="J1346" s="82">
        <f t="shared" si="2"/>
        <v>0.3867403315</v>
      </c>
    </row>
    <row r="1347">
      <c r="A1347" s="83">
        <v>44706.0</v>
      </c>
      <c r="B1347" s="66">
        <v>2382.0</v>
      </c>
      <c r="C1347" s="66">
        <v>2.0</v>
      </c>
      <c r="D1347" s="66" t="s">
        <v>227</v>
      </c>
      <c r="E1347" s="66">
        <v>1.0</v>
      </c>
      <c r="F1347" s="66">
        <v>0.1186</v>
      </c>
      <c r="G1347" s="66">
        <v>0.0458</v>
      </c>
      <c r="H1347" s="66" t="s">
        <v>276</v>
      </c>
      <c r="I1347" s="82">
        <f t="shared" si="1"/>
        <v>1.589519651</v>
      </c>
      <c r="J1347" s="82">
        <f t="shared" si="2"/>
        <v>0.3861720067</v>
      </c>
    </row>
    <row r="1348">
      <c r="A1348" s="83">
        <v>44706.0</v>
      </c>
      <c r="B1348" s="66">
        <v>2382.0</v>
      </c>
      <c r="C1348" s="66">
        <v>3.0</v>
      </c>
      <c r="D1348" s="66" t="s">
        <v>228</v>
      </c>
      <c r="E1348" s="66">
        <v>0.0</v>
      </c>
      <c r="F1348" s="66">
        <v>0.026</v>
      </c>
      <c r="G1348" s="66">
        <v>0.01</v>
      </c>
      <c r="H1348" s="66" t="s">
        <v>276</v>
      </c>
      <c r="I1348" s="82">
        <f t="shared" si="1"/>
        <v>1.6</v>
      </c>
      <c r="J1348" s="82">
        <f t="shared" si="2"/>
        <v>0.3846153846</v>
      </c>
    </row>
    <row r="1349">
      <c r="A1349" s="83">
        <v>44706.0</v>
      </c>
      <c r="B1349" s="66">
        <v>2382.0</v>
      </c>
      <c r="C1349" s="66">
        <v>3.0</v>
      </c>
      <c r="D1349" s="66" t="s">
        <v>227</v>
      </c>
      <c r="E1349" s="66">
        <v>0.0</v>
      </c>
      <c r="F1349" s="66">
        <v>0.453</v>
      </c>
      <c r="G1349" s="66">
        <v>0.174</v>
      </c>
      <c r="H1349" s="66" t="s">
        <v>279</v>
      </c>
      <c r="I1349" s="82">
        <f t="shared" si="1"/>
        <v>1.603448276</v>
      </c>
      <c r="J1349" s="82">
        <f t="shared" si="2"/>
        <v>0.3841059603</v>
      </c>
    </row>
    <row r="1350">
      <c r="A1350" s="83">
        <v>44706.0</v>
      </c>
      <c r="B1350" s="66">
        <v>2382.0</v>
      </c>
      <c r="C1350" s="66">
        <v>3.0</v>
      </c>
      <c r="D1350" s="66" t="s">
        <v>227</v>
      </c>
      <c r="E1350" s="66">
        <v>1.0</v>
      </c>
      <c r="F1350" s="66">
        <v>0.1615</v>
      </c>
      <c r="G1350" s="66">
        <v>0.062</v>
      </c>
      <c r="H1350" s="66" t="s">
        <v>277</v>
      </c>
      <c r="I1350" s="82">
        <f t="shared" si="1"/>
        <v>1.60483871</v>
      </c>
      <c r="J1350" s="82">
        <f t="shared" si="2"/>
        <v>0.3839009288</v>
      </c>
    </row>
    <row r="1351">
      <c r="A1351" s="83">
        <v>44708.0</v>
      </c>
      <c r="B1351" s="66">
        <v>1478.0</v>
      </c>
      <c r="C1351" s="66">
        <v>1.0</v>
      </c>
      <c r="D1351" s="66" t="s">
        <v>228</v>
      </c>
      <c r="E1351" s="66">
        <v>0.0</v>
      </c>
      <c r="F1351" s="66">
        <v>1.207</v>
      </c>
      <c r="G1351" s="66">
        <v>0.463</v>
      </c>
      <c r="H1351" s="66" t="s">
        <v>279</v>
      </c>
      <c r="I1351" s="82">
        <f t="shared" si="1"/>
        <v>1.606911447</v>
      </c>
      <c r="J1351" s="82">
        <f t="shared" si="2"/>
        <v>0.3835956918</v>
      </c>
    </row>
    <row r="1352">
      <c r="A1352" s="83">
        <v>44708.0</v>
      </c>
      <c r="B1352" s="66">
        <v>1478.0</v>
      </c>
      <c r="C1352" s="66">
        <v>1.0</v>
      </c>
      <c r="D1352" s="66" t="s">
        <v>227</v>
      </c>
      <c r="E1352" s="66">
        <v>0.0</v>
      </c>
      <c r="F1352" s="66">
        <v>1.1168</v>
      </c>
      <c r="G1352" s="66">
        <v>0.4278</v>
      </c>
      <c r="H1352" s="66" t="s">
        <v>276</v>
      </c>
      <c r="I1352" s="82">
        <f t="shared" si="1"/>
        <v>1.610565685</v>
      </c>
      <c r="J1352" s="82">
        <f t="shared" si="2"/>
        <v>0.3830587393</v>
      </c>
    </row>
    <row r="1353">
      <c r="A1353" s="83">
        <v>44708.0</v>
      </c>
      <c r="B1353" s="66">
        <v>1478.0</v>
      </c>
      <c r="C1353" s="66">
        <v>2.0</v>
      </c>
      <c r="D1353" s="66" t="s">
        <v>228</v>
      </c>
      <c r="E1353" s="66">
        <v>0.0</v>
      </c>
      <c r="F1353" s="66">
        <v>0.6987</v>
      </c>
      <c r="G1353" s="66">
        <v>0.2676</v>
      </c>
      <c r="H1353" s="66" t="s">
        <v>276</v>
      </c>
      <c r="I1353" s="82">
        <f t="shared" si="1"/>
        <v>1.610986547</v>
      </c>
      <c r="J1353" s="82">
        <f t="shared" si="2"/>
        <v>0.3829969944</v>
      </c>
    </row>
    <row r="1354">
      <c r="A1354" s="83">
        <v>44708.0</v>
      </c>
      <c r="B1354" s="66">
        <v>1478.0</v>
      </c>
      <c r="C1354" s="66">
        <v>2.0</v>
      </c>
      <c r="D1354" s="66" t="s">
        <v>227</v>
      </c>
      <c r="E1354" s="66">
        <v>0.0</v>
      </c>
      <c r="F1354" s="66">
        <v>0.034</v>
      </c>
      <c r="G1354" s="66">
        <v>0.013</v>
      </c>
      <c r="H1354" s="66" t="s">
        <v>279</v>
      </c>
      <c r="I1354" s="82">
        <f t="shared" si="1"/>
        <v>1.615384615</v>
      </c>
      <c r="J1354" s="82">
        <f t="shared" si="2"/>
        <v>0.3823529412</v>
      </c>
    </row>
    <row r="1355">
      <c r="A1355" s="83">
        <v>44708.0</v>
      </c>
      <c r="B1355" s="66">
        <v>1478.0</v>
      </c>
      <c r="C1355" s="66">
        <v>3.0</v>
      </c>
      <c r="D1355" s="66" t="s">
        <v>228</v>
      </c>
      <c r="E1355" s="66">
        <v>0.0</v>
      </c>
      <c r="F1355" s="66">
        <v>0.4499</v>
      </c>
      <c r="G1355" s="66">
        <v>0.172</v>
      </c>
      <c r="H1355" s="66" t="s">
        <v>276</v>
      </c>
      <c r="I1355" s="82">
        <f t="shared" si="1"/>
        <v>1.615697674</v>
      </c>
      <c r="J1355" s="82">
        <f t="shared" si="2"/>
        <v>0.3823071794</v>
      </c>
    </row>
    <row r="1356">
      <c r="A1356" s="83">
        <v>44708.0</v>
      </c>
      <c r="B1356" s="66">
        <v>1478.0</v>
      </c>
      <c r="C1356" s="66">
        <v>3.0</v>
      </c>
      <c r="D1356" s="66" t="s">
        <v>227</v>
      </c>
      <c r="E1356" s="66">
        <v>0.0</v>
      </c>
      <c r="F1356" s="66">
        <v>0.1593</v>
      </c>
      <c r="G1356" s="66">
        <v>0.0609</v>
      </c>
      <c r="H1356" s="66" t="s">
        <v>280</v>
      </c>
      <c r="I1356" s="82">
        <f t="shared" si="1"/>
        <v>1.615763547</v>
      </c>
      <c r="J1356" s="82">
        <f t="shared" si="2"/>
        <v>0.3822975518</v>
      </c>
    </row>
    <row r="1357">
      <c r="A1357" s="83">
        <v>44708.0</v>
      </c>
      <c r="B1357" s="66">
        <v>2004.0</v>
      </c>
      <c r="C1357" s="66">
        <v>1.0</v>
      </c>
      <c r="D1357" s="66" t="s">
        <v>228</v>
      </c>
      <c r="E1357" s="66">
        <v>0.0</v>
      </c>
      <c r="F1357" s="66">
        <v>0.2512</v>
      </c>
      <c r="G1357" s="66">
        <v>0.096</v>
      </c>
      <c r="I1357" s="82">
        <f t="shared" si="1"/>
        <v>1.616666667</v>
      </c>
      <c r="J1357" s="82">
        <f t="shared" si="2"/>
        <v>0.3821656051</v>
      </c>
    </row>
    <row r="1358">
      <c r="A1358" s="83">
        <v>44708.0</v>
      </c>
      <c r="B1358" s="66">
        <v>2004.0</v>
      </c>
      <c r="C1358" s="66">
        <v>1.0</v>
      </c>
      <c r="D1358" s="66" t="s">
        <v>227</v>
      </c>
      <c r="E1358" s="66">
        <v>0.0</v>
      </c>
      <c r="F1358" s="66">
        <v>0.2076</v>
      </c>
      <c r="G1358" s="66">
        <v>0.0793</v>
      </c>
      <c r="I1358" s="82">
        <f t="shared" si="1"/>
        <v>1.617906683</v>
      </c>
      <c r="J1358" s="82">
        <f t="shared" si="2"/>
        <v>0.3819845857</v>
      </c>
    </row>
    <row r="1359">
      <c r="A1359" s="83">
        <v>44708.0</v>
      </c>
      <c r="B1359" s="66">
        <v>2004.0</v>
      </c>
      <c r="C1359" s="66">
        <v>2.0</v>
      </c>
      <c r="D1359" s="66" t="s">
        <v>228</v>
      </c>
      <c r="E1359" s="66">
        <v>0.0</v>
      </c>
      <c r="F1359" s="66">
        <v>0.1511</v>
      </c>
      <c r="G1359" s="66">
        <v>0.0577</v>
      </c>
      <c r="I1359" s="82">
        <f t="shared" si="1"/>
        <v>1.618717504</v>
      </c>
      <c r="J1359" s="82">
        <f t="shared" si="2"/>
        <v>0.3818663137</v>
      </c>
    </row>
    <row r="1360">
      <c r="A1360" s="83">
        <v>44708.0</v>
      </c>
      <c r="B1360" s="66">
        <v>2004.0</v>
      </c>
      <c r="C1360" s="66">
        <v>2.0</v>
      </c>
      <c r="D1360" s="66" t="s">
        <v>227</v>
      </c>
      <c r="E1360" s="66">
        <v>0.0</v>
      </c>
      <c r="F1360" s="66">
        <v>0.0946</v>
      </c>
      <c r="G1360" s="66">
        <v>0.036</v>
      </c>
      <c r="H1360" s="66" t="s">
        <v>276</v>
      </c>
      <c r="I1360" s="82">
        <f t="shared" si="1"/>
        <v>1.627777778</v>
      </c>
      <c r="J1360" s="82">
        <f t="shared" si="2"/>
        <v>0.3805496829</v>
      </c>
    </row>
    <row r="1361">
      <c r="A1361" s="83">
        <v>44708.0</v>
      </c>
      <c r="B1361" s="66">
        <v>2004.0</v>
      </c>
      <c r="C1361" s="66">
        <v>3.0</v>
      </c>
      <c r="D1361" s="66" t="s">
        <v>228</v>
      </c>
      <c r="E1361" s="66">
        <v>0.0</v>
      </c>
      <c r="F1361" s="66">
        <v>0.0184</v>
      </c>
      <c r="G1361" s="66">
        <v>0.007</v>
      </c>
      <c r="H1361" s="66" t="s">
        <v>276</v>
      </c>
      <c r="I1361" s="82">
        <f t="shared" si="1"/>
        <v>1.628571429</v>
      </c>
      <c r="J1361" s="82">
        <f t="shared" si="2"/>
        <v>0.3804347826</v>
      </c>
    </row>
    <row r="1362">
      <c r="A1362" s="83">
        <v>44708.0</v>
      </c>
      <c r="B1362" s="66">
        <v>2004.0</v>
      </c>
      <c r="C1362" s="66">
        <v>3.0</v>
      </c>
      <c r="D1362" s="66" t="s">
        <v>227</v>
      </c>
      <c r="E1362" s="66">
        <v>0.0</v>
      </c>
      <c r="F1362" s="66">
        <v>0.145</v>
      </c>
      <c r="G1362" s="66">
        <v>0.055</v>
      </c>
      <c r="H1362" s="66" t="s">
        <v>279</v>
      </c>
      <c r="I1362" s="82">
        <f t="shared" si="1"/>
        <v>1.636363636</v>
      </c>
      <c r="J1362" s="82">
        <f t="shared" si="2"/>
        <v>0.3793103448</v>
      </c>
    </row>
    <row r="1363">
      <c r="A1363" s="83">
        <v>44708.0</v>
      </c>
      <c r="B1363" s="66">
        <v>2005.0</v>
      </c>
      <c r="C1363" s="66">
        <v>1.0</v>
      </c>
      <c r="D1363" s="66" t="s">
        <v>228</v>
      </c>
      <c r="E1363" s="66">
        <v>0.0</v>
      </c>
      <c r="F1363" s="66">
        <v>0.203</v>
      </c>
      <c r="G1363" s="66">
        <v>0.077</v>
      </c>
      <c r="H1363" s="66" t="s">
        <v>279</v>
      </c>
      <c r="I1363" s="82">
        <f t="shared" si="1"/>
        <v>1.636363636</v>
      </c>
      <c r="J1363" s="82">
        <f t="shared" si="2"/>
        <v>0.3793103448</v>
      </c>
    </row>
    <row r="1364">
      <c r="A1364" s="83">
        <v>44708.0</v>
      </c>
      <c r="B1364" s="66">
        <v>2005.0</v>
      </c>
      <c r="C1364" s="66">
        <v>1.0</v>
      </c>
      <c r="D1364" s="66" t="s">
        <v>227</v>
      </c>
      <c r="E1364" s="66">
        <v>0.0</v>
      </c>
      <c r="F1364" s="66">
        <v>0.082</v>
      </c>
      <c r="G1364" s="66">
        <v>0.031</v>
      </c>
      <c r="H1364" s="66" t="s">
        <v>279</v>
      </c>
      <c r="I1364" s="82">
        <f t="shared" si="1"/>
        <v>1.64516129</v>
      </c>
      <c r="J1364" s="82">
        <f t="shared" si="2"/>
        <v>0.3780487805</v>
      </c>
    </row>
    <row r="1365">
      <c r="A1365" s="83">
        <v>44708.0</v>
      </c>
      <c r="B1365" s="66">
        <v>2005.0</v>
      </c>
      <c r="C1365" s="66">
        <v>2.0</v>
      </c>
      <c r="D1365" s="66" t="s">
        <v>228</v>
      </c>
      <c r="E1365" s="66">
        <v>0.0</v>
      </c>
      <c r="F1365" s="66">
        <v>0.2299</v>
      </c>
      <c r="G1365" s="66">
        <v>0.0865</v>
      </c>
      <c r="H1365" s="66" t="s">
        <v>276</v>
      </c>
      <c r="I1365" s="82">
        <f t="shared" si="1"/>
        <v>1.657803468</v>
      </c>
      <c r="J1365" s="82">
        <f t="shared" si="2"/>
        <v>0.3762505437</v>
      </c>
    </row>
    <row r="1366">
      <c r="A1366" s="83">
        <v>44708.0</v>
      </c>
      <c r="B1366" s="66">
        <v>2005.0</v>
      </c>
      <c r="C1366" s="66">
        <v>2.0</v>
      </c>
      <c r="D1366" s="66" t="s">
        <v>227</v>
      </c>
      <c r="E1366" s="66">
        <v>0.0</v>
      </c>
      <c r="F1366" s="66">
        <v>0.7471</v>
      </c>
      <c r="G1366" s="66">
        <v>0.281</v>
      </c>
      <c r="H1366" s="66" t="s">
        <v>276</v>
      </c>
      <c r="I1366" s="82">
        <f t="shared" si="1"/>
        <v>1.658718861</v>
      </c>
      <c r="J1366" s="82">
        <f t="shared" si="2"/>
        <v>0.3761210012</v>
      </c>
    </row>
    <row r="1367">
      <c r="A1367" s="83">
        <v>44708.0</v>
      </c>
      <c r="B1367" s="66">
        <v>2005.0</v>
      </c>
      <c r="C1367" s="66">
        <v>3.0</v>
      </c>
      <c r="D1367" s="66" t="s">
        <v>228</v>
      </c>
      <c r="E1367" s="66">
        <v>0.0</v>
      </c>
      <c r="F1367" s="66">
        <v>0.678</v>
      </c>
      <c r="G1367" s="66">
        <v>0.255</v>
      </c>
      <c r="H1367" s="66" t="s">
        <v>279</v>
      </c>
      <c r="I1367" s="82">
        <f t="shared" si="1"/>
        <v>1.658823529</v>
      </c>
      <c r="J1367" s="82">
        <f t="shared" si="2"/>
        <v>0.3761061947</v>
      </c>
    </row>
    <row r="1368">
      <c r="A1368" s="83">
        <v>44708.0</v>
      </c>
      <c r="B1368" s="66">
        <v>2005.0</v>
      </c>
      <c r="C1368" s="66">
        <v>3.0</v>
      </c>
      <c r="D1368" s="66" t="s">
        <v>227</v>
      </c>
      <c r="E1368" s="66">
        <v>0.0</v>
      </c>
      <c r="F1368" s="66">
        <v>0.125</v>
      </c>
      <c r="G1368" s="66">
        <v>0.047</v>
      </c>
      <c r="H1368" s="66" t="s">
        <v>279</v>
      </c>
      <c r="I1368" s="82">
        <f t="shared" si="1"/>
        <v>1.659574468</v>
      </c>
      <c r="J1368" s="82">
        <f t="shared" si="2"/>
        <v>0.376</v>
      </c>
    </row>
    <row r="1369">
      <c r="A1369" s="83">
        <v>44708.0</v>
      </c>
      <c r="B1369" s="66">
        <v>2006.0</v>
      </c>
      <c r="C1369" s="66">
        <v>1.0</v>
      </c>
      <c r="D1369" s="66" t="s">
        <v>228</v>
      </c>
      <c r="E1369" s="66">
        <v>0.0</v>
      </c>
      <c r="F1369" s="66">
        <v>0.0333</v>
      </c>
      <c r="G1369" s="66">
        <v>0.0125</v>
      </c>
      <c r="I1369" s="82">
        <f t="shared" si="1"/>
        <v>1.664</v>
      </c>
      <c r="J1369" s="82">
        <f t="shared" si="2"/>
        <v>0.3753753754</v>
      </c>
    </row>
    <row r="1370">
      <c r="A1370" s="83">
        <v>44708.0</v>
      </c>
      <c r="B1370" s="66">
        <v>2006.0</v>
      </c>
      <c r="C1370" s="66">
        <v>1.0</v>
      </c>
      <c r="D1370" s="66" t="s">
        <v>227</v>
      </c>
      <c r="E1370" s="66">
        <v>0.0</v>
      </c>
      <c r="F1370" s="66">
        <v>1.4125</v>
      </c>
      <c r="G1370" s="66">
        <v>0.529</v>
      </c>
      <c r="H1370" s="66" t="s">
        <v>276</v>
      </c>
      <c r="I1370" s="82">
        <f t="shared" si="1"/>
        <v>1.670132325</v>
      </c>
      <c r="J1370" s="82">
        <f t="shared" si="2"/>
        <v>0.3745132743</v>
      </c>
    </row>
    <row r="1371">
      <c r="A1371" s="83">
        <v>44708.0</v>
      </c>
      <c r="B1371" s="66">
        <v>2006.0</v>
      </c>
      <c r="C1371" s="66">
        <v>2.0</v>
      </c>
      <c r="D1371" s="66" t="s">
        <v>228</v>
      </c>
      <c r="E1371" s="66">
        <v>0.0</v>
      </c>
      <c r="F1371" s="66">
        <v>0.5559</v>
      </c>
      <c r="G1371" s="107">
        <v>0.208</v>
      </c>
      <c r="I1371" s="82">
        <f t="shared" si="1"/>
        <v>1.672596154</v>
      </c>
      <c r="J1371" s="82">
        <f t="shared" si="2"/>
        <v>0.3741680158</v>
      </c>
    </row>
    <row r="1372">
      <c r="A1372" s="83">
        <v>44708.0</v>
      </c>
      <c r="B1372" s="66">
        <v>2006.0</v>
      </c>
      <c r="C1372" s="66">
        <v>2.0</v>
      </c>
      <c r="D1372" s="66" t="s">
        <v>227</v>
      </c>
      <c r="E1372" s="66">
        <v>0.0</v>
      </c>
      <c r="F1372" s="66">
        <v>0.0565</v>
      </c>
      <c r="G1372" s="66">
        <v>0.021</v>
      </c>
      <c r="H1372" s="66" t="s">
        <v>276</v>
      </c>
      <c r="I1372" s="82">
        <f t="shared" si="1"/>
        <v>1.69047619</v>
      </c>
      <c r="J1372" s="82">
        <f t="shared" si="2"/>
        <v>0.3716814159</v>
      </c>
    </row>
    <row r="1373">
      <c r="A1373" s="83">
        <v>44708.0</v>
      </c>
      <c r="B1373" s="66">
        <v>2006.0</v>
      </c>
      <c r="C1373" s="66">
        <v>3.0</v>
      </c>
      <c r="D1373" s="66" t="s">
        <v>228</v>
      </c>
      <c r="E1373" s="66">
        <v>0.0</v>
      </c>
      <c r="F1373" s="66">
        <v>0.0245</v>
      </c>
      <c r="G1373" s="66">
        <v>0.0091</v>
      </c>
      <c r="H1373" s="66" t="s">
        <v>276</v>
      </c>
      <c r="I1373" s="82">
        <f t="shared" si="1"/>
        <v>1.692307692</v>
      </c>
      <c r="J1373" s="82">
        <f t="shared" si="2"/>
        <v>0.3714285714</v>
      </c>
    </row>
    <row r="1374">
      <c r="A1374" s="83">
        <v>44708.0</v>
      </c>
      <c r="B1374" s="66">
        <v>2006.0</v>
      </c>
      <c r="C1374" s="66">
        <v>3.0</v>
      </c>
      <c r="D1374" s="66" t="s">
        <v>227</v>
      </c>
      <c r="E1374" s="66">
        <v>0.0</v>
      </c>
      <c r="F1374" s="66">
        <v>0.0371</v>
      </c>
      <c r="G1374" s="66">
        <v>0.0137</v>
      </c>
      <c r="H1374" s="66" t="s">
        <v>276</v>
      </c>
      <c r="I1374" s="82">
        <f t="shared" si="1"/>
        <v>1.708029197</v>
      </c>
      <c r="J1374" s="82">
        <f t="shared" si="2"/>
        <v>0.3692722372</v>
      </c>
    </row>
    <row r="1375">
      <c r="A1375" s="83">
        <v>44708.0</v>
      </c>
      <c r="B1375" s="66">
        <v>2007.0</v>
      </c>
      <c r="C1375" s="66">
        <v>1.0</v>
      </c>
      <c r="D1375" s="66" t="s">
        <v>228</v>
      </c>
      <c r="E1375" s="66">
        <v>0.0</v>
      </c>
      <c r="F1375" s="66">
        <v>2.684</v>
      </c>
      <c r="G1375" s="66">
        <v>0.99</v>
      </c>
      <c r="H1375" s="66" t="s">
        <v>278</v>
      </c>
      <c r="I1375" s="82">
        <f t="shared" si="1"/>
        <v>1.711111111</v>
      </c>
      <c r="J1375" s="82">
        <f t="shared" si="2"/>
        <v>0.368852459</v>
      </c>
    </row>
    <row r="1376">
      <c r="A1376" s="83">
        <v>44708.0</v>
      </c>
      <c r="B1376" s="66">
        <v>2007.0</v>
      </c>
      <c r="C1376" s="66">
        <v>1.0</v>
      </c>
      <c r="D1376" s="66" t="s">
        <v>227</v>
      </c>
      <c r="E1376" s="66">
        <v>0.0</v>
      </c>
      <c r="F1376" s="66">
        <v>0.0823</v>
      </c>
      <c r="G1376" s="66">
        <v>0.0303</v>
      </c>
      <c r="I1376" s="82">
        <f t="shared" si="1"/>
        <v>1.716171617</v>
      </c>
      <c r="J1376" s="82">
        <f t="shared" si="2"/>
        <v>0.3681652491</v>
      </c>
    </row>
    <row r="1377">
      <c r="A1377" s="83">
        <v>44708.0</v>
      </c>
      <c r="B1377" s="66">
        <v>2007.0</v>
      </c>
      <c r="C1377" s="66">
        <v>1.0</v>
      </c>
      <c r="D1377" s="66" t="s">
        <v>227</v>
      </c>
      <c r="E1377" s="66">
        <v>1.0</v>
      </c>
      <c r="F1377" s="66">
        <v>1.2544</v>
      </c>
      <c r="G1377" s="66">
        <v>0.461</v>
      </c>
      <c r="H1377" s="66" t="s">
        <v>276</v>
      </c>
      <c r="I1377" s="82">
        <f t="shared" si="1"/>
        <v>1.721041215</v>
      </c>
      <c r="J1377" s="82">
        <f t="shared" si="2"/>
        <v>0.3675063776</v>
      </c>
    </row>
    <row r="1378">
      <c r="A1378" s="83">
        <v>44708.0</v>
      </c>
      <c r="B1378" s="66">
        <v>2007.0</v>
      </c>
      <c r="C1378" s="66">
        <v>2.0</v>
      </c>
      <c r="D1378" s="66" t="s">
        <v>228</v>
      </c>
      <c r="E1378" s="66">
        <v>0.0</v>
      </c>
      <c r="F1378" s="66">
        <v>0.7187</v>
      </c>
      <c r="G1378" s="66">
        <v>0.264</v>
      </c>
      <c r="H1378" s="66" t="s">
        <v>276</v>
      </c>
      <c r="I1378" s="82">
        <f t="shared" si="1"/>
        <v>1.722348485</v>
      </c>
      <c r="J1378" s="82">
        <f t="shared" si="2"/>
        <v>0.3673299012</v>
      </c>
    </row>
    <row r="1379">
      <c r="A1379" s="83">
        <v>44708.0</v>
      </c>
      <c r="B1379" s="66">
        <v>2007.0</v>
      </c>
      <c r="C1379" s="66">
        <v>2.0</v>
      </c>
      <c r="D1379" s="66" t="s">
        <v>227</v>
      </c>
      <c r="E1379" s="66">
        <v>0.0</v>
      </c>
      <c r="F1379" s="66">
        <v>0.159</v>
      </c>
      <c r="G1379" s="66">
        <v>0.058</v>
      </c>
      <c r="H1379" s="66" t="s">
        <v>279</v>
      </c>
      <c r="I1379" s="82">
        <f t="shared" si="1"/>
        <v>1.74137931</v>
      </c>
      <c r="J1379" s="82">
        <f t="shared" si="2"/>
        <v>0.3647798742</v>
      </c>
    </row>
    <row r="1380">
      <c r="A1380" s="83">
        <v>44708.0</v>
      </c>
      <c r="B1380" s="66">
        <v>2007.0</v>
      </c>
      <c r="C1380" s="66">
        <v>2.0</v>
      </c>
      <c r="D1380" s="66" t="s">
        <v>227</v>
      </c>
      <c r="E1380" s="66">
        <v>1.0</v>
      </c>
      <c r="F1380" s="66">
        <v>0.011</v>
      </c>
      <c r="G1380" s="66">
        <v>0.004</v>
      </c>
      <c r="H1380" s="66" t="s">
        <v>279</v>
      </c>
      <c r="I1380" s="82">
        <f t="shared" si="1"/>
        <v>1.75</v>
      </c>
      <c r="J1380" s="82">
        <f t="shared" si="2"/>
        <v>0.3636363636</v>
      </c>
    </row>
    <row r="1381">
      <c r="A1381" s="83">
        <v>44708.0</v>
      </c>
      <c r="B1381" s="66">
        <v>2007.0</v>
      </c>
      <c r="C1381" s="66">
        <v>3.0</v>
      </c>
      <c r="D1381" s="66" t="s">
        <v>228</v>
      </c>
      <c r="E1381" s="66">
        <v>0.0</v>
      </c>
      <c r="F1381" s="66">
        <v>0.033</v>
      </c>
      <c r="G1381" s="66">
        <v>0.012</v>
      </c>
      <c r="H1381" s="66" t="s">
        <v>279</v>
      </c>
      <c r="I1381" s="82">
        <f t="shared" si="1"/>
        <v>1.75</v>
      </c>
      <c r="J1381" s="82">
        <f t="shared" si="2"/>
        <v>0.3636363636</v>
      </c>
    </row>
    <row r="1382">
      <c r="A1382" s="83">
        <v>44708.0</v>
      </c>
      <c r="B1382" s="66">
        <v>2007.0</v>
      </c>
      <c r="C1382" s="66">
        <v>3.0</v>
      </c>
      <c r="D1382" s="66" t="s">
        <v>227</v>
      </c>
      <c r="E1382" s="66">
        <v>0.0</v>
      </c>
      <c r="F1382" s="66">
        <v>3.837</v>
      </c>
      <c r="G1382" s="66">
        <v>1.394</v>
      </c>
      <c r="H1382" s="66" t="s">
        <v>278</v>
      </c>
      <c r="I1382" s="82">
        <f t="shared" si="1"/>
        <v>1.75251076</v>
      </c>
      <c r="J1382" s="82">
        <f t="shared" si="2"/>
        <v>0.3633046651</v>
      </c>
    </row>
    <row r="1383">
      <c r="A1383" s="83">
        <v>44708.0</v>
      </c>
      <c r="B1383" s="66">
        <v>2007.0</v>
      </c>
      <c r="C1383" s="66">
        <v>3.0</v>
      </c>
      <c r="D1383" s="66" t="s">
        <v>227</v>
      </c>
      <c r="E1383" s="66">
        <v>1.0</v>
      </c>
      <c r="F1383" s="66">
        <v>0.069</v>
      </c>
      <c r="G1383" s="66">
        <v>0.025</v>
      </c>
      <c r="H1383" s="66" t="s">
        <v>279</v>
      </c>
      <c r="I1383" s="82">
        <f t="shared" si="1"/>
        <v>1.76</v>
      </c>
      <c r="J1383" s="82">
        <f t="shared" si="2"/>
        <v>0.3623188406</v>
      </c>
    </row>
    <row r="1384">
      <c r="A1384" s="83">
        <v>44708.0</v>
      </c>
      <c r="B1384" s="66">
        <v>2008.0</v>
      </c>
      <c r="C1384" s="66">
        <v>1.0</v>
      </c>
      <c r="D1384" s="66" t="s">
        <v>228</v>
      </c>
      <c r="E1384" s="66">
        <v>0.0</v>
      </c>
      <c r="F1384" s="66">
        <v>0.138</v>
      </c>
      <c r="G1384" s="66">
        <v>0.05</v>
      </c>
      <c r="H1384" s="66" t="s">
        <v>279</v>
      </c>
      <c r="I1384" s="82">
        <f t="shared" si="1"/>
        <v>1.76</v>
      </c>
      <c r="J1384" s="82">
        <f t="shared" si="2"/>
        <v>0.3623188406</v>
      </c>
    </row>
    <row r="1385">
      <c r="A1385" s="83">
        <v>44708.0</v>
      </c>
      <c r="B1385" s="66">
        <v>2008.0</v>
      </c>
      <c r="C1385" s="66">
        <v>1.0</v>
      </c>
      <c r="D1385" s="66" t="s">
        <v>227</v>
      </c>
      <c r="E1385" s="66">
        <v>0.0</v>
      </c>
      <c r="F1385" s="66">
        <v>0.036</v>
      </c>
      <c r="G1385" s="66">
        <v>0.013</v>
      </c>
      <c r="H1385" s="66" t="s">
        <v>279</v>
      </c>
      <c r="I1385" s="82">
        <f t="shared" si="1"/>
        <v>1.769230769</v>
      </c>
      <c r="J1385" s="82">
        <f t="shared" si="2"/>
        <v>0.3611111111</v>
      </c>
    </row>
    <row r="1386">
      <c r="A1386" s="83">
        <v>44708.0</v>
      </c>
      <c r="B1386" s="66">
        <v>2008.0</v>
      </c>
      <c r="C1386" s="66">
        <v>1.0</v>
      </c>
      <c r="D1386" s="66" t="s">
        <v>227</v>
      </c>
      <c r="E1386" s="66">
        <v>1.0</v>
      </c>
      <c r="F1386" s="66">
        <v>0.9958</v>
      </c>
      <c r="G1386" s="66">
        <v>0.359</v>
      </c>
      <c r="H1386" s="66" t="s">
        <v>276</v>
      </c>
      <c r="I1386" s="82">
        <f t="shared" si="1"/>
        <v>1.773816156</v>
      </c>
      <c r="J1386" s="82">
        <f t="shared" si="2"/>
        <v>0.3605141595</v>
      </c>
    </row>
    <row r="1387">
      <c r="A1387" s="83">
        <v>44708.0</v>
      </c>
      <c r="B1387" s="66">
        <v>2008.0</v>
      </c>
      <c r="C1387" s="66">
        <v>2.0</v>
      </c>
      <c r="D1387" s="66" t="s">
        <v>228</v>
      </c>
      <c r="E1387" s="66">
        <v>0.0</v>
      </c>
      <c r="F1387" s="66">
        <v>0.0333</v>
      </c>
      <c r="G1387" s="66">
        <v>0.012</v>
      </c>
      <c r="H1387" s="66" t="s">
        <v>276</v>
      </c>
      <c r="I1387" s="82">
        <f t="shared" si="1"/>
        <v>1.775</v>
      </c>
      <c r="J1387" s="82">
        <f t="shared" si="2"/>
        <v>0.3603603604</v>
      </c>
    </row>
    <row r="1388">
      <c r="A1388" s="83">
        <v>44708.0</v>
      </c>
      <c r="B1388" s="66">
        <v>2008.0</v>
      </c>
      <c r="C1388" s="66">
        <v>2.0</v>
      </c>
      <c r="D1388" s="66" t="s">
        <v>227</v>
      </c>
      <c r="E1388" s="66">
        <v>0.0</v>
      </c>
      <c r="F1388" s="66">
        <v>0.2559</v>
      </c>
      <c r="G1388" s="66">
        <v>0.092</v>
      </c>
      <c r="H1388" s="66" t="s">
        <v>276</v>
      </c>
      <c r="I1388" s="82">
        <f t="shared" si="1"/>
        <v>1.781521739</v>
      </c>
      <c r="J1388" s="82">
        <f t="shared" si="2"/>
        <v>0.3595154357</v>
      </c>
    </row>
    <row r="1389">
      <c r="A1389" s="83">
        <v>44708.0</v>
      </c>
      <c r="B1389" s="66">
        <v>2008.0</v>
      </c>
      <c r="C1389" s="66">
        <v>2.0</v>
      </c>
      <c r="D1389" s="66" t="s">
        <v>227</v>
      </c>
      <c r="E1389" s="66">
        <v>1.0</v>
      </c>
      <c r="F1389" s="66">
        <v>0.9085</v>
      </c>
      <c r="G1389" s="66">
        <v>0.326</v>
      </c>
      <c r="H1389" s="66" t="s">
        <v>276</v>
      </c>
      <c r="I1389" s="82">
        <f t="shared" si="1"/>
        <v>1.786809816</v>
      </c>
      <c r="J1389" s="82">
        <f t="shared" si="2"/>
        <v>0.3588332416</v>
      </c>
    </row>
    <row r="1390">
      <c r="A1390" s="83">
        <v>44708.0</v>
      </c>
      <c r="B1390" s="66">
        <v>2008.0</v>
      </c>
      <c r="C1390" s="66">
        <v>3.0</v>
      </c>
      <c r="D1390" s="66" t="s">
        <v>228</v>
      </c>
      <c r="E1390" s="66">
        <v>0.0</v>
      </c>
      <c r="F1390" s="66">
        <v>0.07</v>
      </c>
      <c r="G1390" s="66">
        <v>0.025</v>
      </c>
      <c r="H1390" s="66" t="s">
        <v>279</v>
      </c>
      <c r="I1390" s="82">
        <f t="shared" si="1"/>
        <v>1.8</v>
      </c>
      <c r="J1390" s="82">
        <f t="shared" si="2"/>
        <v>0.3571428571</v>
      </c>
    </row>
    <row r="1391">
      <c r="A1391" s="83">
        <v>44708.0</v>
      </c>
      <c r="B1391" s="66">
        <v>2008.0</v>
      </c>
      <c r="C1391" s="66">
        <v>3.0</v>
      </c>
      <c r="D1391" s="66" t="s">
        <v>227</v>
      </c>
      <c r="E1391" s="66">
        <v>0.0</v>
      </c>
      <c r="F1391" s="66">
        <v>1.723</v>
      </c>
      <c r="G1391" s="66">
        <v>0.614</v>
      </c>
      <c r="H1391" s="66" t="s">
        <v>278</v>
      </c>
      <c r="I1391" s="82">
        <f t="shared" si="1"/>
        <v>1.806188925</v>
      </c>
      <c r="J1391" s="82">
        <f t="shared" si="2"/>
        <v>0.3563551944</v>
      </c>
    </row>
    <row r="1392">
      <c r="A1392" s="83">
        <v>44708.0</v>
      </c>
      <c r="B1392" s="66">
        <v>2008.0</v>
      </c>
      <c r="C1392" s="66">
        <v>3.0</v>
      </c>
      <c r="D1392" s="66" t="s">
        <v>227</v>
      </c>
      <c r="E1392" s="66">
        <v>1.0</v>
      </c>
      <c r="F1392" s="66">
        <v>0.045</v>
      </c>
      <c r="G1392" s="66">
        <v>0.016</v>
      </c>
      <c r="H1392" s="66" t="s">
        <v>279</v>
      </c>
      <c r="I1392" s="82">
        <f t="shared" si="1"/>
        <v>1.8125</v>
      </c>
      <c r="J1392" s="82">
        <f t="shared" si="2"/>
        <v>0.3555555556</v>
      </c>
    </row>
    <row r="1393">
      <c r="A1393" s="83">
        <v>44708.0</v>
      </c>
      <c r="B1393" s="66">
        <v>2012.0</v>
      </c>
      <c r="C1393" s="66">
        <v>1.0</v>
      </c>
      <c r="D1393" s="66" t="s">
        <v>228</v>
      </c>
      <c r="E1393" s="66">
        <v>0.0</v>
      </c>
      <c r="F1393" s="66">
        <v>0.9452</v>
      </c>
      <c r="G1393" s="66">
        <v>0.335</v>
      </c>
      <c r="H1393" s="66" t="s">
        <v>276</v>
      </c>
      <c r="I1393" s="82">
        <f t="shared" si="1"/>
        <v>1.821492537</v>
      </c>
      <c r="J1393" s="82">
        <f t="shared" si="2"/>
        <v>0.3544223445</v>
      </c>
    </row>
    <row r="1394">
      <c r="A1394" s="83">
        <v>44708.0</v>
      </c>
      <c r="B1394" s="66">
        <v>2012.0</v>
      </c>
      <c r="C1394" s="66">
        <v>1.0</v>
      </c>
      <c r="D1394" s="66" t="s">
        <v>227</v>
      </c>
      <c r="E1394" s="66">
        <v>0.0</v>
      </c>
      <c r="F1394" s="66">
        <v>1.55</v>
      </c>
      <c r="G1394" s="66">
        <v>0.549</v>
      </c>
      <c r="H1394" s="66" t="s">
        <v>278</v>
      </c>
      <c r="I1394" s="82">
        <f t="shared" si="1"/>
        <v>1.823315118</v>
      </c>
      <c r="J1394" s="82">
        <f t="shared" si="2"/>
        <v>0.3541935484</v>
      </c>
    </row>
    <row r="1395">
      <c r="A1395" s="83">
        <v>44708.0</v>
      </c>
      <c r="B1395" s="66">
        <v>2012.0</v>
      </c>
      <c r="C1395" s="66">
        <v>2.0</v>
      </c>
      <c r="D1395" s="66" t="s">
        <v>228</v>
      </c>
      <c r="E1395" s="66">
        <v>0.0</v>
      </c>
      <c r="F1395" s="66">
        <v>0.065</v>
      </c>
      <c r="G1395" s="66">
        <v>0.023</v>
      </c>
      <c r="H1395" s="66" t="s">
        <v>279</v>
      </c>
      <c r="I1395" s="82">
        <f t="shared" si="1"/>
        <v>1.826086957</v>
      </c>
      <c r="J1395" s="82">
        <f t="shared" si="2"/>
        <v>0.3538461538</v>
      </c>
    </row>
    <row r="1396">
      <c r="A1396" s="83">
        <v>44708.0</v>
      </c>
      <c r="B1396" s="66">
        <v>2012.0</v>
      </c>
      <c r="C1396" s="66">
        <v>2.0</v>
      </c>
      <c r="D1396" s="66" t="s">
        <v>227</v>
      </c>
      <c r="E1396" s="66">
        <v>0.0</v>
      </c>
      <c r="F1396" s="66">
        <v>0.0498</v>
      </c>
      <c r="G1396" s="66">
        <v>0.0176</v>
      </c>
      <c r="H1396" s="66" t="s">
        <v>276</v>
      </c>
      <c r="I1396" s="82">
        <f t="shared" si="1"/>
        <v>1.829545455</v>
      </c>
      <c r="J1396" s="82">
        <f t="shared" si="2"/>
        <v>0.3534136546</v>
      </c>
    </row>
    <row r="1397">
      <c r="A1397" s="83">
        <v>44708.0</v>
      </c>
      <c r="B1397" s="66">
        <v>2012.0</v>
      </c>
      <c r="C1397" s="66">
        <v>3.0</v>
      </c>
      <c r="D1397" s="66" t="s">
        <v>228</v>
      </c>
      <c r="E1397" s="66">
        <v>0.0</v>
      </c>
      <c r="F1397" s="66">
        <v>0.2612</v>
      </c>
      <c r="G1397" s="66">
        <v>0.0918</v>
      </c>
      <c r="H1397" s="66" t="s">
        <v>276</v>
      </c>
      <c r="I1397" s="82">
        <f t="shared" si="1"/>
        <v>1.845315904</v>
      </c>
      <c r="J1397" s="82">
        <f t="shared" si="2"/>
        <v>0.3514548239</v>
      </c>
    </row>
    <row r="1398">
      <c r="A1398" s="83">
        <v>44708.0</v>
      </c>
      <c r="B1398" s="66">
        <v>2012.0</v>
      </c>
      <c r="C1398" s="66">
        <v>3.0</v>
      </c>
      <c r="D1398" s="66" t="s">
        <v>227</v>
      </c>
      <c r="E1398" s="66">
        <v>0.0</v>
      </c>
      <c r="F1398" s="66">
        <v>2.021</v>
      </c>
      <c r="G1398" s="66">
        <v>0.707</v>
      </c>
      <c r="H1398" s="66" t="s">
        <v>278</v>
      </c>
      <c r="I1398" s="82">
        <f t="shared" si="1"/>
        <v>1.858557284</v>
      </c>
      <c r="J1398" s="82">
        <f t="shared" si="2"/>
        <v>0.3498268184</v>
      </c>
    </row>
    <row r="1399">
      <c r="A1399" s="83">
        <v>44708.0</v>
      </c>
      <c r="B1399" s="66">
        <v>2013.0</v>
      </c>
      <c r="C1399" s="66">
        <v>1.0</v>
      </c>
      <c r="D1399" s="66" t="s">
        <v>228</v>
      </c>
      <c r="E1399" s="66">
        <v>0.0</v>
      </c>
      <c r="F1399" s="66">
        <v>0.3604</v>
      </c>
      <c r="G1399" s="66">
        <v>0.126</v>
      </c>
      <c r="H1399" s="66" t="s">
        <v>276</v>
      </c>
      <c r="I1399" s="82">
        <f t="shared" si="1"/>
        <v>1.86031746</v>
      </c>
      <c r="J1399" s="82">
        <f t="shared" si="2"/>
        <v>0.3496115427</v>
      </c>
    </row>
    <row r="1400">
      <c r="A1400" s="83">
        <v>44708.0</v>
      </c>
      <c r="B1400" s="66">
        <v>2013.0</v>
      </c>
      <c r="C1400" s="66">
        <v>1.0</v>
      </c>
      <c r="D1400" s="66" t="s">
        <v>227</v>
      </c>
      <c r="E1400" s="66">
        <v>0.0</v>
      </c>
      <c r="F1400" s="66">
        <v>0.043</v>
      </c>
      <c r="G1400" s="66">
        <v>0.015</v>
      </c>
      <c r="H1400" s="66" t="s">
        <v>276</v>
      </c>
      <c r="I1400" s="82">
        <f t="shared" si="1"/>
        <v>1.866666667</v>
      </c>
      <c r="J1400" s="82">
        <f t="shared" si="2"/>
        <v>0.3488372093</v>
      </c>
    </row>
    <row r="1401">
      <c r="A1401" s="83">
        <v>44708.0</v>
      </c>
      <c r="B1401" s="66">
        <v>2013.0</v>
      </c>
      <c r="C1401" s="66">
        <v>2.0</v>
      </c>
      <c r="D1401" s="66" t="s">
        <v>228</v>
      </c>
      <c r="E1401" s="66">
        <v>0.0</v>
      </c>
      <c r="F1401" s="66">
        <v>0.0816</v>
      </c>
      <c r="G1401" s="66">
        <v>0.0283</v>
      </c>
      <c r="H1401" s="66" t="s">
        <v>276</v>
      </c>
      <c r="I1401" s="82">
        <f t="shared" si="1"/>
        <v>1.883392226</v>
      </c>
      <c r="J1401" s="82">
        <f t="shared" si="2"/>
        <v>0.3468137255</v>
      </c>
    </row>
    <row r="1402">
      <c r="A1402" s="83">
        <v>44708.0</v>
      </c>
      <c r="B1402" s="66">
        <v>2013.0</v>
      </c>
      <c r="C1402" s="66">
        <v>2.0</v>
      </c>
      <c r="D1402" s="66" t="s">
        <v>227</v>
      </c>
      <c r="E1402" s="66">
        <v>0.0</v>
      </c>
      <c r="F1402" s="66">
        <v>0.13</v>
      </c>
      <c r="G1402" s="66">
        <v>0.045</v>
      </c>
      <c r="H1402" s="66" t="s">
        <v>279</v>
      </c>
      <c r="I1402" s="82">
        <f t="shared" si="1"/>
        <v>1.888888889</v>
      </c>
      <c r="J1402" s="82">
        <f t="shared" si="2"/>
        <v>0.3461538462</v>
      </c>
    </row>
    <row r="1403">
      <c r="A1403" s="83">
        <v>44708.0</v>
      </c>
      <c r="B1403" s="66">
        <v>2013.0</v>
      </c>
      <c r="C1403" s="66">
        <v>3.0</v>
      </c>
      <c r="D1403" s="66" t="s">
        <v>228</v>
      </c>
      <c r="E1403" s="66">
        <v>0.0</v>
      </c>
      <c r="F1403" s="66">
        <v>0.5932</v>
      </c>
      <c r="G1403" s="66">
        <v>0.205</v>
      </c>
      <c r="H1403" s="66" t="s">
        <v>276</v>
      </c>
      <c r="I1403" s="82">
        <f t="shared" si="1"/>
        <v>1.893658537</v>
      </c>
      <c r="J1403" s="82">
        <f t="shared" si="2"/>
        <v>0.3455832771</v>
      </c>
    </row>
    <row r="1404">
      <c r="A1404" s="83">
        <v>44708.0</v>
      </c>
      <c r="B1404" s="66">
        <v>2013.0</v>
      </c>
      <c r="C1404" s="66">
        <v>3.0</v>
      </c>
      <c r="D1404" s="66" t="s">
        <v>227</v>
      </c>
      <c r="E1404" s="66">
        <v>0.0</v>
      </c>
      <c r="F1404" s="66">
        <v>0.0953</v>
      </c>
      <c r="G1404" s="66">
        <v>0.0329</v>
      </c>
      <c r="H1404" s="66" t="s">
        <v>276</v>
      </c>
      <c r="I1404" s="82">
        <f t="shared" si="1"/>
        <v>1.896656535</v>
      </c>
      <c r="J1404" s="82">
        <f t="shared" si="2"/>
        <v>0.3452256034</v>
      </c>
    </row>
    <row r="1405">
      <c r="A1405" s="83">
        <v>44708.0</v>
      </c>
      <c r="B1405" s="66">
        <v>2013.0</v>
      </c>
      <c r="C1405" s="66">
        <v>3.0</v>
      </c>
      <c r="D1405" s="66" t="s">
        <v>227</v>
      </c>
      <c r="E1405" s="66">
        <v>1.0</v>
      </c>
      <c r="F1405" s="66">
        <v>0.1073</v>
      </c>
      <c r="G1405" s="66">
        <v>0.037</v>
      </c>
      <c r="H1405" s="66" t="s">
        <v>276</v>
      </c>
      <c r="I1405" s="82">
        <f t="shared" si="1"/>
        <v>1.9</v>
      </c>
      <c r="J1405" s="82">
        <f t="shared" si="2"/>
        <v>0.3448275862</v>
      </c>
    </row>
    <row r="1406">
      <c r="A1406" s="83">
        <v>44708.0</v>
      </c>
      <c r="B1406" s="66">
        <v>2015.0</v>
      </c>
      <c r="C1406" s="66">
        <v>1.0</v>
      </c>
      <c r="D1406" s="66" t="s">
        <v>228</v>
      </c>
      <c r="E1406" s="66">
        <v>0.0</v>
      </c>
      <c r="F1406" s="66">
        <v>0.029</v>
      </c>
      <c r="G1406" s="66">
        <v>0.01</v>
      </c>
      <c r="H1406" s="66" t="s">
        <v>279</v>
      </c>
      <c r="I1406" s="82">
        <f t="shared" si="1"/>
        <v>1.9</v>
      </c>
      <c r="J1406" s="82">
        <f t="shared" si="2"/>
        <v>0.3448275862</v>
      </c>
    </row>
    <row r="1407">
      <c r="A1407" s="83">
        <v>44708.0</v>
      </c>
      <c r="B1407" s="66">
        <v>2015.0</v>
      </c>
      <c r="C1407" s="66">
        <v>1.0</v>
      </c>
      <c r="D1407" s="66" t="s">
        <v>227</v>
      </c>
      <c r="E1407" s="66">
        <v>0.0</v>
      </c>
      <c r="F1407" s="66">
        <v>0.0938</v>
      </c>
      <c r="G1407" s="66">
        <v>0.0323</v>
      </c>
      <c r="H1407" s="66" t="s">
        <v>276</v>
      </c>
      <c r="I1407" s="82">
        <f t="shared" si="1"/>
        <v>1.904024768</v>
      </c>
      <c r="J1407" s="82">
        <f t="shared" si="2"/>
        <v>0.3443496802</v>
      </c>
    </row>
    <row r="1408">
      <c r="A1408" s="83">
        <v>44708.0</v>
      </c>
      <c r="B1408" s="66">
        <v>2015.0</v>
      </c>
      <c r="C1408" s="66">
        <v>2.0</v>
      </c>
      <c r="D1408" s="66" t="s">
        <v>228</v>
      </c>
      <c r="E1408" s="66">
        <v>0.0</v>
      </c>
      <c r="F1408" s="66">
        <v>0.032</v>
      </c>
      <c r="G1408" s="66">
        <v>0.011</v>
      </c>
      <c r="H1408" s="66" t="s">
        <v>279</v>
      </c>
      <c r="I1408" s="82">
        <f t="shared" si="1"/>
        <v>1.909090909</v>
      </c>
      <c r="J1408" s="82">
        <f t="shared" si="2"/>
        <v>0.34375</v>
      </c>
    </row>
    <row r="1409">
      <c r="A1409" s="83">
        <v>44708.0</v>
      </c>
      <c r="B1409" s="66">
        <v>2015.0</v>
      </c>
      <c r="C1409" s="66">
        <v>2.0</v>
      </c>
      <c r="D1409" s="66" t="s">
        <v>227</v>
      </c>
      <c r="E1409" s="66">
        <v>0.0</v>
      </c>
      <c r="F1409" s="66">
        <v>0.0623</v>
      </c>
      <c r="G1409" s="66">
        <v>0.0214</v>
      </c>
      <c r="H1409" s="66" t="s">
        <v>276</v>
      </c>
      <c r="I1409" s="82">
        <f t="shared" si="1"/>
        <v>1.911214953</v>
      </c>
      <c r="J1409" s="82">
        <f t="shared" si="2"/>
        <v>0.3434991974</v>
      </c>
    </row>
    <row r="1410">
      <c r="A1410" s="83">
        <v>44708.0</v>
      </c>
      <c r="B1410" s="66">
        <v>2015.0</v>
      </c>
      <c r="C1410" s="66">
        <v>3.0</v>
      </c>
      <c r="D1410" s="66" t="s">
        <v>228</v>
      </c>
      <c r="E1410" s="66">
        <v>0.0</v>
      </c>
      <c r="F1410" s="66">
        <v>0.038</v>
      </c>
      <c r="G1410" s="66">
        <v>0.013</v>
      </c>
      <c r="H1410" s="66" t="s">
        <v>279</v>
      </c>
      <c r="I1410" s="82">
        <f t="shared" si="1"/>
        <v>1.923076923</v>
      </c>
      <c r="J1410" s="82">
        <f t="shared" si="2"/>
        <v>0.3421052632</v>
      </c>
    </row>
    <row r="1411">
      <c r="A1411" s="83">
        <v>44708.0</v>
      </c>
      <c r="B1411" s="66">
        <v>2015.0</v>
      </c>
      <c r="C1411" s="66">
        <v>3.0</v>
      </c>
      <c r="D1411" s="66" t="s">
        <v>227</v>
      </c>
      <c r="E1411" s="66">
        <v>0.0</v>
      </c>
      <c r="F1411" s="66">
        <v>1.6727</v>
      </c>
      <c r="G1411" s="66">
        <v>0.572</v>
      </c>
      <c r="H1411" s="66" t="s">
        <v>276</v>
      </c>
      <c r="I1411" s="82">
        <f t="shared" si="1"/>
        <v>1.924300699</v>
      </c>
      <c r="J1411" s="82">
        <f t="shared" si="2"/>
        <v>0.3419620972</v>
      </c>
    </row>
    <row r="1412">
      <c r="A1412" s="83">
        <v>44708.0</v>
      </c>
      <c r="B1412" s="66">
        <v>2083.0</v>
      </c>
      <c r="C1412" s="66">
        <v>2.0</v>
      </c>
      <c r="D1412" s="66" t="s">
        <v>228</v>
      </c>
      <c r="E1412" s="66">
        <v>0.0</v>
      </c>
      <c r="F1412" s="66">
        <v>0.0382</v>
      </c>
      <c r="G1412" s="66">
        <v>0.013</v>
      </c>
      <c r="H1412" s="66" t="s">
        <v>276</v>
      </c>
      <c r="I1412" s="82">
        <f t="shared" si="1"/>
        <v>1.938461538</v>
      </c>
      <c r="J1412" s="82">
        <f t="shared" si="2"/>
        <v>0.3403141361</v>
      </c>
    </row>
    <row r="1413">
      <c r="A1413" s="83">
        <v>44708.0</v>
      </c>
      <c r="B1413" s="66">
        <v>2085.0</v>
      </c>
      <c r="C1413" s="66">
        <v>1.0</v>
      </c>
      <c r="D1413" s="66" t="s">
        <v>228</v>
      </c>
      <c r="E1413" s="66">
        <v>0.0</v>
      </c>
      <c r="F1413" s="66">
        <v>0.0059</v>
      </c>
      <c r="G1413" s="66">
        <v>0.002</v>
      </c>
      <c r="H1413" s="66" t="s">
        <v>276</v>
      </c>
      <c r="I1413" s="82">
        <f t="shared" si="1"/>
        <v>1.95</v>
      </c>
      <c r="J1413" s="82">
        <f t="shared" si="2"/>
        <v>0.3389830508</v>
      </c>
    </row>
    <row r="1414">
      <c r="A1414" s="83">
        <v>44708.0</v>
      </c>
      <c r="B1414" s="66">
        <v>2085.0</v>
      </c>
      <c r="C1414" s="66">
        <v>1.0</v>
      </c>
      <c r="D1414" s="66" t="s">
        <v>227</v>
      </c>
      <c r="E1414" s="66">
        <v>0.0</v>
      </c>
      <c r="F1414" s="66">
        <v>0.0177</v>
      </c>
      <c r="G1414" s="66">
        <v>0.006</v>
      </c>
      <c r="H1414" s="66" t="s">
        <v>276</v>
      </c>
      <c r="I1414" s="82">
        <f t="shared" si="1"/>
        <v>1.95</v>
      </c>
      <c r="J1414" s="82">
        <f t="shared" si="2"/>
        <v>0.3389830508</v>
      </c>
    </row>
    <row r="1415">
      <c r="A1415" s="83">
        <v>44708.0</v>
      </c>
      <c r="B1415" s="66">
        <v>2085.0</v>
      </c>
      <c r="C1415" s="66">
        <v>2.0</v>
      </c>
      <c r="D1415" s="66" t="s">
        <v>228</v>
      </c>
      <c r="E1415" s="66">
        <v>0.0</v>
      </c>
      <c r="F1415" s="66">
        <v>0.0649</v>
      </c>
      <c r="G1415" s="66">
        <v>0.022</v>
      </c>
      <c r="H1415" s="66" t="s">
        <v>276</v>
      </c>
      <c r="I1415" s="82">
        <f t="shared" si="1"/>
        <v>1.95</v>
      </c>
      <c r="J1415" s="82">
        <f t="shared" si="2"/>
        <v>0.3389830508</v>
      </c>
    </row>
    <row r="1416">
      <c r="A1416" s="83">
        <v>44708.0</v>
      </c>
      <c r="B1416" s="66">
        <v>2085.0</v>
      </c>
      <c r="C1416" s="66">
        <v>2.0</v>
      </c>
      <c r="D1416" s="66" t="s">
        <v>227</v>
      </c>
      <c r="E1416" s="66">
        <v>0.0</v>
      </c>
      <c r="F1416" s="66">
        <v>0.1298</v>
      </c>
      <c r="G1416" s="66">
        <v>0.044</v>
      </c>
      <c r="H1416" s="66" t="s">
        <v>276</v>
      </c>
      <c r="I1416" s="82">
        <f t="shared" si="1"/>
        <v>1.95</v>
      </c>
      <c r="J1416" s="82">
        <f t="shared" si="2"/>
        <v>0.3389830508</v>
      </c>
    </row>
    <row r="1417">
      <c r="A1417" s="83">
        <v>44708.0</v>
      </c>
      <c r="B1417" s="66">
        <v>2085.0</v>
      </c>
      <c r="C1417" s="66">
        <v>3.0</v>
      </c>
      <c r="D1417" s="66" t="s">
        <v>228</v>
      </c>
      <c r="E1417" s="66">
        <v>0.0</v>
      </c>
      <c r="F1417" s="66">
        <v>1.036</v>
      </c>
      <c r="G1417" s="66">
        <v>0.351</v>
      </c>
      <c r="H1417" s="66" t="s">
        <v>279</v>
      </c>
      <c r="I1417" s="82">
        <f t="shared" si="1"/>
        <v>1.951566952</v>
      </c>
      <c r="J1417" s="82">
        <f t="shared" si="2"/>
        <v>0.3388030888</v>
      </c>
    </row>
    <row r="1418">
      <c r="A1418" s="83">
        <v>44708.0</v>
      </c>
      <c r="B1418" s="66">
        <v>2085.0</v>
      </c>
      <c r="C1418" s="66">
        <v>3.0</v>
      </c>
      <c r="D1418" s="66" t="s">
        <v>227</v>
      </c>
      <c r="E1418" s="66">
        <v>0.0</v>
      </c>
      <c r="F1418" s="66">
        <v>0.08</v>
      </c>
      <c r="G1418" s="66">
        <v>0.027</v>
      </c>
      <c r="H1418" s="66" t="s">
        <v>279</v>
      </c>
      <c r="I1418" s="82">
        <f t="shared" si="1"/>
        <v>1.962962963</v>
      </c>
      <c r="J1418" s="82">
        <f t="shared" si="2"/>
        <v>0.3375</v>
      </c>
    </row>
    <row r="1419">
      <c r="A1419" s="83">
        <v>44708.0</v>
      </c>
      <c r="B1419" s="66">
        <v>2086.0</v>
      </c>
      <c r="C1419" s="66">
        <v>1.0</v>
      </c>
      <c r="D1419" s="66" t="s">
        <v>228</v>
      </c>
      <c r="E1419" s="66">
        <v>0.0</v>
      </c>
      <c r="F1419" s="66">
        <v>0.7638</v>
      </c>
      <c r="G1419" s="66">
        <v>0.257</v>
      </c>
      <c r="H1419" s="66" t="s">
        <v>276</v>
      </c>
      <c r="I1419" s="82">
        <f t="shared" si="1"/>
        <v>1.971984436</v>
      </c>
      <c r="J1419" s="82">
        <f t="shared" si="2"/>
        <v>0.3364755172</v>
      </c>
    </row>
    <row r="1420">
      <c r="A1420" s="83">
        <v>44708.0</v>
      </c>
      <c r="B1420" s="66">
        <v>2086.0</v>
      </c>
      <c r="C1420" s="66">
        <v>1.0</v>
      </c>
      <c r="D1420" s="66" t="s">
        <v>227</v>
      </c>
      <c r="E1420" s="66">
        <v>0.0</v>
      </c>
      <c r="F1420" s="66">
        <v>0.0748</v>
      </c>
      <c r="G1420" s="66">
        <v>0.025</v>
      </c>
      <c r="H1420" s="66" t="s">
        <v>276</v>
      </c>
      <c r="I1420" s="82">
        <f t="shared" si="1"/>
        <v>1.992</v>
      </c>
      <c r="J1420" s="82">
        <f t="shared" si="2"/>
        <v>0.3342245989</v>
      </c>
    </row>
    <row r="1421">
      <c r="A1421" s="83">
        <v>44708.0</v>
      </c>
      <c r="B1421" s="66">
        <v>2086.0</v>
      </c>
      <c r="C1421" s="66">
        <v>2.0</v>
      </c>
      <c r="D1421" s="66" t="s">
        <v>228</v>
      </c>
      <c r="E1421" s="66">
        <v>0.0</v>
      </c>
      <c r="F1421" s="66">
        <v>0.1828</v>
      </c>
      <c r="G1421" s="66">
        <v>0.061</v>
      </c>
      <c r="H1421" s="66" t="s">
        <v>276</v>
      </c>
      <c r="I1421" s="82">
        <f t="shared" si="1"/>
        <v>1.996721311</v>
      </c>
      <c r="J1421" s="82">
        <f t="shared" si="2"/>
        <v>0.3336980306</v>
      </c>
    </row>
    <row r="1422">
      <c r="A1422" s="83">
        <v>44708.0</v>
      </c>
      <c r="B1422" s="66">
        <v>2086.0</v>
      </c>
      <c r="C1422" s="66">
        <v>2.0</v>
      </c>
      <c r="D1422" s="66" t="s">
        <v>227</v>
      </c>
      <c r="E1422" s="66">
        <v>0.0</v>
      </c>
      <c r="F1422" s="66">
        <v>0.0582</v>
      </c>
      <c r="G1422" s="66">
        <v>0.0194</v>
      </c>
      <c r="H1422" s="66" t="s">
        <v>276</v>
      </c>
      <c r="I1422" s="82">
        <f t="shared" si="1"/>
        <v>2</v>
      </c>
      <c r="J1422" s="82">
        <f t="shared" si="2"/>
        <v>0.3333333333</v>
      </c>
    </row>
    <row r="1423">
      <c r="A1423" s="83">
        <v>44708.0</v>
      </c>
      <c r="B1423" s="66">
        <v>2086.0</v>
      </c>
      <c r="C1423" s="66">
        <v>3.0</v>
      </c>
      <c r="D1423" s="66" t="s">
        <v>228</v>
      </c>
      <c r="E1423" s="66">
        <v>0.0</v>
      </c>
      <c r="F1423" s="66">
        <v>0.021</v>
      </c>
      <c r="G1423" s="66">
        <v>0.007</v>
      </c>
      <c r="H1423" s="66" t="s">
        <v>279</v>
      </c>
      <c r="I1423" s="82">
        <f t="shared" si="1"/>
        <v>2</v>
      </c>
      <c r="J1423" s="82">
        <f t="shared" si="2"/>
        <v>0.3333333333</v>
      </c>
    </row>
    <row r="1424">
      <c r="A1424" s="83">
        <v>44708.0</v>
      </c>
      <c r="B1424" s="66">
        <v>2086.0</v>
      </c>
      <c r="C1424" s="66">
        <v>3.0</v>
      </c>
      <c r="D1424" s="66" t="s">
        <v>227</v>
      </c>
      <c r="E1424" s="66">
        <v>0.0</v>
      </c>
      <c r="F1424" s="66">
        <v>1.1916</v>
      </c>
      <c r="G1424" s="66">
        <v>0.397</v>
      </c>
      <c r="H1424" s="66" t="s">
        <v>276</v>
      </c>
      <c r="I1424" s="82">
        <f t="shared" si="1"/>
        <v>2.001511335</v>
      </c>
      <c r="J1424" s="82">
        <f t="shared" si="2"/>
        <v>0.3331654918</v>
      </c>
    </row>
    <row r="1425">
      <c r="A1425" s="83">
        <v>44708.0</v>
      </c>
      <c r="B1425" s="66">
        <v>2087.0</v>
      </c>
      <c r="C1425" s="66">
        <v>1.0</v>
      </c>
      <c r="D1425" s="66" t="s">
        <v>228</v>
      </c>
      <c r="E1425" s="66">
        <v>0.0</v>
      </c>
      <c r="F1425" s="66">
        <v>0.0784</v>
      </c>
      <c r="G1425" s="66">
        <v>0.026</v>
      </c>
      <c r="H1425" s="66" t="s">
        <v>276</v>
      </c>
      <c r="I1425" s="82">
        <f t="shared" si="1"/>
        <v>2.015384615</v>
      </c>
      <c r="J1425" s="82">
        <f t="shared" si="2"/>
        <v>0.3316326531</v>
      </c>
    </row>
    <row r="1426">
      <c r="A1426" s="83">
        <v>44708.0</v>
      </c>
      <c r="B1426" s="66">
        <v>2087.0</v>
      </c>
      <c r="C1426" s="66">
        <v>1.0</v>
      </c>
      <c r="D1426" s="66" t="s">
        <v>227</v>
      </c>
      <c r="E1426" s="66">
        <v>0.0</v>
      </c>
      <c r="F1426" s="66">
        <v>0.047</v>
      </c>
      <c r="G1426" s="66">
        <v>0.0155</v>
      </c>
      <c r="H1426" s="66" t="s">
        <v>276</v>
      </c>
      <c r="I1426" s="82">
        <f t="shared" si="1"/>
        <v>2.032258065</v>
      </c>
      <c r="J1426" s="82">
        <f t="shared" si="2"/>
        <v>0.329787234</v>
      </c>
    </row>
    <row r="1427">
      <c r="A1427" s="83">
        <v>44708.0</v>
      </c>
      <c r="B1427" s="66">
        <v>2087.0</v>
      </c>
      <c r="C1427" s="66">
        <v>2.0</v>
      </c>
      <c r="D1427" s="66" t="s">
        <v>228</v>
      </c>
      <c r="E1427" s="66">
        <v>0.0</v>
      </c>
      <c r="F1427" s="66">
        <v>0.8885</v>
      </c>
      <c r="G1427" s="66">
        <v>0.292</v>
      </c>
      <c r="H1427" s="66" t="s">
        <v>276</v>
      </c>
      <c r="I1427" s="82">
        <f t="shared" si="1"/>
        <v>2.042808219</v>
      </c>
      <c r="J1427" s="82">
        <f t="shared" si="2"/>
        <v>0.3286437817</v>
      </c>
    </row>
    <row r="1428">
      <c r="A1428" s="83">
        <v>44708.0</v>
      </c>
      <c r="B1428" s="66">
        <v>2087.0</v>
      </c>
      <c r="C1428" s="66">
        <v>2.0</v>
      </c>
      <c r="D1428" s="66" t="s">
        <v>227</v>
      </c>
      <c r="E1428" s="66">
        <v>0.0</v>
      </c>
      <c r="F1428" s="66">
        <v>0.046</v>
      </c>
      <c r="G1428" s="66">
        <v>0.015</v>
      </c>
      <c r="H1428" s="66" t="s">
        <v>276</v>
      </c>
      <c r="I1428" s="82">
        <f t="shared" si="1"/>
        <v>2.066666667</v>
      </c>
      <c r="J1428" s="82">
        <f t="shared" si="2"/>
        <v>0.3260869565</v>
      </c>
    </row>
    <row r="1429">
      <c r="A1429" s="83">
        <v>44708.0</v>
      </c>
      <c r="B1429" s="66">
        <v>2088.0</v>
      </c>
      <c r="C1429" s="66">
        <v>1.0</v>
      </c>
      <c r="D1429" s="66" t="s">
        <v>228</v>
      </c>
      <c r="E1429" s="66">
        <v>0.0</v>
      </c>
      <c r="F1429" s="66">
        <v>0.077</v>
      </c>
      <c r="G1429" s="66">
        <v>0.025</v>
      </c>
      <c r="H1429" s="66" t="s">
        <v>276</v>
      </c>
      <c r="I1429" s="82">
        <f t="shared" si="1"/>
        <v>2.08</v>
      </c>
      <c r="J1429" s="82">
        <f t="shared" si="2"/>
        <v>0.3246753247</v>
      </c>
    </row>
    <row r="1430">
      <c r="A1430" s="83">
        <v>44708.0</v>
      </c>
      <c r="B1430" s="66">
        <v>2088.0</v>
      </c>
      <c r="C1430" s="66">
        <v>1.0</v>
      </c>
      <c r="D1430" s="66" t="s">
        <v>227</v>
      </c>
      <c r="E1430" s="66">
        <v>0.0</v>
      </c>
      <c r="F1430" s="66">
        <v>0.0565</v>
      </c>
      <c r="G1430" s="66">
        <v>0.0183</v>
      </c>
      <c r="H1430" s="66" t="s">
        <v>276</v>
      </c>
      <c r="I1430" s="82">
        <f t="shared" si="1"/>
        <v>2.087431694</v>
      </c>
      <c r="J1430" s="82">
        <f t="shared" si="2"/>
        <v>0.3238938053</v>
      </c>
    </row>
    <row r="1431">
      <c r="A1431" s="83">
        <v>44708.0</v>
      </c>
      <c r="B1431" s="66">
        <v>2088.0</v>
      </c>
      <c r="C1431" s="66">
        <v>1.0</v>
      </c>
      <c r="D1431" s="66" t="s">
        <v>227</v>
      </c>
      <c r="E1431" s="66">
        <v>1.0</v>
      </c>
      <c r="F1431" s="66">
        <v>0.034</v>
      </c>
      <c r="G1431" s="66">
        <v>0.011</v>
      </c>
      <c r="H1431" s="66" t="s">
        <v>279</v>
      </c>
      <c r="I1431" s="82">
        <f t="shared" si="1"/>
        <v>2.090909091</v>
      </c>
      <c r="J1431" s="82">
        <f t="shared" si="2"/>
        <v>0.3235294118</v>
      </c>
    </row>
    <row r="1432">
      <c r="A1432" s="83">
        <v>44708.0</v>
      </c>
      <c r="B1432" s="66">
        <v>2088.0</v>
      </c>
      <c r="C1432" s="66">
        <v>2.0</v>
      </c>
      <c r="D1432" s="66" t="s">
        <v>227</v>
      </c>
      <c r="E1432" s="66">
        <v>0.0</v>
      </c>
      <c r="F1432" s="66">
        <v>0.118</v>
      </c>
      <c r="G1432" s="66">
        <v>0.038</v>
      </c>
      <c r="H1432" s="66" t="s">
        <v>279</v>
      </c>
      <c r="I1432" s="82">
        <f t="shared" si="1"/>
        <v>2.105263158</v>
      </c>
      <c r="J1432" s="82">
        <f t="shared" si="2"/>
        <v>0.3220338983</v>
      </c>
    </row>
    <row r="1433">
      <c r="A1433" s="83">
        <v>44708.0</v>
      </c>
      <c r="B1433" s="66">
        <v>2088.0</v>
      </c>
      <c r="C1433" s="66">
        <v>2.0</v>
      </c>
      <c r="D1433" s="66" t="s">
        <v>227</v>
      </c>
      <c r="E1433" s="66">
        <v>1.0</v>
      </c>
      <c r="F1433" s="66">
        <v>0.4512</v>
      </c>
      <c r="G1433" s="66">
        <v>0.1451</v>
      </c>
      <c r="H1433" s="66" t="s">
        <v>276</v>
      </c>
      <c r="I1433" s="82">
        <f t="shared" si="1"/>
        <v>2.1095796</v>
      </c>
      <c r="J1433" s="82">
        <f t="shared" si="2"/>
        <v>0.3215868794</v>
      </c>
    </row>
    <row r="1434">
      <c r="A1434" s="83">
        <v>44708.0</v>
      </c>
      <c r="B1434" s="66">
        <v>2088.0</v>
      </c>
      <c r="C1434" s="66">
        <v>3.0</v>
      </c>
      <c r="D1434" s="66" t="s">
        <v>228</v>
      </c>
      <c r="E1434" s="66">
        <v>0.0</v>
      </c>
      <c r="F1434" s="66">
        <v>0.1001</v>
      </c>
      <c r="G1434" s="66">
        <v>0.032</v>
      </c>
      <c r="H1434" s="66" t="s">
        <v>276</v>
      </c>
      <c r="I1434" s="82">
        <f t="shared" si="1"/>
        <v>2.128125</v>
      </c>
      <c r="J1434" s="82">
        <f t="shared" si="2"/>
        <v>0.3196803197</v>
      </c>
    </row>
    <row r="1435">
      <c r="A1435" s="83">
        <v>44708.0</v>
      </c>
      <c r="B1435" s="66">
        <v>2088.0</v>
      </c>
      <c r="C1435" s="66">
        <v>3.0</v>
      </c>
      <c r="D1435" s="66" t="s">
        <v>227</v>
      </c>
      <c r="E1435" s="66">
        <v>0.0</v>
      </c>
      <c r="F1435" s="66">
        <v>0.097</v>
      </c>
      <c r="G1435" s="66">
        <v>0.031</v>
      </c>
      <c r="H1435" s="66" t="s">
        <v>276</v>
      </c>
      <c r="I1435" s="82">
        <f t="shared" si="1"/>
        <v>2.129032258</v>
      </c>
      <c r="J1435" s="82">
        <f t="shared" si="2"/>
        <v>0.3195876289</v>
      </c>
    </row>
    <row r="1436">
      <c r="A1436" s="83">
        <v>44708.0</v>
      </c>
      <c r="B1436" s="66">
        <v>2088.0</v>
      </c>
      <c r="C1436" s="66">
        <v>3.0</v>
      </c>
      <c r="D1436" s="66" t="s">
        <v>227</v>
      </c>
      <c r="E1436" s="66">
        <v>1.0</v>
      </c>
      <c r="F1436" s="66">
        <v>0.1676</v>
      </c>
      <c r="G1436" s="107">
        <v>0.053</v>
      </c>
      <c r="I1436" s="82">
        <f t="shared" si="1"/>
        <v>2.162264151</v>
      </c>
      <c r="J1436" s="82">
        <f t="shared" si="2"/>
        <v>0.3162291169</v>
      </c>
    </row>
    <row r="1437">
      <c r="A1437" s="83">
        <v>44708.0</v>
      </c>
      <c r="B1437" s="66">
        <v>2089.0</v>
      </c>
      <c r="C1437" s="66">
        <v>1.0</v>
      </c>
      <c r="D1437" s="66" t="s">
        <v>228</v>
      </c>
      <c r="E1437" s="66">
        <v>0.0</v>
      </c>
      <c r="F1437" s="66">
        <v>0.038</v>
      </c>
      <c r="G1437" s="66">
        <v>0.012</v>
      </c>
      <c r="H1437" s="66" t="s">
        <v>279</v>
      </c>
      <c r="I1437" s="82">
        <f t="shared" si="1"/>
        <v>2.166666667</v>
      </c>
      <c r="J1437" s="82">
        <f t="shared" si="2"/>
        <v>0.3157894737</v>
      </c>
    </row>
    <row r="1438">
      <c r="A1438" s="83">
        <v>44708.0</v>
      </c>
      <c r="B1438" s="66">
        <v>2089.0</v>
      </c>
      <c r="C1438" s="66">
        <v>1.0</v>
      </c>
      <c r="D1438" s="66" t="s">
        <v>228</v>
      </c>
      <c r="E1438" s="66">
        <v>0.0</v>
      </c>
      <c r="F1438" s="66">
        <v>0.07</v>
      </c>
      <c r="G1438" s="66">
        <v>0.022</v>
      </c>
      <c r="H1438" s="66" t="s">
        <v>279</v>
      </c>
      <c r="I1438" s="82">
        <f t="shared" si="1"/>
        <v>2.181818182</v>
      </c>
      <c r="J1438" s="82">
        <f t="shared" si="2"/>
        <v>0.3142857143</v>
      </c>
    </row>
    <row r="1439">
      <c r="A1439" s="83">
        <v>44708.0</v>
      </c>
      <c r="B1439" s="66">
        <v>2089.0</v>
      </c>
      <c r="C1439" s="66">
        <v>1.0</v>
      </c>
      <c r="D1439" s="66" t="s">
        <v>228</v>
      </c>
      <c r="E1439" s="66">
        <v>1.0</v>
      </c>
      <c r="F1439" s="66">
        <v>0.1625</v>
      </c>
      <c r="G1439" s="66">
        <v>0.051</v>
      </c>
      <c r="H1439" s="66" t="s">
        <v>276</v>
      </c>
      <c r="I1439" s="82">
        <f t="shared" si="1"/>
        <v>2.18627451</v>
      </c>
      <c r="J1439" s="82">
        <f t="shared" si="2"/>
        <v>0.3138461538</v>
      </c>
    </row>
    <row r="1440">
      <c r="A1440" s="83">
        <v>44708.0</v>
      </c>
      <c r="B1440" s="66">
        <v>2089.0</v>
      </c>
      <c r="C1440" s="66">
        <v>1.0</v>
      </c>
      <c r="D1440" s="66" t="s">
        <v>227</v>
      </c>
      <c r="E1440" s="66">
        <v>0.0</v>
      </c>
      <c r="F1440" s="66">
        <v>0.0426</v>
      </c>
      <c r="G1440" s="66">
        <v>0.0133</v>
      </c>
      <c r="H1440" s="66" t="s">
        <v>276</v>
      </c>
      <c r="I1440" s="82">
        <f t="shared" si="1"/>
        <v>2.203007519</v>
      </c>
      <c r="J1440" s="82">
        <f t="shared" si="2"/>
        <v>0.3122065728</v>
      </c>
    </row>
    <row r="1441">
      <c r="A1441" s="83">
        <v>44708.0</v>
      </c>
      <c r="B1441" s="66">
        <v>2089.0</v>
      </c>
      <c r="C1441" s="66">
        <v>1.0</v>
      </c>
      <c r="D1441" s="66" t="s">
        <v>227</v>
      </c>
      <c r="E1441" s="66">
        <v>1.0</v>
      </c>
      <c r="F1441" s="66">
        <v>0.0451</v>
      </c>
      <c r="G1441" s="66">
        <v>0.014</v>
      </c>
      <c r="H1441" s="66" t="s">
        <v>276</v>
      </c>
      <c r="I1441" s="82">
        <f t="shared" si="1"/>
        <v>2.221428571</v>
      </c>
      <c r="J1441" s="82">
        <f t="shared" si="2"/>
        <v>0.310421286</v>
      </c>
    </row>
    <row r="1442">
      <c r="A1442" s="83">
        <v>44708.0</v>
      </c>
      <c r="B1442" s="66">
        <v>2089.0</v>
      </c>
      <c r="C1442" s="66">
        <v>2.0</v>
      </c>
      <c r="D1442" s="66" t="s">
        <v>228</v>
      </c>
      <c r="E1442" s="66">
        <v>1.0</v>
      </c>
      <c r="F1442" s="66">
        <v>0.1228</v>
      </c>
      <c r="G1442" s="66">
        <v>0.038</v>
      </c>
      <c r="H1442" s="66" t="s">
        <v>276</v>
      </c>
      <c r="I1442" s="82">
        <f t="shared" si="1"/>
        <v>2.231578947</v>
      </c>
      <c r="J1442" s="82">
        <f t="shared" si="2"/>
        <v>0.3094462541</v>
      </c>
    </row>
    <row r="1443">
      <c r="A1443" s="83">
        <v>44708.0</v>
      </c>
      <c r="B1443" s="66">
        <v>2089.0</v>
      </c>
      <c r="C1443" s="66">
        <v>2.0</v>
      </c>
      <c r="D1443" s="66" t="s">
        <v>227</v>
      </c>
      <c r="E1443" s="66">
        <v>0.0</v>
      </c>
      <c r="F1443" s="66">
        <v>0.0291</v>
      </c>
      <c r="G1443" s="66">
        <v>0.009</v>
      </c>
      <c r="H1443" s="66" t="s">
        <v>276</v>
      </c>
      <c r="I1443" s="82">
        <f t="shared" si="1"/>
        <v>2.233333333</v>
      </c>
      <c r="J1443" s="82">
        <f t="shared" si="2"/>
        <v>0.3092783505</v>
      </c>
    </row>
    <row r="1444">
      <c r="A1444" s="83">
        <v>44708.0</v>
      </c>
      <c r="B1444" s="66">
        <v>2089.0</v>
      </c>
      <c r="C1444" s="66">
        <v>2.0</v>
      </c>
      <c r="D1444" s="66" t="s">
        <v>227</v>
      </c>
      <c r="E1444" s="66">
        <v>1.0</v>
      </c>
      <c r="F1444" s="66">
        <v>0.1659</v>
      </c>
      <c r="G1444" s="66">
        <v>0.051</v>
      </c>
      <c r="H1444" s="66" t="s">
        <v>276</v>
      </c>
      <c r="I1444" s="82">
        <f t="shared" si="1"/>
        <v>2.252941176</v>
      </c>
      <c r="J1444" s="82">
        <f t="shared" si="2"/>
        <v>0.3074141049</v>
      </c>
    </row>
    <row r="1445">
      <c r="A1445" s="83">
        <v>44708.0</v>
      </c>
      <c r="B1445" s="66">
        <v>2089.0</v>
      </c>
      <c r="C1445" s="66">
        <v>3.0</v>
      </c>
      <c r="D1445" s="66" t="s">
        <v>228</v>
      </c>
      <c r="E1445" s="66">
        <v>0.0</v>
      </c>
      <c r="F1445" s="66">
        <v>0.0457</v>
      </c>
      <c r="G1445" s="66">
        <v>0.014</v>
      </c>
      <c r="H1445" s="66" t="s">
        <v>276</v>
      </c>
      <c r="I1445" s="82">
        <f t="shared" si="1"/>
        <v>2.264285714</v>
      </c>
      <c r="J1445" s="82">
        <f t="shared" si="2"/>
        <v>0.306345733</v>
      </c>
    </row>
    <row r="1446">
      <c r="A1446" s="83">
        <v>44708.0</v>
      </c>
      <c r="B1446" s="66">
        <v>2089.0</v>
      </c>
      <c r="C1446" s="66">
        <v>3.0</v>
      </c>
      <c r="D1446" s="66" t="s">
        <v>228</v>
      </c>
      <c r="E1446" s="66">
        <v>1.0</v>
      </c>
      <c r="F1446" s="66">
        <v>0.0622</v>
      </c>
      <c r="G1446" s="66">
        <v>0.019</v>
      </c>
      <c r="H1446" s="66" t="s">
        <v>276</v>
      </c>
      <c r="I1446" s="82">
        <f t="shared" si="1"/>
        <v>2.273684211</v>
      </c>
      <c r="J1446" s="82">
        <f t="shared" si="2"/>
        <v>0.3054662379</v>
      </c>
    </row>
    <row r="1447">
      <c r="A1447" s="83">
        <v>44708.0</v>
      </c>
      <c r="B1447" s="66">
        <v>2089.0</v>
      </c>
      <c r="C1447" s="66">
        <v>3.0</v>
      </c>
      <c r="D1447" s="66" t="s">
        <v>227</v>
      </c>
      <c r="E1447" s="66">
        <v>0.0</v>
      </c>
      <c r="F1447" s="66">
        <v>0.4425</v>
      </c>
      <c r="G1447" s="66">
        <v>0.133</v>
      </c>
      <c r="H1447" s="66" t="s">
        <v>276</v>
      </c>
      <c r="I1447" s="82">
        <f t="shared" si="1"/>
        <v>2.327067669</v>
      </c>
      <c r="J1447" s="82">
        <f t="shared" si="2"/>
        <v>0.3005649718</v>
      </c>
    </row>
    <row r="1448">
      <c r="A1448" s="83">
        <v>44708.0</v>
      </c>
      <c r="B1448" s="66">
        <v>2089.0</v>
      </c>
      <c r="C1448" s="66">
        <v>3.0</v>
      </c>
      <c r="D1448" s="66" t="s">
        <v>227</v>
      </c>
      <c r="E1448" s="66">
        <v>1.0</v>
      </c>
      <c r="F1448" s="66">
        <v>0.869</v>
      </c>
      <c r="G1448" s="66">
        <v>0.26</v>
      </c>
      <c r="H1448" s="66" t="s">
        <v>279</v>
      </c>
      <c r="I1448" s="82">
        <f t="shared" si="1"/>
        <v>2.342307692</v>
      </c>
      <c r="J1448" s="82">
        <f t="shared" si="2"/>
        <v>0.2991944764</v>
      </c>
    </row>
    <row r="1449">
      <c r="A1449" s="83">
        <v>44708.0</v>
      </c>
      <c r="B1449" s="66">
        <v>2090.0</v>
      </c>
      <c r="C1449" s="66">
        <v>1.0</v>
      </c>
      <c r="D1449" s="66" t="s">
        <v>228</v>
      </c>
      <c r="E1449" s="66">
        <v>0.0</v>
      </c>
      <c r="F1449" s="66">
        <v>0.4871</v>
      </c>
      <c r="G1449" s="66">
        <v>0.145</v>
      </c>
      <c r="H1449" s="66" t="s">
        <v>276</v>
      </c>
      <c r="I1449" s="82">
        <f t="shared" si="1"/>
        <v>2.359310345</v>
      </c>
      <c r="J1449" s="82">
        <f t="shared" si="2"/>
        <v>0.2976801478</v>
      </c>
    </row>
    <row r="1450">
      <c r="A1450" s="83">
        <v>44708.0</v>
      </c>
      <c r="B1450" s="66">
        <v>2090.0</v>
      </c>
      <c r="C1450" s="66">
        <v>1.0</v>
      </c>
      <c r="D1450" s="66" t="s">
        <v>227</v>
      </c>
      <c r="E1450" s="66">
        <v>0.0</v>
      </c>
      <c r="F1450" s="66">
        <v>0.7933</v>
      </c>
      <c r="G1450" s="66">
        <v>0.235</v>
      </c>
      <c r="H1450" s="66" t="s">
        <v>276</v>
      </c>
      <c r="I1450" s="82">
        <f t="shared" si="1"/>
        <v>2.375744681</v>
      </c>
      <c r="J1450" s="82">
        <f t="shared" si="2"/>
        <v>0.2962309341</v>
      </c>
    </row>
    <row r="1451">
      <c r="A1451" s="83">
        <v>44708.0</v>
      </c>
      <c r="B1451" s="66">
        <v>2090.0</v>
      </c>
      <c r="C1451" s="66">
        <v>2.0</v>
      </c>
      <c r="D1451" s="66" t="s">
        <v>228</v>
      </c>
      <c r="E1451" s="66">
        <v>0.0</v>
      </c>
      <c r="F1451" s="66">
        <v>0.115</v>
      </c>
      <c r="G1451" s="66">
        <v>0.034</v>
      </c>
      <c r="H1451" s="66" t="s">
        <v>279</v>
      </c>
      <c r="I1451" s="82">
        <f t="shared" si="1"/>
        <v>2.382352941</v>
      </c>
      <c r="J1451" s="82">
        <f t="shared" si="2"/>
        <v>0.2956521739</v>
      </c>
    </row>
    <row r="1452">
      <c r="A1452" s="83">
        <v>44708.0</v>
      </c>
      <c r="B1452" s="66">
        <v>2090.0</v>
      </c>
      <c r="C1452" s="66">
        <v>2.0</v>
      </c>
      <c r="D1452" s="66" t="s">
        <v>227</v>
      </c>
      <c r="E1452" s="66">
        <v>0.0</v>
      </c>
      <c r="F1452" s="66">
        <v>0.0306</v>
      </c>
      <c r="G1452" s="66">
        <v>0.009</v>
      </c>
      <c r="H1452" s="66" t="s">
        <v>276</v>
      </c>
      <c r="I1452" s="82">
        <f t="shared" si="1"/>
        <v>2.4</v>
      </c>
      <c r="J1452" s="82">
        <f t="shared" si="2"/>
        <v>0.2941176471</v>
      </c>
    </row>
    <row r="1453">
      <c r="A1453" s="83">
        <v>44708.0</v>
      </c>
      <c r="B1453" s="66">
        <v>2090.0</v>
      </c>
      <c r="C1453" s="66">
        <v>3.0</v>
      </c>
      <c r="D1453" s="66" t="s">
        <v>228</v>
      </c>
      <c r="E1453" s="66">
        <v>0.0</v>
      </c>
      <c r="F1453" s="66">
        <v>0.5121</v>
      </c>
      <c r="G1453" s="66">
        <v>0.15</v>
      </c>
      <c r="H1453" s="66" t="s">
        <v>276</v>
      </c>
      <c r="I1453" s="82">
        <f t="shared" si="1"/>
        <v>2.414</v>
      </c>
      <c r="J1453" s="82">
        <f t="shared" si="2"/>
        <v>0.2929115407</v>
      </c>
    </row>
    <row r="1454">
      <c r="A1454" s="83">
        <v>44708.0</v>
      </c>
      <c r="B1454" s="66">
        <v>2090.0</v>
      </c>
      <c r="C1454" s="66">
        <v>3.0</v>
      </c>
      <c r="D1454" s="66" t="s">
        <v>227</v>
      </c>
      <c r="E1454" s="66">
        <v>0.0</v>
      </c>
      <c r="F1454" s="66">
        <v>0.0717</v>
      </c>
      <c r="G1454" s="66">
        <v>0.021</v>
      </c>
      <c r="H1454" s="66" t="s">
        <v>276</v>
      </c>
      <c r="I1454" s="82">
        <f t="shared" si="1"/>
        <v>2.414285714</v>
      </c>
      <c r="J1454" s="82">
        <f t="shared" si="2"/>
        <v>0.2928870293</v>
      </c>
    </row>
    <row r="1455">
      <c r="A1455" s="83">
        <v>44708.0</v>
      </c>
      <c r="B1455" s="66">
        <v>2091.0</v>
      </c>
      <c r="C1455" s="66">
        <v>1.0</v>
      </c>
      <c r="D1455" s="66" t="s">
        <v>228</v>
      </c>
      <c r="E1455" s="66">
        <v>0.0</v>
      </c>
      <c r="F1455" s="66">
        <v>0.4551</v>
      </c>
      <c r="G1455" s="66">
        <v>0.132</v>
      </c>
      <c r="H1455" s="66" t="s">
        <v>276</v>
      </c>
      <c r="I1455" s="82">
        <f t="shared" si="1"/>
        <v>2.447727273</v>
      </c>
      <c r="J1455" s="82">
        <f t="shared" si="2"/>
        <v>0.2900461437</v>
      </c>
    </row>
    <row r="1456">
      <c r="A1456" s="83">
        <v>44708.0</v>
      </c>
      <c r="B1456" s="66">
        <v>2091.0</v>
      </c>
      <c r="C1456" s="66">
        <v>1.0</v>
      </c>
      <c r="D1456" s="66" t="s">
        <v>228</v>
      </c>
      <c r="E1456" s="66">
        <v>1.0</v>
      </c>
      <c r="F1456" s="66">
        <v>0.0968</v>
      </c>
      <c r="G1456" s="66">
        <v>0.028</v>
      </c>
      <c r="H1456" s="66" t="s">
        <v>276</v>
      </c>
      <c r="I1456" s="82">
        <f t="shared" si="1"/>
        <v>2.457142857</v>
      </c>
      <c r="J1456" s="82">
        <f t="shared" si="2"/>
        <v>0.2892561983</v>
      </c>
    </row>
    <row r="1457">
      <c r="A1457" s="83">
        <v>44708.0</v>
      </c>
      <c r="B1457" s="66">
        <v>2091.0</v>
      </c>
      <c r="C1457" s="66">
        <v>1.0</v>
      </c>
      <c r="D1457" s="66" t="s">
        <v>227</v>
      </c>
      <c r="E1457" s="66">
        <v>0.0</v>
      </c>
      <c r="F1457" s="66">
        <v>0.8268</v>
      </c>
      <c r="G1457" s="66">
        <v>0.236</v>
      </c>
      <c r="H1457" s="66" t="s">
        <v>276</v>
      </c>
      <c r="I1457" s="82">
        <f t="shared" si="1"/>
        <v>2.503389831</v>
      </c>
      <c r="J1457" s="82">
        <f t="shared" si="2"/>
        <v>0.2854378326</v>
      </c>
    </row>
    <row r="1458">
      <c r="A1458" s="83">
        <v>44708.0</v>
      </c>
      <c r="B1458" s="66">
        <v>2091.0</v>
      </c>
      <c r="C1458" s="66">
        <v>1.0</v>
      </c>
      <c r="D1458" s="66" t="s">
        <v>227</v>
      </c>
      <c r="E1458" s="66">
        <v>1.0</v>
      </c>
      <c r="F1458" s="66">
        <v>0.827</v>
      </c>
      <c r="G1458" s="66">
        <v>0.235</v>
      </c>
      <c r="H1458" s="66" t="s">
        <v>279</v>
      </c>
      <c r="I1458" s="82">
        <f t="shared" si="1"/>
        <v>2.519148936</v>
      </c>
      <c r="J1458" s="82">
        <f t="shared" si="2"/>
        <v>0.2841596131</v>
      </c>
    </row>
    <row r="1459">
      <c r="A1459" s="83">
        <v>44708.0</v>
      </c>
      <c r="B1459" s="66">
        <v>2091.0</v>
      </c>
      <c r="C1459" s="66">
        <v>2.0</v>
      </c>
      <c r="D1459" s="66" t="s">
        <v>228</v>
      </c>
      <c r="E1459" s="66">
        <v>0.0</v>
      </c>
      <c r="F1459" s="66">
        <v>0.2022</v>
      </c>
      <c r="G1459" s="66">
        <v>0.057</v>
      </c>
      <c r="H1459" s="66" t="s">
        <v>276</v>
      </c>
      <c r="I1459" s="82">
        <f t="shared" si="1"/>
        <v>2.547368421</v>
      </c>
      <c r="J1459" s="82">
        <f t="shared" si="2"/>
        <v>0.2818991098</v>
      </c>
    </row>
    <row r="1460">
      <c r="A1460" s="83">
        <v>44708.0</v>
      </c>
      <c r="B1460" s="66">
        <v>2091.0</v>
      </c>
      <c r="C1460" s="66">
        <v>2.0</v>
      </c>
      <c r="D1460" s="66" t="s">
        <v>228</v>
      </c>
      <c r="E1460" s="66">
        <v>1.0</v>
      </c>
      <c r="F1460" s="66">
        <v>1.3643</v>
      </c>
      <c r="G1460" s="66">
        <v>0.381</v>
      </c>
      <c r="H1460" s="66" t="s">
        <v>276</v>
      </c>
      <c r="I1460" s="82">
        <f t="shared" si="1"/>
        <v>2.580839895</v>
      </c>
      <c r="J1460" s="82">
        <f t="shared" si="2"/>
        <v>0.2792640915</v>
      </c>
    </row>
    <row r="1461">
      <c r="A1461" s="83">
        <v>44708.0</v>
      </c>
      <c r="B1461" s="66">
        <v>2091.0</v>
      </c>
      <c r="C1461" s="66">
        <v>2.0</v>
      </c>
      <c r="D1461" s="66" t="s">
        <v>227</v>
      </c>
      <c r="E1461" s="66">
        <v>0.0</v>
      </c>
      <c r="F1461" s="66">
        <v>0.0681</v>
      </c>
      <c r="G1461" s="66">
        <v>0.019</v>
      </c>
      <c r="H1461" s="66" t="s">
        <v>276</v>
      </c>
      <c r="I1461" s="82">
        <f t="shared" si="1"/>
        <v>2.584210526</v>
      </c>
      <c r="J1461" s="82">
        <f t="shared" si="2"/>
        <v>0.2790014684</v>
      </c>
    </row>
    <row r="1462">
      <c r="A1462" s="83">
        <v>44708.0</v>
      </c>
      <c r="B1462" s="66">
        <v>2091.0</v>
      </c>
      <c r="C1462" s="66">
        <v>2.0</v>
      </c>
      <c r="D1462" s="66" t="s">
        <v>227</v>
      </c>
      <c r="E1462" s="66">
        <v>1.0</v>
      </c>
      <c r="F1462" s="66">
        <v>0.0503</v>
      </c>
      <c r="G1462" s="66">
        <v>0.014</v>
      </c>
      <c r="H1462" s="66" t="s">
        <v>276</v>
      </c>
      <c r="I1462" s="82">
        <f t="shared" si="1"/>
        <v>2.592857143</v>
      </c>
      <c r="J1462" s="82">
        <f t="shared" si="2"/>
        <v>0.2783300199</v>
      </c>
    </row>
    <row r="1463">
      <c r="A1463" s="83">
        <v>44708.0</v>
      </c>
      <c r="B1463" s="66">
        <v>2091.0</v>
      </c>
      <c r="C1463" s="66">
        <v>3.0</v>
      </c>
      <c r="D1463" s="66" t="s">
        <v>228</v>
      </c>
      <c r="E1463" s="66">
        <v>0.0</v>
      </c>
      <c r="F1463" s="66">
        <v>0.3183</v>
      </c>
      <c r="G1463" s="66">
        <v>0.088</v>
      </c>
      <c r="H1463" s="66" t="s">
        <v>276</v>
      </c>
      <c r="I1463" s="82">
        <f t="shared" si="1"/>
        <v>2.617045455</v>
      </c>
      <c r="J1463" s="82">
        <f t="shared" si="2"/>
        <v>0.2764687402</v>
      </c>
    </row>
    <row r="1464">
      <c r="A1464" s="83">
        <v>44708.0</v>
      </c>
      <c r="B1464" s="66">
        <v>2091.0</v>
      </c>
      <c r="C1464" s="66">
        <v>3.0</v>
      </c>
      <c r="D1464" s="66" t="s">
        <v>228</v>
      </c>
      <c r="E1464" s="66">
        <v>1.0</v>
      </c>
      <c r="F1464" s="66">
        <v>1.5595</v>
      </c>
      <c r="G1464" s="66">
        <v>0.424</v>
      </c>
      <c r="H1464" s="66" t="s">
        <v>276</v>
      </c>
      <c r="I1464" s="82">
        <f t="shared" si="1"/>
        <v>2.678066038</v>
      </c>
      <c r="J1464" s="82">
        <f t="shared" si="2"/>
        <v>0.2718820135</v>
      </c>
    </row>
    <row r="1465">
      <c r="A1465" s="83">
        <v>44708.0</v>
      </c>
      <c r="B1465" s="66">
        <v>2091.0</v>
      </c>
      <c r="C1465" s="66">
        <v>3.0</v>
      </c>
      <c r="D1465" s="66" t="s">
        <v>227</v>
      </c>
      <c r="E1465" s="66">
        <v>0.0</v>
      </c>
      <c r="F1465" s="66">
        <v>0.192</v>
      </c>
      <c r="G1465" s="66">
        <v>0.052</v>
      </c>
      <c r="H1465" s="66" t="s">
        <v>276</v>
      </c>
      <c r="I1465" s="82">
        <f t="shared" si="1"/>
        <v>2.692307692</v>
      </c>
      <c r="J1465" s="82">
        <f t="shared" si="2"/>
        <v>0.2708333333</v>
      </c>
    </row>
    <row r="1466">
      <c r="A1466" s="83">
        <v>44708.0</v>
      </c>
      <c r="B1466" s="66">
        <v>2091.0</v>
      </c>
      <c r="C1466" s="66">
        <v>3.0</v>
      </c>
      <c r="D1466" s="66" t="s">
        <v>227</v>
      </c>
      <c r="E1466" s="66">
        <v>1.0</v>
      </c>
      <c r="F1466" s="66">
        <v>0.7536</v>
      </c>
      <c r="G1466" s="66">
        <v>0.203</v>
      </c>
      <c r="H1466" s="66" t="s">
        <v>276</v>
      </c>
      <c r="I1466" s="82">
        <f t="shared" si="1"/>
        <v>2.712315271</v>
      </c>
      <c r="J1466" s="82">
        <f t="shared" si="2"/>
        <v>0.269373673</v>
      </c>
    </row>
    <row r="1467">
      <c r="A1467" s="83">
        <v>44708.0</v>
      </c>
      <c r="B1467" s="66">
        <v>2092.0</v>
      </c>
      <c r="C1467" s="66">
        <v>1.0</v>
      </c>
      <c r="D1467" s="66" t="s">
        <v>228</v>
      </c>
      <c r="E1467" s="66">
        <v>1.0</v>
      </c>
      <c r="F1467" s="66">
        <v>0.0268</v>
      </c>
      <c r="G1467" s="66">
        <v>0.007</v>
      </c>
      <c r="H1467" s="66" t="s">
        <v>276</v>
      </c>
      <c r="I1467" s="82">
        <f t="shared" si="1"/>
        <v>2.828571429</v>
      </c>
      <c r="J1467" s="82">
        <f t="shared" si="2"/>
        <v>0.2611940299</v>
      </c>
    </row>
    <row r="1468">
      <c r="A1468" s="83">
        <v>44708.0</v>
      </c>
      <c r="B1468" s="66">
        <v>2092.0</v>
      </c>
      <c r="C1468" s="66">
        <v>1.0</v>
      </c>
      <c r="D1468" s="66" t="s">
        <v>227</v>
      </c>
      <c r="E1468" s="66">
        <v>1.0</v>
      </c>
      <c r="F1468" s="66">
        <v>0.0234</v>
      </c>
      <c r="G1468" s="66">
        <v>0.006</v>
      </c>
      <c r="H1468" s="66" t="s">
        <v>276</v>
      </c>
      <c r="I1468" s="82">
        <f t="shared" si="1"/>
        <v>2.9</v>
      </c>
      <c r="J1468" s="82">
        <f t="shared" si="2"/>
        <v>0.2564102564</v>
      </c>
    </row>
    <row r="1469">
      <c r="A1469" s="83">
        <v>44708.0</v>
      </c>
      <c r="B1469" s="66">
        <v>2092.0</v>
      </c>
      <c r="C1469" s="66">
        <v>2.0</v>
      </c>
      <c r="D1469" s="66" t="s">
        <v>228</v>
      </c>
      <c r="E1469" s="66">
        <v>0.0</v>
      </c>
      <c r="F1469" s="66">
        <v>0.2194</v>
      </c>
      <c r="G1469" s="66">
        <v>0.0535</v>
      </c>
      <c r="H1469" s="66" t="s">
        <v>276</v>
      </c>
      <c r="I1469" s="82">
        <f t="shared" si="1"/>
        <v>3.100934579</v>
      </c>
      <c r="J1469" s="82">
        <f t="shared" si="2"/>
        <v>0.2438468551</v>
      </c>
    </row>
    <row r="1470">
      <c r="A1470" s="83">
        <v>44708.0</v>
      </c>
      <c r="B1470" s="66">
        <v>2092.0</v>
      </c>
      <c r="C1470" s="66">
        <v>2.0</v>
      </c>
      <c r="D1470" s="66" t="s">
        <v>228</v>
      </c>
      <c r="E1470" s="66">
        <v>1.0</v>
      </c>
      <c r="F1470" s="66">
        <v>0.6005</v>
      </c>
      <c r="G1470" s="66">
        <v>0.144</v>
      </c>
      <c r="I1470" s="82">
        <f t="shared" si="1"/>
        <v>3.170138889</v>
      </c>
      <c r="J1470" s="82">
        <f t="shared" si="2"/>
        <v>0.2398001665</v>
      </c>
    </row>
    <row r="1471">
      <c r="A1471" s="83">
        <v>44708.0</v>
      </c>
      <c r="B1471" s="66">
        <v>2092.0</v>
      </c>
      <c r="C1471" s="66">
        <v>2.0</v>
      </c>
      <c r="D1471" s="66" t="s">
        <v>227</v>
      </c>
      <c r="E1471" s="66">
        <v>0.0</v>
      </c>
      <c r="F1471" s="66">
        <v>0.0588</v>
      </c>
      <c r="G1471" s="66">
        <v>0.014</v>
      </c>
      <c r="H1471" s="66" t="s">
        <v>276</v>
      </c>
      <c r="I1471" s="82">
        <f t="shared" si="1"/>
        <v>3.2</v>
      </c>
      <c r="J1471" s="82">
        <f t="shared" si="2"/>
        <v>0.2380952381</v>
      </c>
    </row>
    <row r="1472">
      <c r="A1472" s="83">
        <v>44708.0</v>
      </c>
      <c r="B1472" s="66">
        <v>2092.0</v>
      </c>
      <c r="C1472" s="66">
        <v>2.0</v>
      </c>
      <c r="D1472" s="66" t="s">
        <v>227</v>
      </c>
      <c r="E1472" s="66">
        <v>1.0</v>
      </c>
      <c r="F1472" s="66">
        <v>0.3409</v>
      </c>
      <c r="G1472" s="66">
        <v>0.0777</v>
      </c>
      <c r="I1472" s="82">
        <f t="shared" si="1"/>
        <v>3.387387387</v>
      </c>
      <c r="J1472" s="82">
        <f t="shared" si="2"/>
        <v>0.227926078</v>
      </c>
    </row>
    <row r="1473">
      <c r="A1473" s="83">
        <v>44708.0</v>
      </c>
      <c r="B1473" s="66">
        <v>2092.0</v>
      </c>
      <c r="C1473" s="66">
        <v>3.0</v>
      </c>
      <c r="D1473" s="66" t="s">
        <v>228</v>
      </c>
      <c r="E1473" s="66">
        <v>0.0</v>
      </c>
      <c r="F1473" s="66">
        <v>0.0878</v>
      </c>
      <c r="G1473" s="107">
        <v>0.02</v>
      </c>
      <c r="I1473" s="82">
        <f t="shared" si="1"/>
        <v>3.39</v>
      </c>
      <c r="J1473" s="82">
        <f t="shared" si="2"/>
        <v>0.2277904328</v>
      </c>
    </row>
    <row r="1474">
      <c r="A1474" s="83">
        <v>44708.0</v>
      </c>
      <c r="B1474" s="66">
        <v>2092.0</v>
      </c>
      <c r="C1474" s="66">
        <v>3.0</v>
      </c>
      <c r="D1474" s="66" t="s">
        <v>228</v>
      </c>
      <c r="E1474" s="66">
        <v>1.0</v>
      </c>
      <c r="F1474" s="66">
        <v>0.4056</v>
      </c>
      <c r="G1474" s="66">
        <v>0.083</v>
      </c>
      <c r="I1474" s="82">
        <f t="shared" si="1"/>
        <v>3.886746988</v>
      </c>
      <c r="J1474" s="82">
        <f t="shared" si="2"/>
        <v>0.2046351085</v>
      </c>
    </row>
    <row r="1475">
      <c r="A1475" s="83">
        <v>44708.0</v>
      </c>
      <c r="B1475" s="66">
        <v>2092.0</v>
      </c>
      <c r="C1475" s="66">
        <v>3.0</v>
      </c>
      <c r="D1475" s="66" t="s">
        <v>227</v>
      </c>
      <c r="E1475" s="66">
        <v>0.0</v>
      </c>
      <c r="F1475" s="66">
        <v>2.9333</v>
      </c>
      <c r="G1475" s="66">
        <v>0.488</v>
      </c>
      <c r="I1475" s="82">
        <f t="shared" si="1"/>
        <v>5.010860656</v>
      </c>
      <c r="J1475" s="82">
        <f t="shared" si="2"/>
        <v>0.1663655269</v>
      </c>
    </row>
    <row r="1476">
      <c r="A1476" s="83">
        <v>44708.0</v>
      </c>
      <c r="B1476" s="66">
        <v>2092.0</v>
      </c>
      <c r="C1476" s="66">
        <v>3.0</v>
      </c>
      <c r="D1476" s="66" t="s">
        <v>227</v>
      </c>
      <c r="E1476" s="66">
        <v>1.0</v>
      </c>
      <c r="F1476" s="66">
        <v>0.2943</v>
      </c>
      <c r="G1476" s="66">
        <v>0.0489</v>
      </c>
      <c r="I1476" s="82">
        <f t="shared" si="1"/>
        <v>5.018404908</v>
      </c>
      <c r="J1476" s="82">
        <f t="shared" si="2"/>
        <v>0.1661569827</v>
      </c>
    </row>
    <row r="1477">
      <c r="A1477" s="83">
        <v>44708.0</v>
      </c>
      <c r="B1477" s="66">
        <v>2093.0</v>
      </c>
      <c r="C1477" s="66">
        <v>1.0</v>
      </c>
      <c r="D1477" s="66" t="s">
        <v>228</v>
      </c>
      <c r="E1477" s="66">
        <v>1.0</v>
      </c>
      <c r="F1477" s="66">
        <v>1.0377</v>
      </c>
      <c r="G1477" s="66">
        <v>0.154</v>
      </c>
      <c r="I1477" s="82">
        <f t="shared" si="1"/>
        <v>5.738311688</v>
      </c>
      <c r="J1477" s="82">
        <f t="shared" si="2"/>
        <v>0.1484051267</v>
      </c>
    </row>
    <row r="1478">
      <c r="A1478" s="83">
        <v>44708.0</v>
      </c>
      <c r="B1478" s="66">
        <v>2093.0</v>
      </c>
      <c r="C1478" s="66">
        <v>1.0</v>
      </c>
      <c r="D1478" s="66" t="s">
        <v>227</v>
      </c>
      <c r="E1478" s="66">
        <v>1.0</v>
      </c>
      <c r="F1478" s="66">
        <v>0.1051</v>
      </c>
      <c r="G1478" s="66">
        <v>0.0131</v>
      </c>
      <c r="H1478" s="66" t="s">
        <v>276</v>
      </c>
      <c r="I1478" s="82">
        <f t="shared" si="1"/>
        <v>7.022900763</v>
      </c>
      <c r="J1478" s="82">
        <f t="shared" si="2"/>
        <v>0.124643197</v>
      </c>
    </row>
    <row r="1479">
      <c r="A1479" s="83">
        <v>44708.0</v>
      </c>
      <c r="B1479" s="66">
        <v>2093.0</v>
      </c>
      <c r="C1479" s="66">
        <v>2.0</v>
      </c>
      <c r="D1479" s="66" t="s">
        <v>228</v>
      </c>
      <c r="E1479" s="66">
        <v>0.0</v>
      </c>
      <c r="F1479" s="66">
        <v>2.6386</v>
      </c>
      <c r="G1479" s="66">
        <v>0.224</v>
      </c>
      <c r="I1479" s="82">
        <f t="shared" si="1"/>
        <v>10.77946429</v>
      </c>
      <c r="J1479" s="82">
        <f t="shared" si="2"/>
        <v>0.08489350413</v>
      </c>
    </row>
    <row r="1480">
      <c r="A1480" s="83">
        <v>44708.0</v>
      </c>
      <c r="B1480" s="66">
        <v>2093.0</v>
      </c>
      <c r="C1480" s="66">
        <v>2.0</v>
      </c>
      <c r="D1480" s="66" t="s">
        <v>227</v>
      </c>
      <c r="E1480" s="66">
        <v>0.0</v>
      </c>
      <c r="F1480" s="66">
        <v>0.9931</v>
      </c>
      <c r="G1480" s="66">
        <v>0.0506</v>
      </c>
      <c r="H1480" s="66" t="s">
        <v>277</v>
      </c>
      <c r="I1480" s="82">
        <f t="shared" si="1"/>
        <v>18.62648221</v>
      </c>
      <c r="J1480" s="82">
        <f t="shared" si="2"/>
        <v>0.0509515658</v>
      </c>
    </row>
    <row r="1481">
      <c r="A1481" s="83">
        <v>44708.0</v>
      </c>
      <c r="B1481" s="66">
        <v>2093.0</v>
      </c>
      <c r="C1481" s="66">
        <v>2.0</v>
      </c>
      <c r="D1481" s="66" t="s">
        <v>227</v>
      </c>
      <c r="E1481" s="66">
        <v>1.0</v>
      </c>
      <c r="F1481" s="66">
        <v>0.2051</v>
      </c>
      <c r="G1481" s="66">
        <v>0.0093</v>
      </c>
      <c r="H1481" s="66" t="s">
        <v>277</v>
      </c>
      <c r="I1481" s="82">
        <f t="shared" si="1"/>
        <v>21.05376344</v>
      </c>
      <c r="J1481" s="82">
        <f t="shared" si="2"/>
        <v>0.04534373476</v>
      </c>
    </row>
    <row r="1482">
      <c r="A1482" s="83">
        <v>44708.0</v>
      </c>
      <c r="B1482" s="66">
        <v>2093.0</v>
      </c>
      <c r="C1482" s="66">
        <v>3.0</v>
      </c>
      <c r="D1482" s="66" t="s">
        <v>228</v>
      </c>
      <c r="E1482" s="66">
        <v>0.0</v>
      </c>
      <c r="F1482" s="66">
        <v>2.6175</v>
      </c>
      <c r="G1482" s="66">
        <v>0.1102</v>
      </c>
      <c r="H1482" s="66" t="s">
        <v>276</v>
      </c>
      <c r="I1482" s="82">
        <f t="shared" si="1"/>
        <v>22.7522686</v>
      </c>
      <c r="J1482" s="82">
        <f t="shared" si="2"/>
        <v>0.04210124164</v>
      </c>
    </row>
    <row r="1483">
      <c r="A1483" s="83">
        <v>44708.0</v>
      </c>
      <c r="B1483" s="66">
        <v>2093.0</v>
      </c>
      <c r="C1483" s="66">
        <v>3.0</v>
      </c>
      <c r="D1483" s="66" t="s">
        <v>228</v>
      </c>
      <c r="E1483" s="66">
        <v>1.0</v>
      </c>
      <c r="F1483" s="66">
        <v>0.6644</v>
      </c>
      <c r="G1483" s="66">
        <v>0.0257</v>
      </c>
      <c r="H1483" s="66" t="s">
        <v>276</v>
      </c>
      <c r="I1483" s="82">
        <f t="shared" si="1"/>
        <v>24.85214008</v>
      </c>
      <c r="J1483" s="82">
        <f t="shared" si="2"/>
        <v>0.03868151716</v>
      </c>
    </row>
    <row r="1484">
      <c r="A1484" s="83">
        <v>44708.0</v>
      </c>
      <c r="B1484" s="66">
        <v>2093.0</v>
      </c>
      <c r="C1484" s="66">
        <v>3.0</v>
      </c>
      <c r="D1484" s="66" t="s">
        <v>228</v>
      </c>
      <c r="E1484" s="66">
        <v>1.0</v>
      </c>
      <c r="F1484" s="66">
        <v>2.6455</v>
      </c>
      <c r="G1484" s="66">
        <v>0.095</v>
      </c>
      <c r="I1484" s="82">
        <f t="shared" si="1"/>
        <v>26.84736842</v>
      </c>
      <c r="J1484" s="82">
        <f t="shared" si="2"/>
        <v>0.03591003591</v>
      </c>
    </row>
    <row r="1485">
      <c r="A1485" s="83">
        <v>44708.0</v>
      </c>
      <c r="B1485" s="66">
        <v>2093.0</v>
      </c>
      <c r="C1485" s="66">
        <v>3.0</v>
      </c>
      <c r="D1485" s="66" t="s">
        <v>227</v>
      </c>
      <c r="E1485" s="66">
        <v>0.0</v>
      </c>
      <c r="F1485" s="66" t="s">
        <v>58</v>
      </c>
      <c r="G1485" s="66">
        <v>1.94</v>
      </c>
      <c r="H1485" s="66" t="s">
        <v>278</v>
      </c>
      <c r="I1485" s="82" t="str">
        <f t="shared" si="1"/>
        <v>#VALUE!</v>
      </c>
      <c r="J1485" s="82" t="str">
        <f t="shared" si="2"/>
        <v>#VALUE!</v>
      </c>
    </row>
    <row r="1486">
      <c r="A1486" s="83">
        <v>44708.0</v>
      </c>
      <c r="B1486" s="66">
        <v>2093.0</v>
      </c>
      <c r="C1486" s="66">
        <v>3.0</v>
      </c>
      <c r="D1486" s="66" t="s">
        <v>227</v>
      </c>
      <c r="E1486" s="66">
        <v>1.0</v>
      </c>
      <c r="F1486" s="66" t="s">
        <v>58</v>
      </c>
      <c r="G1486" s="66">
        <v>0.028</v>
      </c>
      <c r="H1486" s="66" t="s">
        <v>276</v>
      </c>
      <c r="I1486" s="82" t="str">
        <f t="shared" si="1"/>
        <v>#VALUE!</v>
      </c>
      <c r="J1486" s="82" t="str">
        <f t="shared" si="2"/>
        <v>#VALUE!</v>
      </c>
    </row>
    <row r="1487">
      <c r="A1487" s="83">
        <v>44769.0</v>
      </c>
      <c r="B1487" s="66">
        <v>2380.0</v>
      </c>
      <c r="C1487" s="66">
        <v>1.0</v>
      </c>
      <c r="D1487" s="66" t="s">
        <v>228</v>
      </c>
      <c r="E1487" s="66">
        <v>1.0</v>
      </c>
      <c r="F1487" s="66">
        <v>0.591</v>
      </c>
      <c r="G1487" s="66">
        <v>0.378</v>
      </c>
    </row>
    <row r="1488">
      <c r="A1488" s="83">
        <v>44770.0</v>
      </c>
      <c r="B1488" s="66">
        <v>2380.0</v>
      </c>
      <c r="C1488" s="66">
        <v>1.0</v>
      </c>
      <c r="D1488" s="66" t="s">
        <v>227</v>
      </c>
      <c r="E1488" s="66">
        <v>1.0</v>
      </c>
      <c r="F1488" s="66">
        <v>0.386</v>
      </c>
      <c r="G1488" s="66">
        <v>0.23</v>
      </c>
    </row>
    <row r="1489">
      <c r="A1489" s="83">
        <v>44816.0</v>
      </c>
      <c r="B1489" s="66">
        <v>2030.0</v>
      </c>
      <c r="C1489" s="66">
        <v>1.0</v>
      </c>
      <c r="D1489" s="66" t="s">
        <v>227</v>
      </c>
      <c r="E1489" s="66">
        <v>1.0</v>
      </c>
      <c r="F1489" s="66">
        <v>0.3415</v>
      </c>
      <c r="G1489" s="66">
        <v>0.1742</v>
      </c>
      <c r="I1489" s="82">
        <f t="shared" ref="I1489:I1491" si="3">(F1489-G1489)/G1489</f>
        <v>0.9603903559</v>
      </c>
      <c r="J1489" s="82">
        <f t="shared" ref="J1489:J1731" si="4">G1489/F1489</f>
        <v>0.510102489</v>
      </c>
    </row>
    <row r="1490">
      <c r="A1490" s="83">
        <v>44816.0</v>
      </c>
      <c r="B1490" s="66">
        <v>2030.0</v>
      </c>
      <c r="C1490" s="66">
        <v>3.0</v>
      </c>
      <c r="D1490" s="66" t="s">
        <v>227</v>
      </c>
      <c r="E1490" s="66">
        <v>1.0</v>
      </c>
      <c r="F1490" s="66">
        <v>0.094</v>
      </c>
      <c r="G1490" s="66">
        <v>0.0469</v>
      </c>
      <c r="I1490" s="82">
        <f t="shared" si="3"/>
        <v>1.004264392</v>
      </c>
      <c r="J1490" s="82">
        <f t="shared" si="4"/>
        <v>0.4989361702</v>
      </c>
    </row>
    <row r="1491">
      <c r="A1491" s="83">
        <v>44816.0</v>
      </c>
      <c r="B1491" s="66">
        <v>2030.0</v>
      </c>
      <c r="C1491" s="66">
        <v>3.0</v>
      </c>
      <c r="D1491" s="66" t="s">
        <v>228</v>
      </c>
      <c r="E1491" s="66">
        <v>1.0</v>
      </c>
      <c r="F1491" s="66">
        <v>0.5632</v>
      </c>
      <c r="G1491" s="66">
        <v>0.33</v>
      </c>
      <c r="I1491" s="82">
        <f t="shared" si="3"/>
        <v>0.7066666667</v>
      </c>
      <c r="J1491" s="82">
        <f t="shared" si="4"/>
        <v>0.5859375</v>
      </c>
    </row>
    <row r="1492">
      <c r="A1492" s="83">
        <v>44816.0</v>
      </c>
      <c r="B1492" s="66">
        <v>2010.0</v>
      </c>
      <c r="C1492" s="66">
        <v>3.0</v>
      </c>
      <c r="D1492" s="66" t="s">
        <v>228</v>
      </c>
      <c r="E1492" s="66">
        <v>0.0</v>
      </c>
      <c r="F1492" s="66">
        <v>0.7274</v>
      </c>
      <c r="G1492" s="66">
        <v>0.3826</v>
      </c>
      <c r="I1492" s="82">
        <f t="shared" ref="I1492:I1500" si="5">((F1492-G1492)/G1492)</f>
        <v>0.9012023001</v>
      </c>
      <c r="J1492" s="82">
        <f t="shared" si="4"/>
        <v>0.525982953</v>
      </c>
    </row>
    <row r="1493">
      <c r="A1493" s="83">
        <v>44816.0</v>
      </c>
      <c r="B1493" s="66">
        <v>2010.0</v>
      </c>
      <c r="C1493" s="66">
        <v>2.0</v>
      </c>
      <c r="D1493" s="66" t="s">
        <v>228</v>
      </c>
      <c r="E1493" s="66">
        <v>0.0</v>
      </c>
      <c r="F1493" s="66">
        <v>0.8191</v>
      </c>
      <c r="G1493" s="66">
        <v>0.4187</v>
      </c>
      <c r="I1493" s="82">
        <f t="shared" si="5"/>
        <v>0.9562932888</v>
      </c>
      <c r="J1493" s="82">
        <f t="shared" si="4"/>
        <v>0.5111707972</v>
      </c>
    </row>
    <row r="1494">
      <c r="A1494" s="83">
        <v>44816.0</v>
      </c>
      <c r="B1494" s="66">
        <v>2028.0</v>
      </c>
      <c r="C1494" s="66">
        <v>2.0</v>
      </c>
      <c r="D1494" s="66" t="s">
        <v>228</v>
      </c>
      <c r="E1494" s="66">
        <v>0.0</v>
      </c>
      <c r="F1494" s="66">
        <v>0.1719</v>
      </c>
      <c r="G1494" s="66">
        <v>0.105</v>
      </c>
      <c r="I1494" s="82">
        <f t="shared" si="5"/>
        <v>0.6371428571</v>
      </c>
      <c r="J1494" s="82">
        <f t="shared" si="4"/>
        <v>0.6108202443</v>
      </c>
    </row>
    <row r="1495">
      <c r="A1495" s="83">
        <v>44816.0</v>
      </c>
      <c r="B1495" s="66">
        <v>2028.0</v>
      </c>
      <c r="C1495" s="66">
        <v>1.0</v>
      </c>
      <c r="D1495" s="66" t="s">
        <v>227</v>
      </c>
      <c r="E1495" s="66">
        <v>1.0</v>
      </c>
      <c r="F1495" s="66">
        <v>0.5752</v>
      </c>
      <c r="G1495" s="66">
        <v>0.3514</v>
      </c>
      <c r="I1495" s="82">
        <f t="shared" si="5"/>
        <v>0.6368810472</v>
      </c>
      <c r="J1495" s="82">
        <f t="shared" si="4"/>
        <v>0.6109179416</v>
      </c>
    </row>
    <row r="1496">
      <c r="A1496" s="83">
        <v>44816.0</v>
      </c>
      <c r="B1496" s="66">
        <v>2028.0</v>
      </c>
      <c r="C1496" s="66">
        <v>1.0</v>
      </c>
      <c r="D1496" s="66" t="s">
        <v>227</v>
      </c>
      <c r="E1496" s="66">
        <v>0.0</v>
      </c>
      <c r="F1496" s="66">
        <v>1.1209</v>
      </c>
      <c r="G1496" s="66">
        <v>0.6708</v>
      </c>
      <c r="I1496" s="82">
        <f t="shared" si="5"/>
        <v>0.6709898629</v>
      </c>
      <c r="J1496" s="82">
        <f t="shared" si="4"/>
        <v>0.598447676</v>
      </c>
    </row>
    <row r="1497">
      <c r="A1497" s="83">
        <v>44816.0</v>
      </c>
      <c r="B1497" s="66">
        <v>2028.0</v>
      </c>
      <c r="C1497" s="66">
        <v>1.0</v>
      </c>
      <c r="D1497" s="66" t="s">
        <v>228</v>
      </c>
      <c r="E1497" s="66">
        <v>0.0</v>
      </c>
      <c r="F1497" s="66">
        <v>0.9241</v>
      </c>
      <c r="G1497" s="66">
        <v>0.5972</v>
      </c>
      <c r="I1497" s="82">
        <f t="shared" si="5"/>
        <v>0.5473878098</v>
      </c>
      <c r="J1497" s="82">
        <f t="shared" si="4"/>
        <v>0.6462504058</v>
      </c>
    </row>
    <row r="1498">
      <c r="A1498" s="83">
        <v>44816.0</v>
      </c>
      <c r="B1498" s="66">
        <v>2028.0</v>
      </c>
      <c r="C1498" s="66">
        <v>3.0</v>
      </c>
      <c r="D1498" s="66" t="s">
        <v>228</v>
      </c>
      <c r="E1498" s="66">
        <v>0.0</v>
      </c>
      <c r="F1498" s="66">
        <v>0.359</v>
      </c>
      <c r="G1498" s="66">
        <v>0.2224</v>
      </c>
      <c r="I1498" s="82">
        <f t="shared" si="5"/>
        <v>0.6142086331</v>
      </c>
      <c r="J1498" s="82">
        <f t="shared" si="4"/>
        <v>0.6194986072</v>
      </c>
    </row>
    <row r="1499">
      <c r="A1499" s="83">
        <v>44816.0</v>
      </c>
      <c r="B1499" s="66">
        <v>2090.0</v>
      </c>
      <c r="C1499" s="66">
        <v>1.0</v>
      </c>
      <c r="D1499" s="66" t="s">
        <v>228</v>
      </c>
      <c r="E1499" s="66">
        <v>0.0</v>
      </c>
      <c r="F1499" s="66">
        <v>0.8144</v>
      </c>
      <c r="G1499" s="66">
        <v>0.4626</v>
      </c>
      <c r="I1499" s="82">
        <f t="shared" si="5"/>
        <v>0.7604842196</v>
      </c>
      <c r="J1499" s="82">
        <f t="shared" si="4"/>
        <v>0.5680255403</v>
      </c>
    </row>
    <row r="1500">
      <c r="A1500" s="83">
        <v>44816.0</v>
      </c>
      <c r="B1500" s="66">
        <v>2010.0</v>
      </c>
      <c r="C1500" s="66">
        <v>1.0</v>
      </c>
      <c r="D1500" s="66" t="s">
        <v>228</v>
      </c>
      <c r="E1500" s="66">
        <v>0.0</v>
      </c>
      <c r="F1500" s="66">
        <v>0.6151</v>
      </c>
      <c r="G1500" s="66">
        <v>0.3069</v>
      </c>
      <c r="I1500" s="82">
        <f t="shared" si="5"/>
        <v>1.004235907</v>
      </c>
      <c r="J1500" s="82">
        <f t="shared" si="4"/>
        <v>0.4989432613</v>
      </c>
    </row>
    <row r="1501">
      <c r="A1501" s="83">
        <v>44816.0</v>
      </c>
      <c r="B1501" s="66">
        <v>2029.0</v>
      </c>
      <c r="C1501" s="66">
        <v>2.0</v>
      </c>
      <c r="D1501" s="66" t="s">
        <v>228</v>
      </c>
      <c r="E1501" s="66">
        <v>1.0</v>
      </c>
      <c r="F1501" s="66">
        <v>1.2382</v>
      </c>
      <c r="G1501" s="66">
        <v>0.8808</v>
      </c>
      <c r="I1501" s="82">
        <f t="shared" ref="I1501:I1503" si="6">(F1501-G1501)/G1501</f>
        <v>0.4057674841</v>
      </c>
      <c r="J1501" s="82">
        <f t="shared" si="4"/>
        <v>0.711355193</v>
      </c>
    </row>
    <row r="1502">
      <c r="A1502" s="83">
        <v>44816.0</v>
      </c>
      <c r="B1502" s="66">
        <v>2010.0</v>
      </c>
      <c r="C1502" s="66">
        <v>3.0</v>
      </c>
      <c r="D1502" s="66" t="s">
        <v>227</v>
      </c>
      <c r="E1502" s="66">
        <v>1.0</v>
      </c>
      <c r="F1502" s="66">
        <v>0.4348</v>
      </c>
      <c r="G1502" s="66">
        <v>0.2206</v>
      </c>
      <c r="I1502" s="82">
        <f t="shared" si="6"/>
        <v>0.970988214</v>
      </c>
      <c r="J1502" s="82">
        <f t="shared" si="4"/>
        <v>0.5073597056</v>
      </c>
    </row>
    <row r="1503">
      <c r="A1503" s="83">
        <v>44816.0</v>
      </c>
      <c r="B1503" s="66">
        <v>2025.0</v>
      </c>
      <c r="C1503" s="66">
        <v>1.0</v>
      </c>
      <c r="D1503" s="66" t="s">
        <v>227</v>
      </c>
      <c r="E1503" s="66">
        <v>1.0</v>
      </c>
      <c r="F1503" s="66">
        <v>0.653</v>
      </c>
      <c r="G1503" s="66">
        <v>0.3777</v>
      </c>
      <c r="I1503" s="82">
        <f t="shared" si="6"/>
        <v>0.7288853588</v>
      </c>
      <c r="J1503" s="82">
        <f t="shared" si="4"/>
        <v>0.5784073507</v>
      </c>
    </row>
    <row r="1504">
      <c r="A1504" s="83">
        <v>44816.0</v>
      </c>
      <c r="B1504" s="66">
        <v>2025.0</v>
      </c>
      <c r="C1504" s="66">
        <v>2.0</v>
      </c>
      <c r="D1504" s="66" t="s">
        <v>227</v>
      </c>
      <c r="E1504" s="66">
        <v>1.0</v>
      </c>
      <c r="F1504" s="66">
        <v>0.3683</v>
      </c>
      <c r="G1504" s="66">
        <v>0.2106</v>
      </c>
      <c r="I1504" s="82">
        <f t="shared" ref="I1504:I1529" si="7">((F1504-G1504)/G1504)</f>
        <v>0.7488129155</v>
      </c>
      <c r="J1504" s="82">
        <f t="shared" si="4"/>
        <v>0.571816454</v>
      </c>
    </row>
    <row r="1505">
      <c r="A1505" s="83">
        <v>44816.0</v>
      </c>
      <c r="B1505" s="66">
        <v>2028.0</v>
      </c>
      <c r="C1505" s="66">
        <v>2.0</v>
      </c>
      <c r="D1505" s="66" t="s">
        <v>227</v>
      </c>
      <c r="E1505" s="66">
        <v>1.0</v>
      </c>
      <c r="F1505" s="66">
        <v>0.6253</v>
      </c>
      <c r="G1505" s="66">
        <v>0.3691</v>
      </c>
      <c r="I1505" s="82">
        <f t="shared" si="7"/>
        <v>0.6941208345</v>
      </c>
      <c r="J1505" s="82">
        <f t="shared" si="4"/>
        <v>0.5902766672</v>
      </c>
    </row>
    <row r="1506">
      <c r="A1506" s="83">
        <v>44816.0</v>
      </c>
      <c r="B1506" s="66">
        <v>2010.0</v>
      </c>
      <c r="C1506" s="66">
        <v>1.0</v>
      </c>
      <c r="D1506" s="66" t="s">
        <v>227</v>
      </c>
      <c r="E1506" s="66">
        <v>0.0</v>
      </c>
      <c r="F1506" s="66">
        <v>0.4071</v>
      </c>
      <c r="G1506" s="66">
        <v>0.1986</v>
      </c>
      <c r="H1506" s="66" t="s">
        <v>283</v>
      </c>
      <c r="I1506" s="82">
        <f t="shared" si="7"/>
        <v>1.049848943</v>
      </c>
      <c r="J1506" s="82">
        <f t="shared" si="4"/>
        <v>0.4878408254</v>
      </c>
    </row>
    <row r="1507">
      <c r="A1507" s="83">
        <v>44816.0</v>
      </c>
      <c r="B1507" s="66">
        <v>2010.0</v>
      </c>
      <c r="C1507" s="66">
        <v>2.0</v>
      </c>
      <c r="D1507" s="66" t="s">
        <v>227</v>
      </c>
      <c r="E1507" s="66">
        <v>0.0</v>
      </c>
      <c r="F1507" s="66">
        <v>0.5685</v>
      </c>
      <c r="G1507" s="66">
        <v>0.2808</v>
      </c>
      <c r="H1507" s="66" t="s">
        <v>284</v>
      </c>
      <c r="I1507" s="82">
        <f t="shared" si="7"/>
        <v>1.02457265</v>
      </c>
      <c r="J1507" s="82">
        <f t="shared" si="4"/>
        <v>0.4939313984</v>
      </c>
    </row>
    <row r="1508">
      <c r="A1508" s="83">
        <v>44816.0</v>
      </c>
      <c r="B1508" s="66">
        <v>2030.0</v>
      </c>
      <c r="C1508" s="66">
        <v>2.0</v>
      </c>
      <c r="D1508" s="66" t="s">
        <v>227</v>
      </c>
      <c r="E1508" s="66">
        <v>0.0</v>
      </c>
      <c r="F1508" s="66">
        <v>0.1098</v>
      </c>
      <c r="G1508" s="66">
        <v>0.0539</v>
      </c>
      <c r="I1508" s="82">
        <f t="shared" si="7"/>
        <v>1.037105751</v>
      </c>
      <c r="J1508" s="82">
        <f t="shared" si="4"/>
        <v>0.4908925319</v>
      </c>
    </row>
    <row r="1509">
      <c r="A1509" s="83">
        <v>44816.0</v>
      </c>
      <c r="B1509" s="66">
        <v>2030.0</v>
      </c>
      <c r="C1509" s="66">
        <v>3.0</v>
      </c>
      <c r="D1509" s="66" t="s">
        <v>227</v>
      </c>
      <c r="E1509" s="66">
        <v>0.0</v>
      </c>
      <c r="F1509" s="66">
        <v>0.0602</v>
      </c>
      <c r="G1509" s="66">
        <v>0.0329</v>
      </c>
      <c r="I1509" s="82">
        <f t="shared" si="7"/>
        <v>0.829787234</v>
      </c>
      <c r="J1509" s="82">
        <f t="shared" si="4"/>
        <v>0.5465116279</v>
      </c>
    </row>
    <row r="1510">
      <c r="A1510" s="83">
        <v>44816.0</v>
      </c>
      <c r="B1510" s="66">
        <v>2029.0</v>
      </c>
      <c r="C1510" s="66">
        <v>1.0</v>
      </c>
      <c r="D1510" s="66" t="s">
        <v>227</v>
      </c>
      <c r="E1510" s="66">
        <v>1.0</v>
      </c>
      <c r="F1510" s="66">
        <v>0.3619</v>
      </c>
      <c r="G1510" s="66">
        <v>0.2668</v>
      </c>
      <c r="I1510" s="82">
        <f t="shared" si="7"/>
        <v>0.3564467766</v>
      </c>
      <c r="J1510" s="82">
        <f t="shared" si="4"/>
        <v>0.7372202266</v>
      </c>
    </row>
    <row r="1511">
      <c r="A1511" s="83">
        <v>44816.0</v>
      </c>
      <c r="B1511" s="66">
        <v>2029.0</v>
      </c>
      <c r="C1511" s="66">
        <v>1.0</v>
      </c>
      <c r="D1511" s="66" t="s">
        <v>227</v>
      </c>
      <c r="E1511" s="66">
        <v>0.0</v>
      </c>
      <c r="F1511" s="66">
        <v>0.1146</v>
      </c>
      <c r="G1511" s="66">
        <v>0.0555</v>
      </c>
      <c r="I1511" s="82">
        <f t="shared" si="7"/>
        <v>1.064864865</v>
      </c>
      <c r="J1511" s="82">
        <f t="shared" si="4"/>
        <v>0.4842931937</v>
      </c>
    </row>
    <row r="1512">
      <c r="A1512" s="83">
        <v>44816.0</v>
      </c>
      <c r="B1512" s="66">
        <v>2030.0</v>
      </c>
      <c r="C1512" s="66">
        <v>3.0</v>
      </c>
      <c r="D1512" s="66" t="s">
        <v>228</v>
      </c>
      <c r="E1512" s="66">
        <v>0.0</v>
      </c>
      <c r="F1512" s="66">
        <v>0.0375</v>
      </c>
      <c r="G1512" s="66">
        <v>0.0198</v>
      </c>
      <c r="I1512" s="82">
        <f t="shared" si="7"/>
        <v>0.8939393939</v>
      </c>
      <c r="J1512" s="82">
        <f t="shared" si="4"/>
        <v>0.528</v>
      </c>
    </row>
    <row r="1513">
      <c r="A1513" s="83">
        <v>44816.0</v>
      </c>
      <c r="B1513" s="66">
        <v>2360.0</v>
      </c>
      <c r="C1513" s="66">
        <v>1.0</v>
      </c>
      <c r="D1513" s="66" t="s">
        <v>227</v>
      </c>
      <c r="E1513" s="66">
        <v>0.0</v>
      </c>
      <c r="F1513" s="66">
        <v>0.3853</v>
      </c>
      <c r="G1513" s="66">
        <v>0.2077</v>
      </c>
      <c r="I1513" s="82">
        <f t="shared" si="7"/>
        <v>0.8550794415</v>
      </c>
      <c r="J1513" s="82">
        <f t="shared" si="4"/>
        <v>0.5390604724</v>
      </c>
    </row>
    <row r="1514">
      <c r="A1514" s="83">
        <v>44816.0</v>
      </c>
      <c r="B1514" s="66">
        <v>2030.0</v>
      </c>
      <c r="C1514" s="66">
        <v>2.0</v>
      </c>
      <c r="D1514" s="66" t="s">
        <v>227</v>
      </c>
      <c r="E1514" s="66">
        <v>1.0</v>
      </c>
      <c r="F1514" s="66">
        <v>0.7401</v>
      </c>
      <c r="G1514" s="66">
        <v>0.4011</v>
      </c>
      <c r="I1514" s="82">
        <f t="shared" si="7"/>
        <v>0.8451757666</v>
      </c>
      <c r="J1514" s="82">
        <f t="shared" si="4"/>
        <v>0.54195379</v>
      </c>
    </row>
    <row r="1515">
      <c r="A1515" s="83">
        <v>44816.0</v>
      </c>
      <c r="B1515" s="66">
        <v>2030.0</v>
      </c>
      <c r="C1515" s="66">
        <v>1.0</v>
      </c>
      <c r="D1515" s="66" t="s">
        <v>228</v>
      </c>
      <c r="E1515" s="66">
        <v>1.0</v>
      </c>
      <c r="F1515" s="66">
        <v>0.5276</v>
      </c>
      <c r="G1515" s="66">
        <v>0.2974</v>
      </c>
      <c r="I1515" s="82">
        <f t="shared" si="7"/>
        <v>0.7740416947</v>
      </c>
      <c r="J1515" s="82">
        <f t="shared" si="4"/>
        <v>0.5636846096</v>
      </c>
    </row>
    <row r="1516">
      <c r="A1516" s="83">
        <v>44816.0</v>
      </c>
      <c r="B1516" s="66">
        <v>2030.0</v>
      </c>
      <c r="C1516" s="66">
        <v>1.0</v>
      </c>
      <c r="D1516" s="66" t="s">
        <v>227</v>
      </c>
      <c r="E1516" s="66">
        <v>0.0</v>
      </c>
      <c r="F1516" s="66">
        <v>0.1335</v>
      </c>
      <c r="G1516" s="66">
        <v>0.0695</v>
      </c>
      <c r="I1516" s="82">
        <f t="shared" si="7"/>
        <v>0.9208633094</v>
      </c>
      <c r="J1516" s="82">
        <f t="shared" si="4"/>
        <v>0.5205992509</v>
      </c>
    </row>
    <row r="1517">
      <c r="A1517" s="83">
        <v>44816.0</v>
      </c>
      <c r="B1517" s="66">
        <v>2030.0</v>
      </c>
      <c r="C1517" s="66">
        <v>2.0</v>
      </c>
      <c r="D1517" s="66" t="s">
        <v>228</v>
      </c>
      <c r="E1517" s="66">
        <v>0.0</v>
      </c>
      <c r="F1517" s="66">
        <v>0.9161</v>
      </c>
      <c r="G1517" s="66">
        <v>0.512</v>
      </c>
      <c r="H1517" s="66" t="s">
        <v>285</v>
      </c>
      <c r="I1517" s="82">
        <f t="shared" si="7"/>
        <v>0.7892578125</v>
      </c>
      <c r="J1517" s="82">
        <f t="shared" si="4"/>
        <v>0.5588909508</v>
      </c>
    </row>
    <row r="1518">
      <c r="A1518" s="83">
        <v>44816.0</v>
      </c>
      <c r="B1518" s="66">
        <v>2360.0</v>
      </c>
      <c r="C1518" s="66">
        <v>2.0</v>
      </c>
      <c r="D1518" s="66" t="s">
        <v>228</v>
      </c>
      <c r="E1518" s="66">
        <v>0.0</v>
      </c>
      <c r="F1518" s="66">
        <v>0.2837</v>
      </c>
      <c r="G1518" s="66">
        <v>0.1583</v>
      </c>
      <c r="I1518" s="82">
        <f t="shared" si="7"/>
        <v>0.792166772</v>
      </c>
      <c r="J1518" s="82">
        <f t="shared" si="4"/>
        <v>0.5579837857</v>
      </c>
    </row>
    <row r="1519">
      <c r="A1519" s="83">
        <v>44816.0</v>
      </c>
      <c r="B1519" s="66">
        <v>2360.0</v>
      </c>
      <c r="C1519" s="66">
        <v>2.0</v>
      </c>
      <c r="D1519" s="66" t="s">
        <v>227</v>
      </c>
      <c r="E1519" s="66">
        <v>0.0</v>
      </c>
      <c r="F1519" s="66">
        <v>0.4887</v>
      </c>
      <c r="G1519" s="66">
        <v>0.2395</v>
      </c>
      <c r="I1519" s="82">
        <f t="shared" si="7"/>
        <v>1.040501044</v>
      </c>
      <c r="J1519" s="82">
        <f t="shared" si="4"/>
        <v>0.4900757111</v>
      </c>
    </row>
    <row r="1520">
      <c r="A1520" s="83">
        <v>44816.0</v>
      </c>
      <c r="B1520" s="66">
        <v>2023.0</v>
      </c>
      <c r="C1520" s="66">
        <v>2.0</v>
      </c>
      <c r="D1520" s="66" t="s">
        <v>227</v>
      </c>
      <c r="E1520" s="66">
        <v>0.0</v>
      </c>
      <c r="F1520" s="66">
        <v>0.378</v>
      </c>
      <c r="G1520" s="66">
        <v>0.2201</v>
      </c>
      <c r="I1520" s="82">
        <f t="shared" si="7"/>
        <v>0.7174011813</v>
      </c>
      <c r="J1520" s="82">
        <f t="shared" si="4"/>
        <v>0.5822751323</v>
      </c>
    </row>
    <row r="1521">
      <c r="A1521" s="83">
        <v>44816.0</v>
      </c>
      <c r="B1521" s="66">
        <v>2023.0</v>
      </c>
      <c r="C1521" s="66">
        <v>2.0</v>
      </c>
      <c r="D1521" s="66" t="s">
        <v>228</v>
      </c>
      <c r="E1521" s="66">
        <v>0.0</v>
      </c>
      <c r="F1521" s="66">
        <v>0.3423</v>
      </c>
      <c r="G1521" s="66">
        <v>0.1958</v>
      </c>
      <c r="I1521" s="82">
        <f t="shared" si="7"/>
        <v>0.7482124617</v>
      </c>
      <c r="J1521" s="82">
        <f t="shared" si="4"/>
        <v>0.5720128542</v>
      </c>
    </row>
    <row r="1522">
      <c r="A1522" s="83">
        <v>44816.0</v>
      </c>
      <c r="B1522" s="66">
        <v>2023.0</v>
      </c>
      <c r="C1522" s="66">
        <v>1.0</v>
      </c>
      <c r="D1522" s="66" t="s">
        <v>228</v>
      </c>
      <c r="E1522" s="66">
        <v>0.0</v>
      </c>
      <c r="F1522" s="66">
        <v>1.0336</v>
      </c>
      <c r="G1522" s="66">
        <v>0.6664</v>
      </c>
      <c r="I1522" s="82">
        <f t="shared" si="7"/>
        <v>0.5510204082</v>
      </c>
      <c r="J1522" s="82">
        <f t="shared" si="4"/>
        <v>0.6447368421</v>
      </c>
    </row>
    <row r="1523">
      <c r="A1523" s="83">
        <v>44816.0</v>
      </c>
      <c r="B1523" s="66">
        <v>2023.0</v>
      </c>
      <c r="C1523" s="66">
        <v>1.0</v>
      </c>
      <c r="D1523" s="66" t="s">
        <v>227</v>
      </c>
      <c r="E1523" s="66">
        <v>0.0</v>
      </c>
      <c r="F1523" s="66">
        <v>0.6833</v>
      </c>
      <c r="G1523" s="66">
        <v>0.457</v>
      </c>
      <c r="I1523" s="82">
        <f t="shared" si="7"/>
        <v>0.4951859956</v>
      </c>
      <c r="J1523" s="82">
        <f t="shared" si="4"/>
        <v>0.6688131128</v>
      </c>
    </row>
    <row r="1524">
      <c r="A1524" s="83">
        <v>44816.0</v>
      </c>
      <c r="B1524" s="66">
        <v>2020.0</v>
      </c>
      <c r="C1524" s="66">
        <v>4.0</v>
      </c>
      <c r="D1524" s="66" t="s">
        <v>228</v>
      </c>
      <c r="E1524" s="66">
        <v>0.0</v>
      </c>
      <c r="F1524" s="66">
        <v>0.2418</v>
      </c>
      <c r="G1524" s="66">
        <v>0.1379</v>
      </c>
      <c r="I1524" s="82">
        <f t="shared" si="7"/>
        <v>0.753444525</v>
      </c>
      <c r="J1524" s="82">
        <f t="shared" si="4"/>
        <v>0.570306038</v>
      </c>
    </row>
    <row r="1525">
      <c r="A1525" s="83">
        <v>44816.0</v>
      </c>
      <c r="B1525" s="66">
        <v>2020.0</v>
      </c>
      <c r="C1525" s="66">
        <v>3.0</v>
      </c>
      <c r="D1525" s="66" t="s">
        <v>227</v>
      </c>
      <c r="E1525" s="66">
        <v>0.0</v>
      </c>
      <c r="F1525" s="66">
        <v>0.2744</v>
      </c>
      <c r="G1525" s="66">
        <v>0.1542</v>
      </c>
      <c r="I1525" s="82">
        <f t="shared" si="7"/>
        <v>0.7795071336</v>
      </c>
      <c r="J1525" s="82">
        <f t="shared" si="4"/>
        <v>0.5619533528</v>
      </c>
    </row>
    <row r="1526">
      <c r="A1526" s="83">
        <v>44816.0</v>
      </c>
      <c r="B1526" s="66">
        <v>2020.0</v>
      </c>
      <c r="C1526" s="66">
        <v>3.0</v>
      </c>
      <c r="D1526" s="66" t="s">
        <v>228</v>
      </c>
      <c r="E1526" s="66">
        <v>0.0</v>
      </c>
      <c r="F1526" s="66">
        <v>0.4905</v>
      </c>
      <c r="G1526" s="66">
        <v>0.2877</v>
      </c>
      <c r="I1526" s="82">
        <f t="shared" si="7"/>
        <v>0.7049009385</v>
      </c>
      <c r="J1526" s="82">
        <f t="shared" si="4"/>
        <v>0.5865443425</v>
      </c>
    </row>
    <row r="1527">
      <c r="A1527" s="83">
        <v>44816.0</v>
      </c>
      <c r="B1527" s="66">
        <v>2020.0</v>
      </c>
      <c r="C1527" s="66">
        <v>2.0</v>
      </c>
      <c r="D1527" s="66" t="s">
        <v>228</v>
      </c>
      <c r="E1527" s="66">
        <v>0.0</v>
      </c>
      <c r="F1527" s="66">
        <v>0.3059</v>
      </c>
      <c r="G1527" s="66">
        <v>0.1804</v>
      </c>
      <c r="I1527" s="82">
        <f t="shared" si="7"/>
        <v>0.6956762749</v>
      </c>
      <c r="J1527" s="82">
        <f t="shared" si="4"/>
        <v>0.5897352076</v>
      </c>
    </row>
    <row r="1528">
      <c r="A1528" s="83">
        <v>44816.0</v>
      </c>
      <c r="B1528" s="66">
        <v>2020.0</v>
      </c>
      <c r="C1528" s="66">
        <v>4.0</v>
      </c>
      <c r="D1528" s="66" t="s">
        <v>227</v>
      </c>
      <c r="E1528" s="66">
        <v>0.0</v>
      </c>
      <c r="F1528" s="66">
        <v>0.6462</v>
      </c>
      <c r="G1528" s="66">
        <v>0.3619</v>
      </c>
      <c r="I1528" s="82">
        <f t="shared" si="7"/>
        <v>0.785576126</v>
      </c>
      <c r="J1528" s="82">
        <f t="shared" si="4"/>
        <v>0.5600433302</v>
      </c>
    </row>
    <row r="1529">
      <c r="A1529" s="83">
        <v>44816.0</v>
      </c>
      <c r="B1529" s="66">
        <v>2020.0</v>
      </c>
      <c r="C1529" s="66">
        <v>2.0</v>
      </c>
      <c r="D1529" s="66" t="s">
        <v>227</v>
      </c>
      <c r="E1529" s="66">
        <v>0.0</v>
      </c>
      <c r="F1529" s="66">
        <v>0.4222</v>
      </c>
      <c r="G1529" s="66">
        <v>0.2302</v>
      </c>
      <c r="I1529" s="82">
        <f t="shared" si="7"/>
        <v>0.8340573414</v>
      </c>
      <c r="J1529" s="82">
        <f t="shared" si="4"/>
        <v>0.5452392231</v>
      </c>
    </row>
    <row r="1530">
      <c r="A1530" s="83">
        <v>44816.0</v>
      </c>
      <c r="B1530" s="66">
        <v>2020.0</v>
      </c>
      <c r="C1530" s="66">
        <v>1.0</v>
      </c>
      <c r="D1530" s="66" t="s">
        <v>227</v>
      </c>
      <c r="E1530" s="66">
        <v>1.0</v>
      </c>
      <c r="F1530" s="66">
        <v>0.621</v>
      </c>
      <c r="G1530" s="66">
        <v>0.3373</v>
      </c>
      <c r="I1530" s="82">
        <f>(F1530-G1530)/G1529</f>
        <v>1.232406603</v>
      </c>
      <c r="J1530" s="82">
        <f t="shared" si="4"/>
        <v>0.5431561997</v>
      </c>
    </row>
    <row r="1531">
      <c r="A1531" s="83">
        <v>44816.0</v>
      </c>
      <c r="B1531" s="66">
        <v>2020.0</v>
      </c>
      <c r="C1531" s="66">
        <v>1.0</v>
      </c>
      <c r="D1531" s="66" t="s">
        <v>227</v>
      </c>
      <c r="E1531" s="66">
        <v>0.0</v>
      </c>
      <c r="F1531" s="66">
        <v>0.2131</v>
      </c>
      <c r="G1531" s="66">
        <v>0.112</v>
      </c>
      <c r="I1531" s="82">
        <f>(F1531-G1531)/G1531</f>
        <v>0.9026785714</v>
      </c>
      <c r="J1531" s="82">
        <f t="shared" si="4"/>
        <v>0.5255748475</v>
      </c>
    </row>
    <row r="1532">
      <c r="A1532" s="83">
        <v>44816.0</v>
      </c>
      <c r="B1532" s="66">
        <v>2020.0</v>
      </c>
      <c r="C1532" s="66">
        <v>1.0</v>
      </c>
      <c r="D1532" s="66" t="s">
        <v>228</v>
      </c>
      <c r="E1532" s="66">
        <v>0.0</v>
      </c>
      <c r="F1532" s="66">
        <v>0.0658</v>
      </c>
      <c r="G1532" s="66">
        <v>0.0339</v>
      </c>
      <c r="I1532" s="82">
        <f t="shared" ref="I1532:I1731" si="8">((F1532-G1532)/G1532)</f>
        <v>0.9410029499</v>
      </c>
      <c r="J1532" s="82">
        <f t="shared" si="4"/>
        <v>0.5151975684</v>
      </c>
    </row>
    <row r="1533">
      <c r="A1533" s="83">
        <v>44816.0</v>
      </c>
      <c r="B1533" s="66">
        <v>2025.0</v>
      </c>
      <c r="C1533" s="66">
        <v>4.0</v>
      </c>
      <c r="D1533" s="66" t="s">
        <v>227</v>
      </c>
      <c r="E1533" s="66">
        <v>0.0</v>
      </c>
      <c r="F1533" s="66">
        <v>0.3584</v>
      </c>
      <c r="G1533" s="66">
        <v>0.1982</v>
      </c>
      <c r="I1533" s="82">
        <f t="shared" si="8"/>
        <v>0.8082744702</v>
      </c>
      <c r="J1533" s="82">
        <f t="shared" si="4"/>
        <v>0.5530133929</v>
      </c>
    </row>
    <row r="1534">
      <c r="A1534" s="83">
        <v>44816.0</v>
      </c>
      <c r="B1534" s="66">
        <v>2025.0</v>
      </c>
      <c r="C1534" s="66">
        <v>4.0</v>
      </c>
      <c r="D1534" s="66" t="s">
        <v>228</v>
      </c>
      <c r="E1534" s="66">
        <v>0.0</v>
      </c>
      <c r="F1534" s="66">
        <v>1.6804</v>
      </c>
      <c r="G1534" s="66">
        <v>0.9747</v>
      </c>
      <c r="I1534" s="82">
        <f t="shared" si="8"/>
        <v>0.7240176465</v>
      </c>
      <c r="J1534" s="82">
        <f t="shared" si="4"/>
        <v>0.5800404666</v>
      </c>
    </row>
    <row r="1535">
      <c r="A1535" s="83">
        <v>44816.0</v>
      </c>
      <c r="B1535" s="66">
        <v>2025.0</v>
      </c>
      <c r="C1535" s="66">
        <v>3.0</v>
      </c>
      <c r="D1535" s="66" t="s">
        <v>227</v>
      </c>
      <c r="E1535" s="66">
        <v>0.0</v>
      </c>
      <c r="F1535" s="66">
        <v>0.0545</v>
      </c>
      <c r="G1535" s="66">
        <v>0.0284</v>
      </c>
      <c r="I1535" s="82">
        <f t="shared" si="8"/>
        <v>0.9190140845</v>
      </c>
      <c r="J1535" s="82">
        <f t="shared" si="4"/>
        <v>0.5211009174</v>
      </c>
    </row>
    <row r="1536">
      <c r="A1536" s="83">
        <v>44816.0</v>
      </c>
      <c r="B1536" s="66">
        <v>2025.0</v>
      </c>
      <c r="C1536" s="66">
        <v>3.0</v>
      </c>
      <c r="D1536" s="66" t="s">
        <v>228</v>
      </c>
      <c r="E1536" s="66">
        <v>0.0</v>
      </c>
      <c r="F1536" s="66">
        <v>0.5657</v>
      </c>
      <c r="G1536" s="66">
        <v>0.3346</v>
      </c>
      <c r="I1536" s="82">
        <f t="shared" si="8"/>
        <v>0.6906754334</v>
      </c>
      <c r="J1536" s="82">
        <f t="shared" si="4"/>
        <v>0.5914795828</v>
      </c>
    </row>
    <row r="1537">
      <c r="A1537" s="83">
        <v>44816.0</v>
      </c>
      <c r="B1537" s="66">
        <v>2010.0</v>
      </c>
      <c r="C1537" s="66">
        <v>3.0</v>
      </c>
      <c r="D1537" s="66" t="s">
        <v>227</v>
      </c>
      <c r="E1537" s="66">
        <v>0.0</v>
      </c>
      <c r="F1537" s="66">
        <v>0.4351</v>
      </c>
      <c r="G1537" s="66">
        <v>0.2243</v>
      </c>
      <c r="I1537" s="82">
        <f t="shared" si="8"/>
        <v>0.9398127508</v>
      </c>
      <c r="J1537" s="82">
        <f t="shared" si="4"/>
        <v>0.515513675</v>
      </c>
    </row>
    <row r="1538">
      <c r="A1538" s="83">
        <v>44816.0</v>
      </c>
      <c r="B1538" s="66">
        <v>2025.0</v>
      </c>
      <c r="C1538" s="66">
        <v>1.0</v>
      </c>
      <c r="D1538" s="66" t="s">
        <v>227</v>
      </c>
      <c r="E1538" s="66">
        <v>0.0</v>
      </c>
      <c r="F1538" s="66">
        <v>0.4471</v>
      </c>
      <c r="G1538" s="66">
        <v>0.2743</v>
      </c>
      <c r="I1538" s="82">
        <f t="shared" si="8"/>
        <v>0.6299671892</v>
      </c>
      <c r="J1538" s="82">
        <f t="shared" si="4"/>
        <v>0.613509282</v>
      </c>
    </row>
    <row r="1539">
      <c r="A1539" s="83">
        <v>44816.0</v>
      </c>
      <c r="B1539" s="66">
        <v>2025.0</v>
      </c>
      <c r="C1539" s="66">
        <v>2.0</v>
      </c>
      <c r="D1539" s="66" t="s">
        <v>227</v>
      </c>
      <c r="E1539" s="66">
        <v>0.0</v>
      </c>
      <c r="F1539" s="66">
        <v>0.1288</v>
      </c>
      <c r="G1539" s="66">
        <v>0.0865</v>
      </c>
      <c r="I1539" s="82">
        <f t="shared" si="8"/>
        <v>0.489017341</v>
      </c>
      <c r="J1539" s="82">
        <f t="shared" si="4"/>
        <v>0.6715838509</v>
      </c>
    </row>
    <row r="1540">
      <c r="A1540" s="83">
        <v>44816.0</v>
      </c>
      <c r="B1540" s="66">
        <v>2028.0</v>
      </c>
      <c r="C1540" s="66">
        <v>3.0</v>
      </c>
      <c r="D1540" s="66" t="s">
        <v>227</v>
      </c>
      <c r="E1540" s="66">
        <v>0.0</v>
      </c>
      <c r="F1540" s="66">
        <v>0.5408</v>
      </c>
      <c r="G1540" s="66">
        <v>0.3456</v>
      </c>
      <c r="I1540" s="82">
        <f t="shared" si="8"/>
        <v>0.5648148148</v>
      </c>
      <c r="J1540" s="82">
        <f t="shared" si="4"/>
        <v>0.6390532544</v>
      </c>
    </row>
    <row r="1541">
      <c r="A1541" s="83">
        <v>44816.0</v>
      </c>
      <c r="B1541" s="66">
        <v>2028.0</v>
      </c>
      <c r="C1541" s="66">
        <v>2.0</v>
      </c>
      <c r="D1541" s="66" t="s">
        <v>227</v>
      </c>
      <c r="E1541" s="66">
        <v>0.0</v>
      </c>
      <c r="F1541" s="66">
        <v>0.4346</v>
      </c>
      <c r="G1541" s="66">
        <v>0.2534</v>
      </c>
      <c r="I1541" s="82">
        <f t="shared" si="8"/>
        <v>0.7150749803</v>
      </c>
      <c r="J1541" s="82">
        <f t="shared" si="4"/>
        <v>0.5830648873</v>
      </c>
    </row>
    <row r="1542">
      <c r="A1542" s="83">
        <v>44816.0</v>
      </c>
      <c r="B1542" s="66">
        <v>2025.0</v>
      </c>
      <c r="C1542" s="66">
        <v>2.0</v>
      </c>
      <c r="D1542" s="66" t="s">
        <v>228</v>
      </c>
      <c r="E1542" s="66">
        <v>0.0</v>
      </c>
      <c r="F1542" s="66">
        <v>0.8628</v>
      </c>
      <c r="G1542" s="66">
        <v>0.5727</v>
      </c>
      <c r="I1542" s="82">
        <f t="shared" si="8"/>
        <v>0.5065479309</v>
      </c>
      <c r="J1542" s="82">
        <f t="shared" si="4"/>
        <v>0.6637691238</v>
      </c>
    </row>
    <row r="1543">
      <c r="A1543" s="83">
        <v>44816.0</v>
      </c>
      <c r="B1543" s="66">
        <v>2025.0</v>
      </c>
      <c r="C1543" s="66">
        <v>1.0</v>
      </c>
      <c r="D1543" s="66" t="s">
        <v>228</v>
      </c>
      <c r="E1543" s="66">
        <v>0.0</v>
      </c>
      <c r="F1543" s="66">
        <v>0.889</v>
      </c>
      <c r="G1543" s="66">
        <v>0.535</v>
      </c>
      <c r="I1543" s="82">
        <f t="shared" si="8"/>
        <v>0.661682243</v>
      </c>
      <c r="J1543" s="82">
        <f t="shared" si="4"/>
        <v>0.601799775</v>
      </c>
    </row>
    <row r="1544">
      <c r="A1544" s="83">
        <v>44816.0</v>
      </c>
      <c r="B1544" s="66">
        <v>2360.0</v>
      </c>
      <c r="C1544" s="66">
        <v>1.0</v>
      </c>
      <c r="D1544" s="66" t="s">
        <v>227</v>
      </c>
      <c r="E1544" s="66">
        <v>1.0</v>
      </c>
      <c r="F1544" s="66">
        <v>0.2173</v>
      </c>
      <c r="G1544" s="66">
        <v>0.1154</v>
      </c>
      <c r="I1544" s="82">
        <f t="shared" si="8"/>
        <v>0.8830155979</v>
      </c>
      <c r="J1544" s="82">
        <f t="shared" si="4"/>
        <v>0.5310630465</v>
      </c>
    </row>
    <row r="1545">
      <c r="A1545" s="83">
        <v>44816.0</v>
      </c>
      <c r="B1545" s="66">
        <v>2360.0</v>
      </c>
      <c r="C1545" s="66">
        <v>2.0</v>
      </c>
      <c r="D1545" s="66" t="s">
        <v>227</v>
      </c>
      <c r="E1545" s="66">
        <v>1.0</v>
      </c>
      <c r="F1545" s="66">
        <v>0.8483</v>
      </c>
      <c r="G1545" s="66">
        <v>0.4872</v>
      </c>
      <c r="I1545" s="82">
        <f t="shared" si="8"/>
        <v>0.7411740558</v>
      </c>
      <c r="J1545" s="82">
        <f t="shared" si="4"/>
        <v>0.5743251208</v>
      </c>
    </row>
    <row r="1546">
      <c r="A1546" s="83">
        <v>44816.0</v>
      </c>
      <c r="B1546" s="66">
        <v>2023.0</v>
      </c>
      <c r="C1546" s="66">
        <v>2.0</v>
      </c>
      <c r="D1546" s="66" t="s">
        <v>227</v>
      </c>
      <c r="E1546" s="66">
        <v>1.0</v>
      </c>
      <c r="F1546" s="66">
        <v>0.4407</v>
      </c>
      <c r="G1546" s="66">
        <v>0.2442</v>
      </c>
      <c r="I1546" s="82">
        <f t="shared" si="8"/>
        <v>0.8046683047</v>
      </c>
      <c r="J1546" s="82">
        <f t="shared" si="4"/>
        <v>0.5541184479</v>
      </c>
    </row>
    <row r="1547">
      <c r="A1547" s="83">
        <v>44816.0</v>
      </c>
      <c r="B1547" s="66">
        <v>2023.0</v>
      </c>
      <c r="C1547" s="66">
        <v>1.0</v>
      </c>
      <c r="D1547" s="66" t="s">
        <v>227</v>
      </c>
      <c r="E1547" s="66">
        <v>1.0</v>
      </c>
      <c r="F1547" s="66">
        <v>0.5275</v>
      </c>
      <c r="G1547" s="66">
        <v>0.2978</v>
      </c>
      <c r="I1547" s="82">
        <f t="shared" si="8"/>
        <v>0.7713230356</v>
      </c>
      <c r="J1547" s="82">
        <f t="shared" si="4"/>
        <v>0.564549763</v>
      </c>
    </row>
    <row r="1548">
      <c r="A1548" s="83">
        <v>44816.0</v>
      </c>
      <c r="B1548" s="66">
        <v>2020.0</v>
      </c>
      <c r="C1548" s="66">
        <v>4.0</v>
      </c>
      <c r="D1548" s="66" t="s">
        <v>227</v>
      </c>
      <c r="E1548" s="66">
        <v>1.0</v>
      </c>
      <c r="F1548" s="66">
        <v>1.0051</v>
      </c>
      <c r="G1548" s="66">
        <v>0.5209</v>
      </c>
      <c r="I1548" s="82">
        <f t="shared" si="8"/>
        <v>0.9295450182</v>
      </c>
      <c r="J1548" s="82">
        <f t="shared" si="4"/>
        <v>0.5182568899</v>
      </c>
    </row>
    <row r="1549">
      <c r="A1549" s="83">
        <v>44816.0</v>
      </c>
      <c r="B1549" s="66">
        <v>2020.0</v>
      </c>
      <c r="C1549" s="66">
        <v>3.0</v>
      </c>
      <c r="D1549" s="66" t="s">
        <v>227</v>
      </c>
      <c r="E1549" s="66">
        <v>1.0</v>
      </c>
      <c r="F1549" s="66">
        <v>0.5278</v>
      </c>
      <c r="G1549" s="66">
        <v>0.2931</v>
      </c>
      <c r="I1549" s="82">
        <f t="shared" si="8"/>
        <v>0.8007505971</v>
      </c>
      <c r="J1549" s="82">
        <f t="shared" si="4"/>
        <v>0.5553239864</v>
      </c>
    </row>
    <row r="1550">
      <c r="A1550" s="83">
        <v>44816.0</v>
      </c>
      <c r="B1550" s="66">
        <v>2020.0</v>
      </c>
      <c r="C1550" s="66">
        <v>2.0</v>
      </c>
      <c r="D1550" s="66" t="s">
        <v>227</v>
      </c>
      <c r="E1550" s="66">
        <v>1.0</v>
      </c>
      <c r="F1550" s="66">
        <v>0.8182</v>
      </c>
      <c r="G1550" s="66">
        <v>0.452</v>
      </c>
      <c r="I1550" s="82">
        <f t="shared" si="8"/>
        <v>0.8101769912</v>
      </c>
      <c r="J1550" s="82">
        <f t="shared" si="4"/>
        <v>0.5524321682</v>
      </c>
    </row>
    <row r="1551">
      <c r="A1551" s="83">
        <v>44816.0</v>
      </c>
      <c r="B1551" s="66">
        <v>2025.0</v>
      </c>
      <c r="C1551" s="66">
        <v>4.0</v>
      </c>
      <c r="D1551" s="66" t="s">
        <v>227</v>
      </c>
      <c r="E1551" s="66">
        <v>1.0</v>
      </c>
      <c r="F1551" s="66">
        <v>0.2496</v>
      </c>
      <c r="G1551" s="66">
        <v>0.1315</v>
      </c>
      <c r="I1551" s="82">
        <f t="shared" si="8"/>
        <v>0.8980988593</v>
      </c>
      <c r="J1551" s="82">
        <f t="shared" si="4"/>
        <v>0.5268429487</v>
      </c>
    </row>
    <row r="1552">
      <c r="A1552" s="83">
        <v>44816.0</v>
      </c>
      <c r="B1552" s="66">
        <v>2025.0</v>
      </c>
      <c r="C1552" s="66">
        <v>3.0</v>
      </c>
      <c r="D1552" s="66" t="s">
        <v>227</v>
      </c>
      <c r="E1552" s="66">
        <v>1.0</v>
      </c>
      <c r="F1552" s="66">
        <v>0.0692</v>
      </c>
      <c r="G1552" s="66">
        <v>0.0275</v>
      </c>
      <c r="I1552" s="82">
        <f t="shared" si="8"/>
        <v>1.516363636</v>
      </c>
      <c r="J1552" s="82">
        <f t="shared" si="4"/>
        <v>0.3973988439</v>
      </c>
    </row>
    <row r="1553">
      <c r="A1553" s="83">
        <v>44816.0</v>
      </c>
      <c r="B1553" s="66">
        <v>2029.0</v>
      </c>
      <c r="C1553" s="66">
        <v>1.0</v>
      </c>
      <c r="D1553" s="66" t="s">
        <v>228</v>
      </c>
      <c r="E1553" s="66">
        <v>1.0</v>
      </c>
      <c r="F1553" s="66">
        <v>1.0756</v>
      </c>
      <c r="G1553" s="66">
        <v>0.6878</v>
      </c>
      <c r="I1553" s="82">
        <f t="shared" si="8"/>
        <v>0.5638266938</v>
      </c>
      <c r="J1553" s="82">
        <f t="shared" si="4"/>
        <v>0.6394570472</v>
      </c>
    </row>
    <row r="1554">
      <c r="A1554" s="83">
        <v>44816.0</v>
      </c>
      <c r="B1554" s="66">
        <v>2029.0</v>
      </c>
      <c r="C1554" s="66">
        <v>1.0</v>
      </c>
      <c r="D1554" s="66" t="s">
        <v>228</v>
      </c>
      <c r="E1554" s="66">
        <v>0.0</v>
      </c>
      <c r="F1554" s="66">
        <v>2.373</v>
      </c>
      <c r="G1554" s="66">
        <v>1.4555</v>
      </c>
      <c r="I1554" s="82">
        <f t="shared" si="8"/>
        <v>0.6303675713</v>
      </c>
      <c r="J1554" s="82">
        <f t="shared" si="4"/>
        <v>0.6133586178</v>
      </c>
    </row>
    <row r="1555">
      <c r="A1555" s="83">
        <v>44816.0</v>
      </c>
      <c r="B1555" s="66">
        <v>2030.0</v>
      </c>
      <c r="C1555" s="66">
        <v>1.0</v>
      </c>
      <c r="D1555" s="66" t="s">
        <v>228</v>
      </c>
      <c r="E1555" s="66">
        <v>0.0</v>
      </c>
      <c r="F1555" s="66">
        <v>0.6526</v>
      </c>
      <c r="G1555" s="66">
        <v>0.4055</v>
      </c>
      <c r="I1555" s="82">
        <f t="shared" si="8"/>
        <v>0.6093711467</v>
      </c>
      <c r="J1555" s="82">
        <f t="shared" si="4"/>
        <v>0.621360711</v>
      </c>
    </row>
    <row r="1556">
      <c r="A1556" s="83">
        <v>44769.0</v>
      </c>
      <c r="B1556" s="66">
        <v>2009.0</v>
      </c>
      <c r="C1556" s="66">
        <v>2.0</v>
      </c>
      <c r="D1556" s="66" t="s">
        <v>228</v>
      </c>
      <c r="E1556" s="66">
        <v>0.0</v>
      </c>
      <c r="F1556" s="66">
        <v>1.174</v>
      </c>
      <c r="G1556" s="66">
        <v>0.706</v>
      </c>
      <c r="H1556" s="66" t="s">
        <v>286</v>
      </c>
      <c r="I1556" s="82">
        <f t="shared" si="8"/>
        <v>0.6628895184</v>
      </c>
      <c r="J1556" s="82">
        <f t="shared" si="4"/>
        <v>0.601362862</v>
      </c>
    </row>
    <row r="1557">
      <c r="A1557" s="83">
        <v>44769.0</v>
      </c>
      <c r="B1557" s="66">
        <v>2009.0</v>
      </c>
      <c r="C1557" s="66">
        <v>2.0</v>
      </c>
      <c r="D1557" s="66" t="s">
        <v>227</v>
      </c>
      <c r="E1557" s="66">
        <v>0.0</v>
      </c>
      <c r="F1557" s="66">
        <v>0.138</v>
      </c>
      <c r="G1557" s="66">
        <v>0.085</v>
      </c>
      <c r="H1557" s="66" t="s">
        <v>286</v>
      </c>
      <c r="I1557" s="82">
        <f t="shared" si="8"/>
        <v>0.6235294118</v>
      </c>
      <c r="J1557" s="82">
        <f t="shared" si="4"/>
        <v>0.615942029</v>
      </c>
    </row>
    <row r="1558">
      <c r="A1558" s="83">
        <v>44769.0</v>
      </c>
      <c r="B1558" s="66">
        <v>2367.0</v>
      </c>
      <c r="C1558" s="66">
        <v>2.0</v>
      </c>
      <c r="D1558" s="66" t="s">
        <v>228</v>
      </c>
      <c r="E1558" s="66">
        <v>0.0</v>
      </c>
      <c r="F1558" s="66">
        <v>1.196</v>
      </c>
      <c r="G1558" s="66">
        <v>0.68</v>
      </c>
      <c r="H1558" s="66" t="s">
        <v>286</v>
      </c>
      <c r="I1558" s="82">
        <f t="shared" si="8"/>
        <v>0.7588235294</v>
      </c>
      <c r="J1558" s="82">
        <f t="shared" si="4"/>
        <v>0.5685618729</v>
      </c>
    </row>
    <row r="1559">
      <c r="A1559" s="83">
        <v>44769.0</v>
      </c>
      <c r="B1559" s="66">
        <v>2367.0</v>
      </c>
      <c r="C1559" s="66">
        <v>2.0</v>
      </c>
      <c r="D1559" s="66" t="s">
        <v>227</v>
      </c>
      <c r="E1559" s="66">
        <v>0.0</v>
      </c>
      <c r="F1559" s="66">
        <v>0.205</v>
      </c>
      <c r="G1559" s="66">
        <v>0.124</v>
      </c>
      <c r="H1559" s="66" t="s">
        <v>286</v>
      </c>
      <c r="I1559" s="82">
        <f t="shared" si="8"/>
        <v>0.6532258065</v>
      </c>
      <c r="J1559" s="82">
        <f t="shared" si="4"/>
        <v>0.6048780488</v>
      </c>
    </row>
    <row r="1560">
      <c r="A1560" s="83">
        <v>44769.0</v>
      </c>
      <c r="B1560" s="66">
        <v>2380.0</v>
      </c>
      <c r="C1560" s="66">
        <v>2.0</v>
      </c>
      <c r="D1560" s="66" t="s">
        <v>228</v>
      </c>
      <c r="F1560" s="66">
        <v>1.277</v>
      </c>
      <c r="G1560" s="66">
        <v>0.827</v>
      </c>
      <c r="H1560" s="66" t="s">
        <v>287</v>
      </c>
      <c r="I1560" s="82">
        <f t="shared" si="8"/>
        <v>0.5441354293</v>
      </c>
      <c r="J1560" s="82">
        <f t="shared" si="4"/>
        <v>0.6476115897</v>
      </c>
    </row>
    <row r="1561">
      <c r="A1561" s="83">
        <v>44769.0</v>
      </c>
      <c r="B1561" s="66">
        <v>2380.0</v>
      </c>
      <c r="C1561" s="66">
        <v>2.0</v>
      </c>
      <c r="D1561" s="66" t="s">
        <v>227</v>
      </c>
      <c r="F1561" s="66">
        <v>0.404</v>
      </c>
      <c r="G1561" s="66">
        <v>0.247</v>
      </c>
      <c r="H1561" s="66" t="s">
        <v>287</v>
      </c>
      <c r="I1561" s="82">
        <f t="shared" si="8"/>
        <v>0.6356275304</v>
      </c>
      <c r="J1561" s="82">
        <f t="shared" si="4"/>
        <v>0.6113861386</v>
      </c>
    </row>
    <row r="1562">
      <c r="A1562" s="83">
        <v>44769.0</v>
      </c>
      <c r="B1562" s="66">
        <v>2345.0</v>
      </c>
      <c r="C1562" s="66">
        <v>2.0</v>
      </c>
      <c r="D1562" s="66" t="s">
        <v>228</v>
      </c>
      <c r="E1562" s="66">
        <v>0.0</v>
      </c>
      <c r="F1562" s="66">
        <v>1.368</v>
      </c>
      <c r="G1562" s="66">
        <v>0.818</v>
      </c>
      <c r="H1562" s="66" t="s">
        <v>287</v>
      </c>
      <c r="I1562" s="82">
        <f t="shared" si="8"/>
        <v>0.6723716381</v>
      </c>
      <c r="J1562" s="82">
        <f t="shared" si="4"/>
        <v>0.5979532164</v>
      </c>
    </row>
    <row r="1563">
      <c r="A1563" s="83">
        <v>44769.0</v>
      </c>
      <c r="B1563" s="66">
        <v>2345.0</v>
      </c>
      <c r="C1563" s="66">
        <v>2.0</v>
      </c>
      <c r="D1563" s="66" t="s">
        <v>227</v>
      </c>
      <c r="E1563" s="66">
        <v>0.0</v>
      </c>
      <c r="F1563" s="66">
        <v>0.076</v>
      </c>
      <c r="G1563" s="66">
        <v>0.042</v>
      </c>
      <c r="H1563" s="66" t="s">
        <v>287</v>
      </c>
      <c r="I1563" s="82">
        <f t="shared" si="8"/>
        <v>0.8095238095</v>
      </c>
      <c r="J1563" s="82">
        <f t="shared" si="4"/>
        <v>0.5526315789</v>
      </c>
    </row>
    <row r="1564">
      <c r="A1564" s="83">
        <v>44769.0</v>
      </c>
      <c r="B1564" s="66">
        <v>2376.0</v>
      </c>
      <c r="C1564" s="66">
        <v>2.0</v>
      </c>
      <c r="D1564" s="66" t="s">
        <v>228</v>
      </c>
      <c r="E1564" s="66">
        <v>1.0</v>
      </c>
      <c r="F1564" s="66">
        <v>1.691</v>
      </c>
      <c r="G1564" s="66">
        <v>1.063</v>
      </c>
      <c r="H1564" s="66" t="s">
        <v>287</v>
      </c>
      <c r="I1564" s="82">
        <f t="shared" si="8"/>
        <v>0.590780809</v>
      </c>
      <c r="J1564" s="82">
        <f t="shared" si="4"/>
        <v>0.6286221171</v>
      </c>
    </row>
    <row r="1565">
      <c r="A1565" s="83">
        <v>44769.0</v>
      </c>
      <c r="B1565" s="66">
        <v>2376.0</v>
      </c>
      <c r="C1565" s="66">
        <v>2.0</v>
      </c>
      <c r="D1565" s="66" t="s">
        <v>227</v>
      </c>
      <c r="E1565" s="66">
        <v>1.0</v>
      </c>
      <c r="F1565" s="66">
        <v>0.231</v>
      </c>
      <c r="G1565" s="66">
        <v>0.143</v>
      </c>
      <c r="H1565" s="66" t="s">
        <v>287</v>
      </c>
      <c r="I1565" s="82">
        <f t="shared" si="8"/>
        <v>0.6153846154</v>
      </c>
      <c r="J1565" s="82">
        <f t="shared" si="4"/>
        <v>0.619047619</v>
      </c>
    </row>
    <row r="1566">
      <c r="A1566" s="83">
        <v>44769.0</v>
      </c>
      <c r="B1566" s="66">
        <v>2379.0</v>
      </c>
      <c r="C1566" s="66">
        <v>1.0</v>
      </c>
      <c r="D1566" s="66" t="s">
        <v>228</v>
      </c>
      <c r="E1566" s="66">
        <v>0.0</v>
      </c>
      <c r="F1566" s="66">
        <v>0.911</v>
      </c>
      <c r="G1566" s="66">
        <v>0.526</v>
      </c>
      <c r="H1566" s="66" t="s">
        <v>286</v>
      </c>
      <c r="I1566" s="82">
        <f t="shared" si="8"/>
        <v>0.7319391635</v>
      </c>
      <c r="J1566" s="82">
        <f t="shared" si="4"/>
        <v>0.5773874863</v>
      </c>
    </row>
    <row r="1567">
      <c r="A1567" s="83">
        <v>44769.0</v>
      </c>
      <c r="B1567" s="66">
        <v>2379.0</v>
      </c>
      <c r="C1567" s="66">
        <v>1.0</v>
      </c>
      <c r="D1567" s="66" t="s">
        <v>227</v>
      </c>
      <c r="E1567" s="66">
        <v>0.0</v>
      </c>
      <c r="F1567" s="66">
        <v>0.068</v>
      </c>
      <c r="G1567" s="66">
        <v>0.039</v>
      </c>
      <c r="H1567" s="66" t="s">
        <v>286</v>
      </c>
      <c r="I1567" s="82">
        <f t="shared" si="8"/>
        <v>0.7435897436</v>
      </c>
      <c r="J1567" s="82">
        <f t="shared" si="4"/>
        <v>0.5735294118</v>
      </c>
    </row>
    <row r="1568">
      <c r="A1568" s="83">
        <v>44769.0</v>
      </c>
      <c r="B1568" s="66">
        <v>2343.0</v>
      </c>
      <c r="C1568" s="66">
        <v>2.0</v>
      </c>
      <c r="D1568" s="66" t="s">
        <v>228</v>
      </c>
      <c r="E1568" s="66">
        <v>0.0</v>
      </c>
      <c r="F1568" s="66">
        <v>1.158</v>
      </c>
      <c r="G1568" s="66">
        <v>0.669</v>
      </c>
      <c r="H1568" s="66" t="s">
        <v>286</v>
      </c>
      <c r="I1568" s="82">
        <f t="shared" si="8"/>
        <v>0.730941704</v>
      </c>
      <c r="J1568" s="82">
        <f t="shared" si="4"/>
        <v>0.5777202073</v>
      </c>
    </row>
    <row r="1569">
      <c r="A1569" s="83">
        <v>44769.0</v>
      </c>
      <c r="B1569" s="66">
        <v>2343.0</v>
      </c>
      <c r="C1569" s="66">
        <v>2.0</v>
      </c>
      <c r="D1569" s="66" t="s">
        <v>227</v>
      </c>
      <c r="E1569" s="66">
        <v>0.0</v>
      </c>
      <c r="F1569" s="66">
        <v>0.383</v>
      </c>
      <c r="G1569" s="66">
        <v>0.219</v>
      </c>
      <c r="H1569" s="66" t="s">
        <v>286</v>
      </c>
      <c r="I1569" s="82">
        <f t="shared" si="8"/>
        <v>0.7488584475</v>
      </c>
      <c r="J1569" s="82">
        <f t="shared" si="4"/>
        <v>0.5718015666</v>
      </c>
    </row>
    <row r="1570">
      <c r="A1570" s="83">
        <v>44769.0</v>
      </c>
      <c r="B1570" s="66">
        <v>2346.0</v>
      </c>
      <c r="C1570" s="66">
        <v>1.0</v>
      </c>
      <c r="D1570" s="66" t="s">
        <v>228</v>
      </c>
      <c r="E1570" s="66">
        <v>0.0</v>
      </c>
      <c r="F1570" s="66">
        <v>1.36</v>
      </c>
      <c r="G1570" s="66">
        <v>0.807</v>
      </c>
      <c r="H1570" s="66" t="s">
        <v>286</v>
      </c>
      <c r="I1570" s="82">
        <f t="shared" si="8"/>
        <v>0.6852540273</v>
      </c>
      <c r="J1570" s="82">
        <f t="shared" si="4"/>
        <v>0.5933823529</v>
      </c>
    </row>
    <row r="1571">
      <c r="A1571" s="83">
        <v>44769.0</v>
      </c>
      <c r="B1571" s="66">
        <v>2346.0</v>
      </c>
      <c r="C1571" s="66">
        <v>1.0</v>
      </c>
      <c r="D1571" s="66" t="s">
        <v>227</v>
      </c>
      <c r="E1571" s="66">
        <v>0.0</v>
      </c>
      <c r="F1571" s="66">
        <v>0.2</v>
      </c>
      <c r="G1571" s="66">
        <v>0.121</v>
      </c>
      <c r="H1571" s="66" t="s">
        <v>286</v>
      </c>
      <c r="I1571" s="82">
        <f t="shared" si="8"/>
        <v>0.652892562</v>
      </c>
      <c r="J1571" s="82">
        <f t="shared" si="4"/>
        <v>0.605</v>
      </c>
    </row>
    <row r="1572">
      <c r="A1572" s="83">
        <v>44769.0</v>
      </c>
      <c r="B1572" s="66">
        <v>2301.0</v>
      </c>
      <c r="C1572" s="66">
        <v>2.0</v>
      </c>
      <c r="D1572" s="66" t="s">
        <v>228</v>
      </c>
      <c r="E1572" s="66">
        <v>1.0</v>
      </c>
      <c r="F1572" s="66">
        <v>2.112</v>
      </c>
      <c r="G1572" s="66">
        <v>1.345</v>
      </c>
      <c r="H1572" s="66" t="s">
        <v>287</v>
      </c>
      <c r="I1572" s="82">
        <f t="shared" si="8"/>
        <v>0.570260223</v>
      </c>
      <c r="J1572" s="82">
        <f t="shared" si="4"/>
        <v>0.6368371212</v>
      </c>
    </row>
    <row r="1573">
      <c r="A1573" s="83">
        <v>44769.0</v>
      </c>
      <c r="B1573" s="66">
        <v>2301.0</v>
      </c>
      <c r="C1573" s="66">
        <v>2.0</v>
      </c>
      <c r="D1573" s="66" t="s">
        <v>227</v>
      </c>
      <c r="E1573" s="66">
        <v>1.0</v>
      </c>
      <c r="F1573" s="66">
        <v>0.46</v>
      </c>
      <c r="G1573" s="66">
        <v>0.278</v>
      </c>
      <c r="H1573" s="66" t="s">
        <v>287</v>
      </c>
      <c r="I1573" s="82">
        <f t="shared" si="8"/>
        <v>0.654676259</v>
      </c>
      <c r="J1573" s="82">
        <f t="shared" si="4"/>
        <v>0.6043478261</v>
      </c>
    </row>
    <row r="1574">
      <c r="A1574" s="83">
        <v>44769.0</v>
      </c>
      <c r="B1574" s="66">
        <v>2345.0</v>
      </c>
      <c r="C1574" s="66">
        <v>1.0</v>
      </c>
      <c r="D1574" s="66" t="s">
        <v>228</v>
      </c>
      <c r="E1574" s="66">
        <v>1.0</v>
      </c>
      <c r="F1574" s="66">
        <v>2.031</v>
      </c>
      <c r="G1574" s="66">
        <v>1.327</v>
      </c>
      <c r="H1574" s="66" t="s">
        <v>287</v>
      </c>
      <c r="I1574" s="82">
        <f t="shared" si="8"/>
        <v>0.5305199699</v>
      </c>
      <c r="J1574" s="82">
        <f t="shared" si="4"/>
        <v>0.6533727228</v>
      </c>
    </row>
    <row r="1575">
      <c r="A1575" s="83">
        <v>44769.0</v>
      </c>
      <c r="B1575" s="66">
        <v>2345.0</v>
      </c>
      <c r="C1575" s="66">
        <v>1.0</v>
      </c>
      <c r="D1575" s="66" t="s">
        <v>227</v>
      </c>
      <c r="E1575" s="66">
        <v>1.0</v>
      </c>
      <c r="F1575" s="66">
        <v>0.506</v>
      </c>
      <c r="G1575" s="66">
        <v>0.305</v>
      </c>
      <c r="H1575" s="66" t="s">
        <v>287</v>
      </c>
      <c r="I1575" s="82">
        <f t="shared" si="8"/>
        <v>0.6590163934</v>
      </c>
      <c r="J1575" s="82">
        <f t="shared" si="4"/>
        <v>0.6027667984</v>
      </c>
    </row>
    <row r="1576">
      <c r="A1576" s="83">
        <v>44769.0</v>
      </c>
      <c r="B1576" s="66">
        <v>2383.0</v>
      </c>
      <c r="C1576" s="66">
        <v>2.0</v>
      </c>
      <c r="D1576" s="66" t="s">
        <v>228</v>
      </c>
      <c r="E1576" s="66">
        <v>0.0</v>
      </c>
      <c r="F1576" s="66">
        <v>0.684</v>
      </c>
      <c r="G1576" s="66">
        <v>0.398</v>
      </c>
      <c r="H1576" s="66" t="s">
        <v>286</v>
      </c>
      <c r="I1576" s="82">
        <f t="shared" si="8"/>
        <v>0.7185929648</v>
      </c>
      <c r="J1576" s="82">
        <f t="shared" si="4"/>
        <v>0.581871345</v>
      </c>
    </row>
    <row r="1577">
      <c r="A1577" s="83">
        <v>44769.0</v>
      </c>
      <c r="B1577" s="66">
        <v>2383.0</v>
      </c>
      <c r="C1577" s="66">
        <v>2.0</v>
      </c>
      <c r="D1577" s="66" t="s">
        <v>227</v>
      </c>
      <c r="E1577" s="66">
        <v>0.0</v>
      </c>
      <c r="F1577" s="66">
        <v>0.091</v>
      </c>
      <c r="G1577" s="66">
        <v>0.053</v>
      </c>
      <c r="H1577" s="66" t="s">
        <v>286</v>
      </c>
      <c r="I1577" s="82">
        <f t="shared" si="8"/>
        <v>0.7169811321</v>
      </c>
      <c r="J1577" s="82">
        <f t="shared" si="4"/>
        <v>0.5824175824</v>
      </c>
    </row>
    <row r="1578">
      <c r="A1578" s="83">
        <v>44769.0</v>
      </c>
      <c r="B1578" s="66">
        <v>2301.0</v>
      </c>
      <c r="C1578" s="66">
        <v>1.0</v>
      </c>
      <c r="D1578" s="66" t="s">
        <v>228</v>
      </c>
      <c r="E1578" s="66">
        <v>1.0</v>
      </c>
      <c r="F1578" s="66">
        <v>3.308</v>
      </c>
      <c r="G1578" s="66">
        <v>2.135</v>
      </c>
      <c r="H1578" s="66" t="s">
        <v>287</v>
      </c>
      <c r="I1578" s="82">
        <f t="shared" si="8"/>
        <v>0.5494145199</v>
      </c>
      <c r="J1578" s="82">
        <f t="shared" si="4"/>
        <v>0.6454050786</v>
      </c>
    </row>
    <row r="1579">
      <c r="A1579" s="83">
        <v>44769.0</v>
      </c>
      <c r="B1579" s="66">
        <v>2301.0</v>
      </c>
      <c r="C1579" s="66">
        <v>1.0</v>
      </c>
      <c r="D1579" s="66" t="s">
        <v>227</v>
      </c>
      <c r="E1579" s="66">
        <v>1.0</v>
      </c>
      <c r="F1579" s="66">
        <v>0.718</v>
      </c>
      <c r="G1579" s="66">
        <v>0.448</v>
      </c>
      <c r="H1579" s="66" t="s">
        <v>287</v>
      </c>
      <c r="I1579" s="82">
        <f t="shared" si="8"/>
        <v>0.6026785714</v>
      </c>
      <c r="J1579" s="82">
        <f t="shared" si="4"/>
        <v>0.6239554318</v>
      </c>
    </row>
    <row r="1580">
      <c r="A1580" s="83">
        <v>44769.0</v>
      </c>
      <c r="B1580" s="66">
        <v>2331.0</v>
      </c>
      <c r="C1580" s="66">
        <v>1.0</v>
      </c>
      <c r="D1580" s="66" t="s">
        <v>228</v>
      </c>
      <c r="E1580" s="66">
        <v>1.0</v>
      </c>
      <c r="F1580" s="66">
        <v>2.101</v>
      </c>
      <c r="G1580" s="66">
        <v>1.355</v>
      </c>
      <c r="H1580" s="66" t="s">
        <v>287</v>
      </c>
      <c r="I1580" s="82">
        <f t="shared" si="8"/>
        <v>0.5505535055</v>
      </c>
      <c r="J1580" s="82">
        <f t="shared" si="4"/>
        <v>0.6449309852</v>
      </c>
    </row>
    <row r="1581">
      <c r="A1581" s="83">
        <v>44769.0</v>
      </c>
      <c r="B1581" s="66">
        <v>2331.0</v>
      </c>
      <c r="C1581" s="66">
        <v>1.0</v>
      </c>
      <c r="D1581" s="66" t="s">
        <v>227</v>
      </c>
      <c r="E1581" s="66">
        <v>1.0</v>
      </c>
      <c r="F1581" s="66">
        <v>0.645</v>
      </c>
      <c r="G1581" s="66">
        <v>0.399</v>
      </c>
      <c r="H1581" s="66" t="s">
        <v>287</v>
      </c>
      <c r="I1581" s="82">
        <f t="shared" si="8"/>
        <v>0.6165413534</v>
      </c>
      <c r="J1581" s="82">
        <f t="shared" si="4"/>
        <v>0.6186046512</v>
      </c>
    </row>
    <row r="1582">
      <c r="A1582" s="83">
        <v>44769.0</v>
      </c>
      <c r="B1582" s="66">
        <v>2370.0</v>
      </c>
      <c r="C1582" s="66">
        <v>1.0</v>
      </c>
      <c r="D1582" s="66" t="s">
        <v>228</v>
      </c>
      <c r="E1582" s="66">
        <v>0.0</v>
      </c>
      <c r="F1582" s="66">
        <v>1.036</v>
      </c>
      <c r="G1582" s="66">
        <v>0.61</v>
      </c>
      <c r="H1582" s="66" t="s">
        <v>286</v>
      </c>
      <c r="I1582" s="82">
        <f t="shared" si="8"/>
        <v>0.6983606557</v>
      </c>
      <c r="J1582" s="82">
        <f t="shared" si="4"/>
        <v>0.5888030888</v>
      </c>
    </row>
    <row r="1583">
      <c r="A1583" s="83">
        <v>44769.0</v>
      </c>
      <c r="B1583" s="66">
        <v>2370.0</v>
      </c>
      <c r="C1583" s="66">
        <v>1.0</v>
      </c>
      <c r="D1583" s="66" t="s">
        <v>227</v>
      </c>
      <c r="E1583" s="66">
        <v>0.0</v>
      </c>
      <c r="F1583" s="66">
        <v>0.111</v>
      </c>
      <c r="G1583" s="66">
        <v>0.064</v>
      </c>
      <c r="H1583" s="66" t="s">
        <v>286</v>
      </c>
      <c r="I1583" s="82">
        <f t="shared" si="8"/>
        <v>0.734375</v>
      </c>
      <c r="J1583" s="82">
        <f t="shared" si="4"/>
        <v>0.5765765766</v>
      </c>
    </row>
    <row r="1584">
      <c r="A1584" s="83">
        <v>44769.0</v>
      </c>
      <c r="B1584" s="66">
        <v>2346.0</v>
      </c>
      <c r="C1584" s="66">
        <v>2.0</v>
      </c>
      <c r="D1584" s="66" t="s">
        <v>228</v>
      </c>
      <c r="E1584" s="66">
        <v>0.0</v>
      </c>
      <c r="F1584" s="66">
        <v>1.139</v>
      </c>
      <c r="G1584" s="66">
        <v>0.674</v>
      </c>
      <c r="H1584" s="66" t="s">
        <v>286</v>
      </c>
      <c r="I1584" s="82">
        <f t="shared" si="8"/>
        <v>0.6899109792</v>
      </c>
      <c r="J1584" s="82">
        <f t="shared" si="4"/>
        <v>0.5917471466</v>
      </c>
    </row>
    <row r="1585">
      <c r="A1585" s="83">
        <v>44769.0</v>
      </c>
      <c r="B1585" s="66">
        <v>2346.0</v>
      </c>
      <c r="C1585" s="66">
        <v>2.0</v>
      </c>
      <c r="D1585" s="66" t="s">
        <v>227</v>
      </c>
      <c r="E1585" s="66">
        <v>0.0</v>
      </c>
      <c r="F1585" s="66">
        <v>0.175</v>
      </c>
      <c r="G1585" s="66">
        <v>0.106</v>
      </c>
      <c r="H1585" s="66" t="s">
        <v>286</v>
      </c>
      <c r="I1585" s="82">
        <f t="shared" si="8"/>
        <v>0.6509433962</v>
      </c>
      <c r="J1585" s="82">
        <f t="shared" si="4"/>
        <v>0.6057142857</v>
      </c>
    </row>
    <row r="1586">
      <c r="A1586" s="83">
        <v>44769.0</v>
      </c>
      <c r="B1586" s="66">
        <v>2354.0</v>
      </c>
      <c r="C1586" s="66">
        <v>1.0</v>
      </c>
      <c r="D1586" s="66" t="s">
        <v>228</v>
      </c>
      <c r="E1586" s="66">
        <v>0.0</v>
      </c>
      <c r="F1586" s="66">
        <v>1.873</v>
      </c>
      <c r="G1586" s="66">
        <v>1.095</v>
      </c>
      <c r="H1586" s="66" t="s">
        <v>287</v>
      </c>
      <c r="I1586" s="82">
        <f t="shared" si="8"/>
        <v>0.7105022831</v>
      </c>
      <c r="J1586" s="82">
        <f t="shared" si="4"/>
        <v>0.5846235985</v>
      </c>
    </row>
    <row r="1587">
      <c r="A1587" s="83">
        <v>44769.0</v>
      </c>
      <c r="B1587" s="66">
        <v>2354.0</v>
      </c>
      <c r="C1587" s="66">
        <v>1.0</v>
      </c>
      <c r="D1587" s="66" t="s">
        <v>227</v>
      </c>
      <c r="E1587" s="66">
        <v>0.0</v>
      </c>
      <c r="F1587" s="66">
        <v>0.134</v>
      </c>
      <c r="G1587" s="66">
        <v>0.07</v>
      </c>
      <c r="H1587" s="66" t="s">
        <v>287</v>
      </c>
      <c r="I1587" s="82">
        <f t="shared" si="8"/>
        <v>0.9142857143</v>
      </c>
      <c r="J1587" s="82">
        <f t="shared" si="4"/>
        <v>0.5223880597</v>
      </c>
    </row>
    <row r="1588">
      <c r="A1588" s="83">
        <v>44769.0</v>
      </c>
      <c r="B1588" s="66">
        <v>2377.0</v>
      </c>
      <c r="C1588" s="66">
        <v>1.0</v>
      </c>
      <c r="D1588" s="66" t="s">
        <v>228</v>
      </c>
      <c r="E1588" s="66">
        <v>0.0</v>
      </c>
      <c r="F1588" s="66">
        <v>0.994</v>
      </c>
      <c r="G1588" s="66">
        <v>0.592</v>
      </c>
      <c r="H1588" s="66" t="s">
        <v>287</v>
      </c>
      <c r="I1588" s="82">
        <f t="shared" si="8"/>
        <v>0.6790540541</v>
      </c>
      <c r="J1588" s="82">
        <f t="shared" si="4"/>
        <v>0.5955734406</v>
      </c>
    </row>
    <row r="1589">
      <c r="A1589" s="83">
        <v>44769.0</v>
      </c>
      <c r="B1589" s="66">
        <v>2377.0</v>
      </c>
      <c r="C1589" s="66">
        <v>1.0</v>
      </c>
      <c r="D1589" s="66" t="s">
        <v>227</v>
      </c>
      <c r="E1589" s="66">
        <v>0.0</v>
      </c>
      <c r="F1589" s="66">
        <v>0.188</v>
      </c>
      <c r="G1589" s="66">
        <v>0.105</v>
      </c>
      <c r="H1589" s="66" t="s">
        <v>287</v>
      </c>
      <c r="I1589" s="82">
        <f t="shared" si="8"/>
        <v>0.7904761905</v>
      </c>
      <c r="J1589" s="82">
        <f t="shared" si="4"/>
        <v>0.5585106383</v>
      </c>
    </row>
    <row r="1590">
      <c r="A1590" s="83">
        <v>44769.0</v>
      </c>
      <c r="B1590" s="66">
        <v>2377.0</v>
      </c>
      <c r="C1590" s="66">
        <v>1.0</v>
      </c>
      <c r="D1590" s="66" t="s">
        <v>228</v>
      </c>
      <c r="E1590" s="66">
        <v>1.0</v>
      </c>
      <c r="F1590" s="66">
        <v>2.584</v>
      </c>
      <c r="G1590" s="66">
        <v>1.66</v>
      </c>
      <c r="H1590" s="66" t="s">
        <v>287</v>
      </c>
      <c r="I1590" s="82">
        <f t="shared" si="8"/>
        <v>0.556626506</v>
      </c>
      <c r="J1590" s="82">
        <f t="shared" si="4"/>
        <v>0.6424148607</v>
      </c>
    </row>
    <row r="1591">
      <c r="A1591" s="83">
        <v>44769.0</v>
      </c>
      <c r="B1591" s="66">
        <v>2377.0</v>
      </c>
      <c r="C1591" s="66">
        <v>1.0</v>
      </c>
      <c r="D1591" s="66" t="s">
        <v>227</v>
      </c>
      <c r="E1591" s="66">
        <v>1.0</v>
      </c>
      <c r="F1591" s="66">
        <v>0.574</v>
      </c>
      <c r="G1591" s="66">
        <v>0.328</v>
      </c>
      <c r="H1591" s="66" t="s">
        <v>287</v>
      </c>
      <c r="I1591" s="82">
        <f t="shared" si="8"/>
        <v>0.75</v>
      </c>
      <c r="J1591" s="82">
        <f t="shared" si="4"/>
        <v>0.5714285714</v>
      </c>
    </row>
    <row r="1592">
      <c r="A1592" s="83">
        <v>44769.0</v>
      </c>
      <c r="B1592" s="66">
        <v>2354.0</v>
      </c>
      <c r="C1592" s="66">
        <v>0.0</v>
      </c>
      <c r="D1592" s="66" t="s">
        <v>228</v>
      </c>
      <c r="E1592" s="66">
        <v>0.0</v>
      </c>
      <c r="F1592" s="66">
        <v>0.217</v>
      </c>
      <c r="G1592" s="66">
        <v>0.133</v>
      </c>
      <c r="H1592" s="66" t="s">
        <v>287</v>
      </c>
      <c r="I1592" s="82">
        <f t="shared" si="8"/>
        <v>0.6315789474</v>
      </c>
      <c r="J1592" s="82">
        <f t="shared" si="4"/>
        <v>0.6129032258</v>
      </c>
    </row>
    <row r="1593">
      <c r="A1593" s="83">
        <v>44769.0</v>
      </c>
      <c r="B1593" s="66">
        <v>2354.0</v>
      </c>
      <c r="C1593" s="66">
        <v>0.0</v>
      </c>
      <c r="D1593" s="66" t="s">
        <v>227</v>
      </c>
      <c r="E1593" s="66">
        <v>0.0</v>
      </c>
      <c r="F1593" s="66">
        <v>0.051</v>
      </c>
      <c r="G1593" s="66">
        <v>0.028</v>
      </c>
      <c r="H1593" s="66" t="s">
        <v>287</v>
      </c>
      <c r="I1593" s="82">
        <f t="shared" si="8"/>
        <v>0.8214285714</v>
      </c>
      <c r="J1593" s="82">
        <f t="shared" si="4"/>
        <v>0.5490196078</v>
      </c>
    </row>
    <row r="1594">
      <c r="A1594" s="83">
        <v>44769.0</v>
      </c>
      <c r="B1594" s="66">
        <v>2347.0</v>
      </c>
      <c r="C1594" s="66">
        <v>1.0</v>
      </c>
      <c r="D1594" s="66" t="s">
        <v>228</v>
      </c>
      <c r="E1594" s="66">
        <v>0.0</v>
      </c>
      <c r="F1594" s="66">
        <v>1.447</v>
      </c>
      <c r="G1594" s="66">
        <v>0.831</v>
      </c>
      <c r="H1594" s="66" t="s">
        <v>286</v>
      </c>
      <c r="I1594" s="82">
        <f t="shared" si="8"/>
        <v>0.7412755716</v>
      </c>
      <c r="J1594" s="82">
        <f t="shared" si="4"/>
        <v>0.5742916379</v>
      </c>
    </row>
    <row r="1595">
      <c r="A1595" s="83">
        <v>44769.0</v>
      </c>
      <c r="B1595" s="66">
        <v>2347.0</v>
      </c>
      <c r="C1595" s="66">
        <v>1.0</v>
      </c>
      <c r="D1595" s="66" t="s">
        <v>227</v>
      </c>
      <c r="E1595" s="66">
        <v>0.0</v>
      </c>
      <c r="F1595" s="66">
        <v>0.146</v>
      </c>
      <c r="G1595" s="66">
        <v>0.089</v>
      </c>
      <c r="H1595" s="66" t="s">
        <v>286</v>
      </c>
      <c r="I1595" s="82">
        <f t="shared" si="8"/>
        <v>0.6404494382</v>
      </c>
      <c r="J1595" s="82">
        <f t="shared" si="4"/>
        <v>0.6095890411</v>
      </c>
    </row>
    <row r="1596">
      <c r="A1596" s="83">
        <v>44769.0</v>
      </c>
      <c r="B1596" s="66">
        <v>2009.0</v>
      </c>
      <c r="C1596" s="66">
        <v>1.0</v>
      </c>
      <c r="D1596" s="66" t="s">
        <v>228</v>
      </c>
      <c r="E1596" s="66">
        <v>0.0</v>
      </c>
      <c r="F1596" s="66">
        <v>1.511</v>
      </c>
      <c r="G1596" s="66">
        <v>0.908</v>
      </c>
      <c r="H1596" s="66" t="s">
        <v>286</v>
      </c>
      <c r="I1596" s="82">
        <f t="shared" si="8"/>
        <v>0.6640969163</v>
      </c>
      <c r="J1596" s="82">
        <f t="shared" si="4"/>
        <v>0.6009265387</v>
      </c>
    </row>
    <row r="1597">
      <c r="A1597" s="83">
        <v>44769.0</v>
      </c>
      <c r="B1597" s="66">
        <v>2009.0</v>
      </c>
      <c r="C1597" s="66">
        <v>1.0</v>
      </c>
      <c r="D1597" s="66" t="s">
        <v>227</v>
      </c>
      <c r="E1597" s="66">
        <v>0.0</v>
      </c>
      <c r="F1597" s="66">
        <v>0.097</v>
      </c>
      <c r="G1597" s="66">
        <v>0.059</v>
      </c>
      <c r="H1597" s="66" t="s">
        <v>286</v>
      </c>
      <c r="I1597" s="82">
        <f t="shared" si="8"/>
        <v>0.6440677966</v>
      </c>
      <c r="J1597" s="82">
        <f t="shared" si="4"/>
        <v>0.6082474227</v>
      </c>
    </row>
    <row r="1598">
      <c r="A1598" s="83">
        <v>44769.0</v>
      </c>
      <c r="B1598" s="66">
        <v>2375.0</v>
      </c>
      <c r="C1598" s="66">
        <v>1.0</v>
      </c>
      <c r="D1598" s="66" t="s">
        <v>228</v>
      </c>
      <c r="E1598" s="66">
        <v>0.0</v>
      </c>
      <c r="F1598" s="66">
        <v>2.628</v>
      </c>
      <c r="G1598" s="66">
        <v>1.492</v>
      </c>
      <c r="H1598" s="66" t="s">
        <v>286</v>
      </c>
      <c r="I1598" s="82">
        <f t="shared" si="8"/>
        <v>0.7613941019</v>
      </c>
      <c r="J1598" s="82">
        <f t="shared" si="4"/>
        <v>0.5677321157</v>
      </c>
    </row>
    <row r="1599">
      <c r="A1599" s="83">
        <v>44769.0</v>
      </c>
      <c r="B1599" s="66">
        <v>2375.0</v>
      </c>
      <c r="C1599" s="66">
        <v>1.0</v>
      </c>
      <c r="D1599" s="66" t="s">
        <v>227</v>
      </c>
      <c r="E1599" s="66">
        <v>0.0</v>
      </c>
      <c r="F1599" s="66">
        <v>0.848</v>
      </c>
      <c r="G1599" s="66">
        <v>0.49</v>
      </c>
      <c r="H1599" s="66" t="s">
        <v>286</v>
      </c>
      <c r="I1599" s="82">
        <f t="shared" si="8"/>
        <v>0.7306122449</v>
      </c>
      <c r="J1599" s="82">
        <f t="shared" si="4"/>
        <v>0.5778301887</v>
      </c>
    </row>
    <row r="1600">
      <c r="A1600" s="83">
        <v>44769.0</v>
      </c>
      <c r="B1600" s="66">
        <v>2372.0</v>
      </c>
      <c r="C1600" s="66">
        <v>1.0</v>
      </c>
      <c r="D1600" s="66" t="s">
        <v>228</v>
      </c>
      <c r="E1600" s="66">
        <v>0.0</v>
      </c>
      <c r="F1600" s="66">
        <v>2.13</v>
      </c>
      <c r="G1600" s="66">
        <v>1.256</v>
      </c>
      <c r="H1600" s="66" t="s">
        <v>286</v>
      </c>
      <c r="I1600" s="82">
        <f t="shared" si="8"/>
        <v>0.6958598726</v>
      </c>
      <c r="J1600" s="82">
        <f t="shared" si="4"/>
        <v>0.5896713615</v>
      </c>
    </row>
    <row r="1601">
      <c r="A1601" s="83">
        <v>44769.0</v>
      </c>
      <c r="B1601" s="66">
        <v>2372.0</v>
      </c>
      <c r="C1601" s="66">
        <v>1.0</v>
      </c>
      <c r="D1601" s="66" t="s">
        <v>227</v>
      </c>
      <c r="E1601" s="66">
        <v>0.0</v>
      </c>
      <c r="F1601" s="66">
        <v>0.42</v>
      </c>
      <c r="G1601" s="66">
        <v>0.256</v>
      </c>
      <c r="H1601" s="66" t="s">
        <v>286</v>
      </c>
      <c r="I1601" s="82">
        <f t="shared" si="8"/>
        <v>0.640625</v>
      </c>
      <c r="J1601" s="82">
        <f t="shared" si="4"/>
        <v>0.6095238095</v>
      </c>
    </row>
    <row r="1602">
      <c r="A1602" s="83">
        <v>44769.0</v>
      </c>
      <c r="B1602" s="66">
        <v>2377.0</v>
      </c>
      <c r="C1602" s="66">
        <v>2.0</v>
      </c>
      <c r="D1602" s="66" t="s">
        <v>228</v>
      </c>
      <c r="E1602" s="66">
        <v>1.0</v>
      </c>
      <c r="F1602" s="66">
        <v>1.012</v>
      </c>
      <c r="G1602" s="66">
        <v>0.649</v>
      </c>
      <c r="H1602" s="66" t="s">
        <v>287</v>
      </c>
      <c r="I1602" s="82">
        <f t="shared" si="8"/>
        <v>0.5593220339</v>
      </c>
      <c r="J1602" s="82">
        <f t="shared" si="4"/>
        <v>0.6413043478</v>
      </c>
    </row>
    <row r="1603">
      <c r="A1603" s="83">
        <v>44769.0</v>
      </c>
      <c r="B1603" s="66">
        <v>2377.0</v>
      </c>
      <c r="C1603" s="66">
        <v>2.0</v>
      </c>
      <c r="D1603" s="66" t="s">
        <v>227</v>
      </c>
      <c r="E1603" s="66">
        <v>1.0</v>
      </c>
      <c r="F1603" s="66">
        <v>0.323</v>
      </c>
      <c r="G1603" s="66">
        <v>0.192</v>
      </c>
      <c r="H1603" s="66" t="s">
        <v>287</v>
      </c>
      <c r="I1603" s="82">
        <f t="shared" si="8"/>
        <v>0.6822916667</v>
      </c>
      <c r="J1603" s="82">
        <f t="shared" si="4"/>
        <v>0.5944272446</v>
      </c>
    </row>
    <row r="1604">
      <c r="A1604" s="83">
        <v>44769.0</v>
      </c>
      <c r="B1604" s="66">
        <v>2347.0</v>
      </c>
      <c r="C1604" s="66">
        <v>2.0</v>
      </c>
      <c r="D1604" s="66" t="s">
        <v>228</v>
      </c>
      <c r="E1604" s="66">
        <v>0.0</v>
      </c>
      <c r="F1604" s="66">
        <v>2.411</v>
      </c>
      <c r="G1604" s="66">
        <v>1.368</v>
      </c>
      <c r="H1604" s="66" t="s">
        <v>286</v>
      </c>
      <c r="I1604" s="82">
        <f t="shared" si="8"/>
        <v>0.7624269006</v>
      </c>
      <c r="J1604" s="82">
        <f t="shared" si="4"/>
        <v>0.5673994193</v>
      </c>
    </row>
    <row r="1605">
      <c r="A1605" s="83">
        <v>44769.0</v>
      </c>
      <c r="B1605" s="66">
        <v>2347.0</v>
      </c>
      <c r="C1605" s="66">
        <v>2.0</v>
      </c>
      <c r="D1605" s="66" t="s">
        <v>227</v>
      </c>
      <c r="E1605" s="66">
        <v>0.0</v>
      </c>
      <c r="F1605" s="66">
        <v>0.208</v>
      </c>
      <c r="G1605" s="66">
        <v>0.126</v>
      </c>
      <c r="H1605" s="66" t="s">
        <v>286</v>
      </c>
      <c r="I1605" s="82">
        <f t="shared" si="8"/>
        <v>0.6507936508</v>
      </c>
      <c r="J1605" s="82">
        <f t="shared" si="4"/>
        <v>0.6057692308</v>
      </c>
    </row>
    <row r="1606">
      <c r="A1606" s="83">
        <v>44769.0</v>
      </c>
      <c r="B1606" s="66">
        <v>2378.0</v>
      </c>
      <c r="C1606" s="66">
        <v>2.0</v>
      </c>
      <c r="D1606" s="66" t="s">
        <v>228</v>
      </c>
      <c r="E1606" s="66">
        <v>0.0</v>
      </c>
      <c r="F1606" s="66">
        <v>0.656</v>
      </c>
      <c r="G1606" s="66">
        <v>0.366</v>
      </c>
      <c r="H1606" s="66" t="s">
        <v>286</v>
      </c>
      <c r="I1606" s="82">
        <f t="shared" si="8"/>
        <v>0.7923497268</v>
      </c>
      <c r="J1606" s="82">
        <f t="shared" si="4"/>
        <v>0.5579268293</v>
      </c>
    </row>
    <row r="1607">
      <c r="A1607" s="83">
        <v>44769.0</v>
      </c>
      <c r="B1607" s="66">
        <v>2378.0</v>
      </c>
      <c r="C1607" s="66">
        <v>2.0</v>
      </c>
      <c r="D1607" s="66" t="s">
        <v>227</v>
      </c>
      <c r="E1607" s="66">
        <v>0.0</v>
      </c>
      <c r="F1607" s="66">
        <v>0.081</v>
      </c>
      <c r="G1607" s="66">
        <v>0.047</v>
      </c>
      <c r="H1607" s="66" t="s">
        <v>286</v>
      </c>
      <c r="I1607" s="82">
        <f t="shared" si="8"/>
        <v>0.7234042553</v>
      </c>
      <c r="J1607" s="82">
        <f t="shared" si="4"/>
        <v>0.5802469136</v>
      </c>
    </row>
    <row r="1608">
      <c r="A1608" s="83">
        <v>44769.0</v>
      </c>
      <c r="B1608" s="66">
        <v>2376.0</v>
      </c>
      <c r="C1608" s="66">
        <v>1.0</v>
      </c>
      <c r="D1608" s="66" t="s">
        <v>228</v>
      </c>
      <c r="E1608" s="66">
        <v>1.0</v>
      </c>
      <c r="F1608" s="66">
        <v>2.216</v>
      </c>
      <c r="G1608" s="66">
        <v>1.407</v>
      </c>
      <c r="H1608" s="66" t="s">
        <v>287</v>
      </c>
      <c r="I1608" s="82">
        <f t="shared" si="8"/>
        <v>0.5749822317</v>
      </c>
      <c r="J1608" s="82">
        <f t="shared" si="4"/>
        <v>0.6349277978</v>
      </c>
    </row>
    <row r="1609">
      <c r="A1609" s="83">
        <v>44769.0</v>
      </c>
      <c r="B1609" s="66">
        <v>2376.0</v>
      </c>
      <c r="C1609" s="66">
        <v>1.0</v>
      </c>
      <c r="D1609" s="66" t="s">
        <v>227</v>
      </c>
      <c r="E1609" s="66">
        <v>1.0</v>
      </c>
      <c r="F1609" s="66">
        <v>0.297</v>
      </c>
      <c r="G1609" s="66">
        <v>0.183</v>
      </c>
      <c r="H1609" s="66" t="s">
        <v>287</v>
      </c>
      <c r="I1609" s="82">
        <f t="shared" si="8"/>
        <v>0.6229508197</v>
      </c>
      <c r="J1609" s="82">
        <f t="shared" si="4"/>
        <v>0.6161616162</v>
      </c>
    </row>
    <row r="1610">
      <c r="A1610" s="83">
        <v>44769.0</v>
      </c>
      <c r="B1610" s="66">
        <v>2367.0</v>
      </c>
      <c r="C1610" s="66">
        <v>1.0</v>
      </c>
      <c r="D1610" s="66" t="s">
        <v>228</v>
      </c>
      <c r="E1610" s="66">
        <v>0.0</v>
      </c>
      <c r="F1610" s="66">
        <v>1.168</v>
      </c>
      <c r="G1610" s="66">
        <v>0.701</v>
      </c>
      <c r="H1610" s="66" t="s">
        <v>286</v>
      </c>
      <c r="I1610" s="82">
        <f t="shared" si="8"/>
        <v>0.6661911555</v>
      </c>
      <c r="J1610" s="82">
        <f t="shared" si="4"/>
        <v>0.6001712329</v>
      </c>
    </row>
    <row r="1611">
      <c r="A1611" s="83">
        <v>44769.0</v>
      </c>
      <c r="B1611" s="66">
        <v>2367.0</v>
      </c>
      <c r="C1611" s="66">
        <v>1.0</v>
      </c>
      <c r="D1611" s="66" t="s">
        <v>227</v>
      </c>
      <c r="E1611" s="66">
        <v>0.0</v>
      </c>
      <c r="F1611" s="66">
        <v>0.111</v>
      </c>
      <c r="G1611" s="66">
        <v>0.068</v>
      </c>
      <c r="H1611" s="66" t="s">
        <v>286</v>
      </c>
      <c r="I1611" s="82">
        <f t="shared" si="8"/>
        <v>0.6323529412</v>
      </c>
      <c r="J1611" s="82">
        <f t="shared" si="4"/>
        <v>0.6126126126</v>
      </c>
    </row>
    <row r="1612">
      <c r="A1612" s="83">
        <v>44769.0</v>
      </c>
      <c r="B1612" s="66">
        <v>2371.0</v>
      </c>
      <c r="C1612" s="66">
        <v>2.0</v>
      </c>
      <c r="D1612" s="66" t="s">
        <v>228</v>
      </c>
      <c r="E1612" s="66">
        <v>0.0</v>
      </c>
      <c r="F1612" s="66">
        <v>0.793</v>
      </c>
      <c r="G1612" s="66">
        <v>0.465</v>
      </c>
      <c r="H1612" s="66" t="s">
        <v>286</v>
      </c>
      <c r="I1612" s="82">
        <f t="shared" si="8"/>
        <v>0.7053763441</v>
      </c>
      <c r="J1612" s="82">
        <f t="shared" si="4"/>
        <v>0.5863808323</v>
      </c>
    </row>
    <row r="1613">
      <c r="A1613" s="83">
        <v>44769.0</v>
      </c>
      <c r="B1613" s="66">
        <v>2371.0</v>
      </c>
      <c r="C1613" s="66">
        <v>2.0</v>
      </c>
      <c r="D1613" s="66" t="s">
        <v>227</v>
      </c>
      <c r="E1613" s="66">
        <v>0.0</v>
      </c>
      <c r="F1613" s="66">
        <v>0.068</v>
      </c>
      <c r="G1613" s="66">
        <v>0.039</v>
      </c>
      <c r="H1613" s="66" t="s">
        <v>286</v>
      </c>
      <c r="I1613" s="82">
        <f t="shared" si="8"/>
        <v>0.7435897436</v>
      </c>
      <c r="J1613" s="82">
        <f t="shared" si="4"/>
        <v>0.5735294118</v>
      </c>
    </row>
    <row r="1614">
      <c r="A1614" s="83">
        <v>44769.0</v>
      </c>
      <c r="B1614" s="66">
        <v>2384.0</v>
      </c>
      <c r="C1614" s="66">
        <v>2.0</v>
      </c>
      <c r="D1614" s="66" t="s">
        <v>228</v>
      </c>
      <c r="E1614" s="66">
        <v>0.0</v>
      </c>
      <c r="F1614" s="66">
        <v>0.826</v>
      </c>
      <c r="G1614" s="66">
        <v>0.49</v>
      </c>
      <c r="H1614" s="66" t="s">
        <v>286</v>
      </c>
      <c r="I1614" s="82">
        <f t="shared" si="8"/>
        <v>0.6857142857</v>
      </c>
      <c r="J1614" s="82">
        <f t="shared" si="4"/>
        <v>0.593220339</v>
      </c>
    </row>
    <row r="1615">
      <c r="A1615" s="83">
        <v>44769.0</v>
      </c>
      <c r="B1615" s="66">
        <v>2384.0</v>
      </c>
      <c r="C1615" s="66">
        <v>2.0</v>
      </c>
      <c r="D1615" s="66" t="s">
        <v>227</v>
      </c>
      <c r="E1615" s="66">
        <v>0.0</v>
      </c>
      <c r="F1615" s="66">
        <v>0.105</v>
      </c>
      <c r="G1615" s="66">
        <v>0.065</v>
      </c>
      <c r="H1615" s="66" t="s">
        <v>286</v>
      </c>
      <c r="I1615" s="82">
        <f t="shared" si="8"/>
        <v>0.6153846154</v>
      </c>
      <c r="J1615" s="82">
        <f t="shared" si="4"/>
        <v>0.619047619</v>
      </c>
    </row>
    <row r="1616">
      <c r="A1616" s="83">
        <v>44769.0</v>
      </c>
      <c r="B1616" s="66">
        <v>2360.0</v>
      </c>
      <c r="C1616" s="66">
        <v>1.0</v>
      </c>
      <c r="D1616" s="66" t="s">
        <v>228</v>
      </c>
      <c r="E1616" s="66">
        <v>0.0</v>
      </c>
      <c r="F1616" s="66">
        <v>0.638</v>
      </c>
      <c r="G1616" s="66">
        <v>0.359</v>
      </c>
      <c r="H1616" s="66" t="s">
        <v>286</v>
      </c>
      <c r="I1616" s="82">
        <f t="shared" si="8"/>
        <v>0.7771587744</v>
      </c>
      <c r="J1616" s="82">
        <f t="shared" si="4"/>
        <v>0.5626959248</v>
      </c>
    </row>
    <row r="1617">
      <c r="A1617" s="83">
        <v>44769.0</v>
      </c>
      <c r="B1617" s="66">
        <v>2360.0</v>
      </c>
      <c r="C1617" s="66">
        <v>1.0</v>
      </c>
      <c r="D1617" s="66" t="s">
        <v>227</v>
      </c>
      <c r="E1617" s="66">
        <v>0.0</v>
      </c>
      <c r="F1617" s="66">
        <v>0.087</v>
      </c>
      <c r="G1617" s="66">
        <v>0.054</v>
      </c>
      <c r="H1617" s="66" t="s">
        <v>286</v>
      </c>
      <c r="I1617" s="82">
        <f t="shared" si="8"/>
        <v>0.6111111111</v>
      </c>
      <c r="J1617" s="82">
        <f t="shared" si="4"/>
        <v>0.6206896552</v>
      </c>
    </row>
    <row r="1618">
      <c r="A1618" s="83">
        <v>44769.0</v>
      </c>
      <c r="B1618" s="66">
        <v>2354.0</v>
      </c>
      <c r="C1618" s="66">
        <v>2.0</v>
      </c>
      <c r="D1618" s="66" t="s">
        <v>228</v>
      </c>
      <c r="E1618" s="66">
        <v>1.0</v>
      </c>
      <c r="F1618" s="66">
        <v>1.371</v>
      </c>
      <c r="G1618" s="66">
        <v>0.898</v>
      </c>
      <c r="H1618" s="66" t="s">
        <v>287</v>
      </c>
      <c r="I1618" s="82">
        <f t="shared" si="8"/>
        <v>0.5267260579</v>
      </c>
      <c r="J1618" s="82">
        <f t="shared" si="4"/>
        <v>0.654996353</v>
      </c>
    </row>
    <row r="1619">
      <c r="A1619" s="83">
        <v>44769.0</v>
      </c>
      <c r="B1619" s="66">
        <v>2354.0</v>
      </c>
      <c r="C1619" s="66">
        <v>2.0</v>
      </c>
      <c r="D1619" s="66" t="s">
        <v>227</v>
      </c>
      <c r="E1619" s="66">
        <v>1.0</v>
      </c>
      <c r="F1619" s="66">
        <v>0.494</v>
      </c>
      <c r="G1619" s="66">
        <v>0.284</v>
      </c>
      <c r="H1619" s="66" t="s">
        <v>287</v>
      </c>
      <c r="I1619" s="82">
        <f t="shared" si="8"/>
        <v>0.7394366197</v>
      </c>
      <c r="J1619" s="82">
        <f t="shared" si="4"/>
        <v>0.5748987854</v>
      </c>
    </row>
    <row r="1620">
      <c r="A1620" s="83">
        <v>44769.0</v>
      </c>
      <c r="B1620" s="66">
        <v>2369.0</v>
      </c>
      <c r="C1620" s="66">
        <v>1.0</v>
      </c>
      <c r="D1620" s="66" t="s">
        <v>228</v>
      </c>
      <c r="E1620" s="66">
        <v>0.0</v>
      </c>
      <c r="F1620" s="66">
        <v>2.417</v>
      </c>
      <c r="G1620" s="66">
        <v>1.431</v>
      </c>
      <c r="H1620" s="66" t="s">
        <v>286</v>
      </c>
      <c r="I1620" s="82">
        <f t="shared" si="8"/>
        <v>0.6890286513</v>
      </c>
      <c r="J1620" s="82">
        <f t="shared" si="4"/>
        <v>0.5920562681</v>
      </c>
    </row>
    <row r="1621">
      <c r="A1621" s="83">
        <v>44769.0</v>
      </c>
      <c r="B1621" s="66">
        <v>2369.0</v>
      </c>
      <c r="C1621" s="66">
        <v>1.0</v>
      </c>
      <c r="D1621" s="66" t="s">
        <v>227</v>
      </c>
      <c r="E1621" s="66">
        <v>0.0</v>
      </c>
      <c r="F1621" s="66">
        <v>0.199</v>
      </c>
      <c r="G1621" s="66">
        <v>0.124</v>
      </c>
      <c r="H1621" s="66" t="s">
        <v>286</v>
      </c>
      <c r="I1621" s="82">
        <f t="shared" si="8"/>
        <v>0.6048387097</v>
      </c>
      <c r="J1621" s="82">
        <f t="shared" si="4"/>
        <v>0.6231155779</v>
      </c>
    </row>
    <row r="1622">
      <c r="A1622" s="83">
        <v>44769.0</v>
      </c>
      <c r="B1622" s="66">
        <v>2381.0</v>
      </c>
      <c r="C1622" s="66">
        <v>1.0</v>
      </c>
      <c r="D1622" s="66" t="s">
        <v>228</v>
      </c>
      <c r="E1622" s="66">
        <v>0.0</v>
      </c>
      <c r="F1622" s="66">
        <v>1.522</v>
      </c>
      <c r="G1622" s="66">
        <v>0.865</v>
      </c>
      <c r="H1622" s="66" t="s">
        <v>286</v>
      </c>
      <c r="I1622" s="82">
        <f t="shared" si="8"/>
        <v>0.7595375723</v>
      </c>
      <c r="J1622" s="82">
        <f t="shared" si="4"/>
        <v>0.5683311432</v>
      </c>
    </row>
    <row r="1623">
      <c r="A1623" s="83">
        <v>44769.0</v>
      </c>
      <c r="B1623" s="66">
        <v>2381.0</v>
      </c>
      <c r="C1623" s="66">
        <v>1.0</v>
      </c>
      <c r="D1623" s="66" t="s">
        <v>227</v>
      </c>
      <c r="E1623" s="66">
        <v>0.0</v>
      </c>
      <c r="F1623" s="66">
        <v>0.287</v>
      </c>
      <c r="G1623" s="66">
        <v>0.168</v>
      </c>
      <c r="H1623" s="66" t="s">
        <v>286</v>
      </c>
      <c r="I1623" s="82">
        <f t="shared" si="8"/>
        <v>0.7083333333</v>
      </c>
      <c r="J1623" s="82">
        <f t="shared" si="4"/>
        <v>0.5853658537</v>
      </c>
    </row>
    <row r="1624">
      <c r="A1624" s="83">
        <v>44769.0</v>
      </c>
      <c r="B1624" s="66">
        <v>2352.0</v>
      </c>
      <c r="C1624" s="66">
        <v>1.0</v>
      </c>
      <c r="D1624" s="66" t="s">
        <v>228</v>
      </c>
      <c r="E1624" s="66">
        <v>0.0</v>
      </c>
      <c r="F1624" s="66">
        <v>0.785</v>
      </c>
      <c r="G1624" s="66">
        <v>0.48</v>
      </c>
      <c r="H1624" s="66" t="s">
        <v>287</v>
      </c>
      <c r="I1624" s="82">
        <f t="shared" si="8"/>
        <v>0.6354166667</v>
      </c>
      <c r="J1624" s="82">
        <f t="shared" si="4"/>
        <v>0.6114649682</v>
      </c>
    </row>
    <row r="1625">
      <c r="A1625" s="83">
        <v>44769.0</v>
      </c>
      <c r="B1625" s="66">
        <v>2352.0</v>
      </c>
      <c r="C1625" s="66">
        <v>1.0</v>
      </c>
      <c r="D1625" s="66" t="s">
        <v>227</v>
      </c>
      <c r="E1625" s="66">
        <v>0.0</v>
      </c>
      <c r="F1625" s="66">
        <v>0.114</v>
      </c>
      <c r="G1625" s="66">
        <v>0.064</v>
      </c>
      <c r="H1625" s="66" t="s">
        <v>287</v>
      </c>
      <c r="I1625" s="82">
        <f t="shared" si="8"/>
        <v>0.78125</v>
      </c>
      <c r="J1625" s="82">
        <f t="shared" si="4"/>
        <v>0.5614035088</v>
      </c>
    </row>
    <row r="1626">
      <c r="A1626" s="83">
        <v>44769.0</v>
      </c>
      <c r="B1626" s="66">
        <v>2382.0</v>
      </c>
      <c r="C1626" s="66">
        <v>2.0</v>
      </c>
      <c r="D1626" s="66" t="s">
        <v>228</v>
      </c>
      <c r="E1626" s="66">
        <v>0.0</v>
      </c>
      <c r="F1626" s="66">
        <v>1.573</v>
      </c>
      <c r="G1626" s="66">
        <v>0.943</v>
      </c>
      <c r="H1626" s="66" t="s">
        <v>286</v>
      </c>
      <c r="I1626" s="82">
        <f t="shared" si="8"/>
        <v>0.6680805938</v>
      </c>
      <c r="J1626" s="82">
        <f t="shared" si="4"/>
        <v>0.5994914177</v>
      </c>
    </row>
    <row r="1627">
      <c r="A1627" s="83">
        <v>44769.0</v>
      </c>
      <c r="B1627" s="66">
        <v>2382.0</v>
      </c>
      <c r="C1627" s="66">
        <v>2.0</v>
      </c>
      <c r="D1627" s="66" t="s">
        <v>227</v>
      </c>
      <c r="E1627" s="66">
        <v>0.0</v>
      </c>
      <c r="F1627" s="66">
        <v>0.082</v>
      </c>
      <c r="G1627" s="66">
        <v>0.05</v>
      </c>
      <c r="H1627" s="66" t="s">
        <v>286</v>
      </c>
      <c r="I1627" s="82">
        <f t="shared" si="8"/>
        <v>0.64</v>
      </c>
      <c r="J1627" s="82">
        <f t="shared" si="4"/>
        <v>0.6097560976</v>
      </c>
    </row>
    <row r="1628">
      <c r="A1628" s="83">
        <v>44769.0</v>
      </c>
      <c r="B1628" s="66">
        <v>2345.0</v>
      </c>
      <c r="C1628" s="66">
        <v>2.0</v>
      </c>
      <c r="D1628" s="66" t="s">
        <v>228</v>
      </c>
      <c r="E1628" s="66">
        <v>1.0</v>
      </c>
      <c r="F1628" s="66">
        <v>1.419</v>
      </c>
      <c r="G1628" s="66">
        <v>0.914</v>
      </c>
      <c r="H1628" s="66" t="s">
        <v>287</v>
      </c>
      <c r="I1628" s="82">
        <f t="shared" si="8"/>
        <v>0.5525164114</v>
      </c>
      <c r="J1628" s="82">
        <f t="shared" si="4"/>
        <v>0.6441155743</v>
      </c>
    </row>
    <row r="1629">
      <c r="A1629" s="83">
        <v>44769.0</v>
      </c>
      <c r="B1629" s="66">
        <v>2345.0</v>
      </c>
      <c r="C1629" s="66">
        <v>2.0</v>
      </c>
      <c r="D1629" s="66" t="s">
        <v>227</v>
      </c>
      <c r="E1629" s="66">
        <v>1.0</v>
      </c>
      <c r="F1629" s="66">
        <v>0.371</v>
      </c>
      <c r="G1629" s="66">
        <v>0.225</v>
      </c>
      <c r="H1629" s="66" t="s">
        <v>287</v>
      </c>
      <c r="I1629" s="82">
        <f t="shared" si="8"/>
        <v>0.6488888889</v>
      </c>
      <c r="J1629" s="82">
        <f t="shared" si="4"/>
        <v>0.6064690027</v>
      </c>
    </row>
    <row r="1630">
      <c r="A1630" s="83">
        <v>44769.0</v>
      </c>
      <c r="B1630" s="66">
        <v>2011.0</v>
      </c>
      <c r="C1630" s="66">
        <v>1.0</v>
      </c>
      <c r="D1630" s="66" t="s">
        <v>228</v>
      </c>
      <c r="E1630" s="66">
        <v>0.0</v>
      </c>
      <c r="F1630" s="66">
        <v>1.748</v>
      </c>
      <c r="G1630" s="66">
        <v>1.029</v>
      </c>
      <c r="H1630" s="66" t="s">
        <v>286</v>
      </c>
      <c r="I1630" s="82">
        <f t="shared" si="8"/>
        <v>0.6987366375</v>
      </c>
      <c r="J1630" s="82">
        <f t="shared" si="4"/>
        <v>0.5886727689</v>
      </c>
    </row>
    <row r="1631">
      <c r="A1631" s="83">
        <v>44769.0</v>
      </c>
      <c r="B1631" s="66">
        <v>2011.0</v>
      </c>
      <c r="C1631" s="66">
        <v>1.0</v>
      </c>
      <c r="D1631" s="66" t="s">
        <v>227</v>
      </c>
      <c r="E1631" s="66">
        <v>0.0</v>
      </c>
      <c r="F1631" s="66">
        <v>0.301</v>
      </c>
      <c r="G1631" s="66">
        <v>0.17</v>
      </c>
      <c r="H1631" s="66" t="s">
        <v>286</v>
      </c>
      <c r="I1631" s="82">
        <f t="shared" si="8"/>
        <v>0.7705882353</v>
      </c>
      <c r="J1631" s="82">
        <f t="shared" si="4"/>
        <v>0.5647840532</v>
      </c>
    </row>
    <row r="1632">
      <c r="A1632" s="83">
        <v>44769.0</v>
      </c>
      <c r="B1632" s="66">
        <v>2331.0</v>
      </c>
      <c r="C1632" s="66">
        <v>2.0</v>
      </c>
      <c r="D1632" s="66" t="s">
        <v>228</v>
      </c>
      <c r="E1632" s="66">
        <v>1.0</v>
      </c>
      <c r="F1632" s="66">
        <v>1.1</v>
      </c>
      <c r="G1632" s="66">
        <v>0.723</v>
      </c>
      <c r="H1632" s="66" t="s">
        <v>287</v>
      </c>
      <c r="I1632" s="82">
        <f t="shared" si="8"/>
        <v>0.5214384509</v>
      </c>
      <c r="J1632" s="82">
        <f t="shared" si="4"/>
        <v>0.6572727273</v>
      </c>
    </row>
    <row r="1633">
      <c r="A1633" s="83">
        <v>44769.0</v>
      </c>
      <c r="B1633" s="66">
        <v>2331.0</v>
      </c>
      <c r="C1633" s="66">
        <v>2.0</v>
      </c>
      <c r="D1633" s="66" t="s">
        <v>227</v>
      </c>
      <c r="E1633" s="66">
        <v>1.0</v>
      </c>
      <c r="F1633" s="66">
        <v>0.453</v>
      </c>
      <c r="G1633" s="66">
        <v>0.289</v>
      </c>
      <c r="H1633" s="66" t="s">
        <v>287</v>
      </c>
      <c r="I1633" s="82">
        <f t="shared" si="8"/>
        <v>0.5674740484</v>
      </c>
      <c r="J1633" s="82">
        <f t="shared" si="4"/>
        <v>0.6379690949</v>
      </c>
    </row>
    <row r="1634">
      <c r="A1634" s="83">
        <v>44769.0</v>
      </c>
      <c r="B1634" s="66">
        <v>2384.0</v>
      </c>
      <c r="C1634" s="66">
        <v>1.0</v>
      </c>
      <c r="D1634" s="66" t="s">
        <v>288</v>
      </c>
      <c r="E1634" s="66">
        <v>0.0</v>
      </c>
      <c r="F1634" s="66">
        <v>1.196</v>
      </c>
      <c r="G1634" s="66">
        <v>0.705</v>
      </c>
      <c r="H1634" s="66" t="s">
        <v>286</v>
      </c>
      <c r="I1634" s="82">
        <f t="shared" si="8"/>
        <v>0.6964539007</v>
      </c>
      <c r="J1634" s="82">
        <f t="shared" si="4"/>
        <v>0.5894648829</v>
      </c>
    </row>
    <row r="1635">
      <c r="A1635" s="83">
        <v>44769.0</v>
      </c>
      <c r="B1635" s="66">
        <v>2384.0</v>
      </c>
      <c r="C1635" s="66">
        <v>1.0</v>
      </c>
      <c r="D1635" s="66" t="s">
        <v>227</v>
      </c>
      <c r="E1635" s="66">
        <v>0.0</v>
      </c>
      <c r="F1635" s="66">
        <v>0.146</v>
      </c>
      <c r="G1635" s="66">
        <v>0.088</v>
      </c>
      <c r="H1635" s="66" t="s">
        <v>286</v>
      </c>
      <c r="I1635" s="82">
        <f t="shared" si="8"/>
        <v>0.6590909091</v>
      </c>
      <c r="J1635" s="82">
        <f t="shared" si="4"/>
        <v>0.602739726</v>
      </c>
    </row>
    <row r="1636">
      <c r="A1636" s="83">
        <v>44769.0</v>
      </c>
      <c r="B1636" s="66">
        <v>2381.0</v>
      </c>
      <c r="C1636" s="66">
        <v>2.0</v>
      </c>
      <c r="D1636" s="66" t="s">
        <v>228</v>
      </c>
      <c r="E1636" s="66">
        <v>0.0</v>
      </c>
      <c r="F1636" s="66">
        <v>2.111</v>
      </c>
      <c r="G1636" s="66">
        <v>1.2</v>
      </c>
      <c r="H1636" s="66" t="s">
        <v>286</v>
      </c>
      <c r="I1636" s="82">
        <f t="shared" si="8"/>
        <v>0.7591666667</v>
      </c>
      <c r="J1636" s="82">
        <f t="shared" si="4"/>
        <v>0.5684509711</v>
      </c>
    </row>
    <row r="1637">
      <c r="A1637" s="83">
        <v>44769.0</v>
      </c>
      <c r="B1637" s="66">
        <v>2381.0</v>
      </c>
      <c r="C1637" s="66">
        <v>2.0</v>
      </c>
      <c r="D1637" s="66" t="s">
        <v>227</v>
      </c>
      <c r="E1637" s="66">
        <v>0.0</v>
      </c>
      <c r="F1637" s="66">
        <v>0.193</v>
      </c>
      <c r="G1637" s="66">
        <v>0.115</v>
      </c>
      <c r="H1637" s="66" t="s">
        <v>286</v>
      </c>
      <c r="I1637" s="82">
        <f t="shared" si="8"/>
        <v>0.6782608696</v>
      </c>
      <c r="J1637" s="82">
        <f t="shared" si="4"/>
        <v>0.5958549223</v>
      </c>
    </row>
    <row r="1638">
      <c r="A1638" s="83">
        <v>44769.0</v>
      </c>
      <c r="B1638" s="66">
        <v>2381.0</v>
      </c>
      <c r="C1638" s="66">
        <v>1.0</v>
      </c>
      <c r="D1638" s="66" t="s">
        <v>228</v>
      </c>
      <c r="E1638" s="66">
        <v>0.0</v>
      </c>
      <c r="F1638" s="66">
        <v>1.434</v>
      </c>
      <c r="G1638" s="66">
        <v>0.851</v>
      </c>
      <c r="H1638" s="66" t="s">
        <v>286</v>
      </c>
      <c r="I1638" s="82">
        <f t="shared" si="8"/>
        <v>0.6850763807</v>
      </c>
      <c r="J1638" s="82">
        <f t="shared" si="4"/>
        <v>0.5934449093</v>
      </c>
    </row>
    <row r="1639">
      <c r="A1639" s="83">
        <v>44769.0</v>
      </c>
      <c r="B1639" s="66">
        <v>2381.0</v>
      </c>
      <c r="C1639" s="66">
        <v>1.0</v>
      </c>
      <c r="D1639" s="66" t="s">
        <v>227</v>
      </c>
      <c r="E1639" s="66">
        <v>0.0</v>
      </c>
      <c r="F1639" s="66">
        <v>0.177</v>
      </c>
      <c r="G1639" s="66">
        <v>0.107</v>
      </c>
      <c r="H1639" s="66" t="s">
        <v>286</v>
      </c>
      <c r="I1639" s="82">
        <f t="shared" si="8"/>
        <v>0.6542056075</v>
      </c>
      <c r="J1639" s="82">
        <f t="shared" si="4"/>
        <v>0.604519774</v>
      </c>
    </row>
    <row r="1640">
      <c r="A1640" s="83">
        <v>44769.0</v>
      </c>
      <c r="B1640" s="66">
        <v>2011.0</v>
      </c>
      <c r="C1640" s="66">
        <v>2.0</v>
      </c>
      <c r="D1640" s="66" t="s">
        <v>228</v>
      </c>
      <c r="E1640" s="66">
        <v>0.0</v>
      </c>
      <c r="F1640" s="66">
        <v>1.573</v>
      </c>
      <c r="G1640" s="66">
        <v>0.948</v>
      </c>
      <c r="H1640" s="66" t="s">
        <v>286</v>
      </c>
      <c r="I1640" s="82">
        <f t="shared" si="8"/>
        <v>0.6592827004</v>
      </c>
      <c r="J1640" s="82">
        <f t="shared" si="4"/>
        <v>0.6026700572</v>
      </c>
    </row>
    <row r="1641">
      <c r="A1641" s="83">
        <v>44769.0</v>
      </c>
      <c r="B1641" s="66">
        <v>2011.0</v>
      </c>
      <c r="C1641" s="66">
        <v>2.0</v>
      </c>
      <c r="D1641" s="66" t="s">
        <v>227</v>
      </c>
      <c r="E1641" s="66">
        <v>0.0</v>
      </c>
      <c r="F1641" s="66">
        <v>0.25</v>
      </c>
      <c r="G1641" s="66">
        <v>0.117</v>
      </c>
      <c r="H1641" s="66" t="s">
        <v>286</v>
      </c>
      <c r="I1641" s="82">
        <f t="shared" si="8"/>
        <v>1.136752137</v>
      </c>
      <c r="J1641" s="82">
        <f t="shared" si="4"/>
        <v>0.468</v>
      </c>
    </row>
    <row r="1642">
      <c r="A1642" s="83">
        <v>44769.0</v>
      </c>
      <c r="B1642" s="66">
        <v>2379.0</v>
      </c>
      <c r="C1642" s="66">
        <v>2.0</v>
      </c>
      <c r="D1642" s="66" t="s">
        <v>228</v>
      </c>
      <c r="E1642" s="66">
        <v>0.0</v>
      </c>
      <c r="F1642" s="66">
        <v>1.147</v>
      </c>
      <c r="G1642" s="66">
        <v>0.681</v>
      </c>
      <c r="H1642" s="66" t="s">
        <v>286</v>
      </c>
      <c r="I1642" s="82">
        <f t="shared" si="8"/>
        <v>0.684287812</v>
      </c>
      <c r="J1642" s="82">
        <f t="shared" si="4"/>
        <v>0.593722755</v>
      </c>
    </row>
    <row r="1643">
      <c r="A1643" s="83">
        <v>44769.0</v>
      </c>
      <c r="B1643" s="66">
        <v>2379.0</v>
      </c>
      <c r="C1643" s="66">
        <v>2.0</v>
      </c>
      <c r="D1643" s="66" t="s">
        <v>227</v>
      </c>
      <c r="E1643" s="66">
        <v>0.0</v>
      </c>
      <c r="F1643" s="66">
        <v>0.104</v>
      </c>
      <c r="G1643" s="66">
        <v>0.039</v>
      </c>
      <c r="H1643" s="66" t="s">
        <v>286</v>
      </c>
      <c r="I1643" s="82">
        <f t="shared" si="8"/>
        <v>1.666666667</v>
      </c>
      <c r="J1643" s="82">
        <f t="shared" si="4"/>
        <v>0.375</v>
      </c>
    </row>
    <row r="1644">
      <c r="A1644" s="83">
        <v>44769.0</v>
      </c>
      <c r="B1644" s="66">
        <v>2369.0</v>
      </c>
      <c r="C1644" s="66">
        <v>2.0</v>
      </c>
      <c r="D1644" s="66" t="s">
        <v>228</v>
      </c>
      <c r="E1644" s="66">
        <v>0.0</v>
      </c>
      <c r="F1644" s="66">
        <v>1.736</v>
      </c>
      <c r="G1644" s="66">
        <v>1.025</v>
      </c>
      <c r="H1644" s="66" t="s">
        <v>286</v>
      </c>
      <c r="I1644" s="82">
        <f t="shared" si="8"/>
        <v>0.6936585366</v>
      </c>
      <c r="J1644" s="82">
        <f t="shared" si="4"/>
        <v>0.590437788</v>
      </c>
    </row>
    <row r="1645">
      <c r="A1645" s="83">
        <v>44769.0</v>
      </c>
      <c r="B1645" s="66">
        <v>2369.0</v>
      </c>
      <c r="C1645" s="66">
        <v>2.0</v>
      </c>
      <c r="D1645" s="66" t="s">
        <v>227</v>
      </c>
      <c r="E1645" s="66">
        <v>0.0</v>
      </c>
      <c r="F1645" s="66">
        <v>0.11</v>
      </c>
      <c r="G1645" s="66">
        <v>0.068</v>
      </c>
      <c r="H1645" s="66" t="s">
        <v>286</v>
      </c>
      <c r="I1645" s="82">
        <f t="shared" si="8"/>
        <v>0.6176470588</v>
      </c>
      <c r="J1645" s="82">
        <f t="shared" si="4"/>
        <v>0.6181818182</v>
      </c>
    </row>
    <row r="1646">
      <c r="A1646" s="83">
        <v>44769.0</v>
      </c>
      <c r="B1646" s="66">
        <v>2365.0</v>
      </c>
      <c r="C1646" s="66">
        <v>1.0</v>
      </c>
      <c r="D1646" s="66" t="s">
        <v>228</v>
      </c>
      <c r="E1646" s="66">
        <v>0.0</v>
      </c>
      <c r="F1646" s="66">
        <v>2.15</v>
      </c>
      <c r="G1646" s="66">
        <v>1.243</v>
      </c>
      <c r="H1646" s="66" t="s">
        <v>286</v>
      </c>
      <c r="I1646" s="82">
        <f t="shared" si="8"/>
        <v>0.729686243</v>
      </c>
      <c r="J1646" s="82">
        <f t="shared" si="4"/>
        <v>0.5781395349</v>
      </c>
    </row>
    <row r="1647">
      <c r="A1647" s="83">
        <v>44769.0</v>
      </c>
      <c r="B1647" s="66">
        <v>2365.0</v>
      </c>
      <c r="C1647" s="66">
        <v>1.0</v>
      </c>
      <c r="D1647" s="66" t="s">
        <v>227</v>
      </c>
      <c r="E1647" s="66">
        <v>0.0</v>
      </c>
      <c r="F1647" s="66">
        <v>0.381</v>
      </c>
      <c r="G1647" s="66">
        <v>0.239</v>
      </c>
      <c r="H1647" s="66" t="s">
        <v>286</v>
      </c>
      <c r="I1647" s="82">
        <f t="shared" si="8"/>
        <v>0.5941422594</v>
      </c>
      <c r="J1647" s="82">
        <f t="shared" si="4"/>
        <v>0.6272965879</v>
      </c>
    </row>
    <row r="1648">
      <c r="A1648" s="83">
        <v>44769.0</v>
      </c>
      <c r="B1648" s="66">
        <v>2382.0</v>
      </c>
      <c r="C1648" s="66">
        <v>1.0</v>
      </c>
      <c r="D1648" s="66" t="s">
        <v>288</v>
      </c>
      <c r="E1648" s="66">
        <v>0.0</v>
      </c>
      <c r="F1648" s="66">
        <v>2.663</v>
      </c>
      <c r="G1648" s="66">
        <v>1.615</v>
      </c>
      <c r="H1648" s="66" t="s">
        <v>286</v>
      </c>
      <c r="I1648" s="82">
        <f t="shared" si="8"/>
        <v>0.6489164087</v>
      </c>
      <c r="J1648" s="82">
        <f t="shared" si="4"/>
        <v>0.606458881</v>
      </c>
    </row>
    <row r="1649">
      <c r="A1649" s="83">
        <v>44769.0</v>
      </c>
      <c r="B1649" s="66">
        <v>2382.0</v>
      </c>
      <c r="C1649" s="66">
        <v>1.0</v>
      </c>
      <c r="D1649" s="66" t="s">
        <v>227</v>
      </c>
      <c r="E1649" s="66">
        <v>0.0</v>
      </c>
      <c r="F1649" s="66">
        <v>0.237</v>
      </c>
      <c r="G1649" s="66">
        <v>0.143</v>
      </c>
      <c r="H1649" s="66" t="s">
        <v>286</v>
      </c>
      <c r="I1649" s="82">
        <f t="shared" si="8"/>
        <v>0.6573426573</v>
      </c>
      <c r="J1649" s="82">
        <f t="shared" si="4"/>
        <v>0.6033755274</v>
      </c>
    </row>
    <row r="1650">
      <c r="A1650" s="83">
        <v>44769.0</v>
      </c>
      <c r="B1650" s="66">
        <v>2352.0</v>
      </c>
      <c r="C1650" s="66">
        <v>2.0</v>
      </c>
      <c r="D1650" s="66" t="s">
        <v>228</v>
      </c>
      <c r="E1650" s="66">
        <v>0.0</v>
      </c>
      <c r="F1650" s="66">
        <v>0.763</v>
      </c>
      <c r="G1650" s="66">
        <v>0.466</v>
      </c>
      <c r="H1650" s="66" t="s">
        <v>287</v>
      </c>
      <c r="I1650" s="82">
        <f t="shared" si="8"/>
        <v>0.6373390558</v>
      </c>
      <c r="J1650" s="82">
        <f t="shared" si="4"/>
        <v>0.6107470511</v>
      </c>
    </row>
    <row r="1651">
      <c r="A1651" s="83">
        <v>44769.0</v>
      </c>
      <c r="B1651" s="66">
        <v>2352.0</v>
      </c>
      <c r="C1651" s="66">
        <v>2.0</v>
      </c>
      <c r="D1651" s="66" t="s">
        <v>227</v>
      </c>
      <c r="E1651" s="66">
        <v>0.0</v>
      </c>
      <c r="F1651" s="66">
        <v>0.063</v>
      </c>
      <c r="G1651" s="66">
        <v>0.036</v>
      </c>
      <c r="H1651" s="66" t="s">
        <v>287</v>
      </c>
      <c r="I1651" s="82">
        <f t="shared" si="8"/>
        <v>0.75</v>
      </c>
      <c r="J1651" s="82">
        <f t="shared" si="4"/>
        <v>0.5714285714</v>
      </c>
    </row>
    <row r="1652">
      <c r="A1652" s="83">
        <v>44769.0</v>
      </c>
      <c r="B1652" s="66">
        <v>2375.0</v>
      </c>
      <c r="C1652" s="66">
        <v>2.0</v>
      </c>
      <c r="D1652" s="66" t="s">
        <v>228</v>
      </c>
      <c r="E1652" s="66">
        <v>0.0</v>
      </c>
      <c r="F1652" s="66">
        <v>2.217</v>
      </c>
      <c r="G1652" s="66">
        <v>1.27</v>
      </c>
      <c r="H1652" s="66" t="s">
        <v>286</v>
      </c>
      <c r="I1652" s="82">
        <f t="shared" si="8"/>
        <v>0.7456692913</v>
      </c>
      <c r="J1652" s="82">
        <f t="shared" si="4"/>
        <v>0.5728461885</v>
      </c>
    </row>
    <row r="1653">
      <c r="A1653" s="83">
        <v>44769.0</v>
      </c>
      <c r="B1653" s="66">
        <v>2375.0</v>
      </c>
      <c r="C1653" s="66">
        <v>2.0</v>
      </c>
      <c r="D1653" s="66" t="s">
        <v>227</v>
      </c>
      <c r="E1653" s="66">
        <v>0.0</v>
      </c>
      <c r="F1653" s="66">
        <v>0.763</v>
      </c>
      <c r="G1653" s="66">
        <v>0.443</v>
      </c>
      <c r="H1653" s="66" t="s">
        <v>286</v>
      </c>
      <c r="I1653" s="82">
        <f t="shared" si="8"/>
        <v>0.7223476298</v>
      </c>
      <c r="J1653" s="82">
        <f t="shared" si="4"/>
        <v>0.5806028834</v>
      </c>
    </row>
    <row r="1654">
      <c r="A1654" s="83">
        <v>44769.0</v>
      </c>
      <c r="B1654" s="66">
        <v>2371.0</v>
      </c>
      <c r="C1654" s="66">
        <v>1.0</v>
      </c>
      <c r="D1654" s="66" t="s">
        <v>228</v>
      </c>
      <c r="E1654" s="66">
        <v>0.0</v>
      </c>
      <c r="F1654" s="66">
        <v>2.456</v>
      </c>
      <c r="G1654" s="66">
        <v>1.421</v>
      </c>
      <c r="H1654" s="66" t="s">
        <v>286</v>
      </c>
      <c r="I1654" s="82">
        <f t="shared" si="8"/>
        <v>0.7283603096</v>
      </c>
      <c r="J1654" s="82">
        <f t="shared" si="4"/>
        <v>0.5785830619</v>
      </c>
    </row>
    <row r="1655">
      <c r="A1655" s="83">
        <v>44769.0</v>
      </c>
      <c r="B1655" s="66">
        <v>2371.0</v>
      </c>
      <c r="C1655" s="66">
        <v>1.0</v>
      </c>
      <c r="D1655" s="66" t="s">
        <v>227</v>
      </c>
      <c r="E1655" s="66">
        <v>0.0</v>
      </c>
      <c r="F1655" s="66">
        <v>0.497</v>
      </c>
      <c r="G1655" s="66">
        <v>0.281</v>
      </c>
      <c r="H1655" s="66" t="s">
        <v>286</v>
      </c>
      <c r="I1655" s="82">
        <f t="shared" si="8"/>
        <v>0.768683274</v>
      </c>
      <c r="J1655" s="82">
        <f t="shared" si="4"/>
        <v>0.5653923541</v>
      </c>
    </row>
    <row r="1656">
      <c r="A1656" s="83">
        <v>44769.0</v>
      </c>
      <c r="B1656" s="66">
        <v>2354.0</v>
      </c>
      <c r="C1656" s="66">
        <v>1.0</v>
      </c>
      <c r="D1656" s="66" t="s">
        <v>228</v>
      </c>
      <c r="E1656" s="66">
        <v>1.0</v>
      </c>
      <c r="F1656" s="66">
        <v>0.797</v>
      </c>
      <c r="G1656" s="66">
        <v>0.528</v>
      </c>
      <c r="H1656" s="66" t="s">
        <v>287</v>
      </c>
      <c r="I1656" s="82">
        <f t="shared" si="8"/>
        <v>0.509469697</v>
      </c>
      <c r="J1656" s="82">
        <f t="shared" si="4"/>
        <v>0.6624843162</v>
      </c>
    </row>
    <row r="1657">
      <c r="A1657" s="83">
        <v>44769.0</v>
      </c>
      <c r="B1657" s="66">
        <v>2354.0</v>
      </c>
      <c r="C1657" s="66">
        <v>1.0</v>
      </c>
      <c r="D1657" s="66" t="s">
        <v>227</v>
      </c>
      <c r="E1657" s="66">
        <v>1.0</v>
      </c>
      <c r="F1657" s="66">
        <v>0.855</v>
      </c>
      <c r="G1657" s="66">
        <v>0.455</v>
      </c>
      <c r="H1657" s="66" t="s">
        <v>287</v>
      </c>
      <c r="I1657" s="82">
        <f t="shared" si="8"/>
        <v>0.8791208791</v>
      </c>
      <c r="J1657" s="82">
        <f t="shared" si="4"/>
        <v>0.5321637427</v>
      </c>
    </row>
    <row r="1658">
      <c r="A1658" s="83">
        <v>44769.0</v>
      </c>
      <c r="B1658" s="66">
        <v>2343.0</v>
      </c>
      <c r="C1658" s="66">
        <v>1.0</v>
      </c>
      <c r="D1658" s="66" t="s">
        <v>228</v>
      </c>
      <c r="E1658" s="66">
        <v>0.0</v>
      </c>
      <c r="F1658" s="66">
        <v>0.737</v>
      </c>
      <c r="G1658" s="66">
        <v>0.463</v>
      </c>
      <c r="H1658" s="66" t="s">
        <v>286</v>
      </c>
      <c r="I1658" s="82">
        <f t="shared" si="8"/>
        <v>0.5917926566</v>
      </c>
      <c r="J1658" s="82">
        <f t="shared" si="4"/>
        <v>0.6282225237</v>
      </c>
    </row>
    <row r="1659">
      <c r="A1659" s="83">
        <v>44769.0</v>
      </c>
      <c r="B1659" s="66">
        <v>2343.0</v>
      </c>
      <c r="C1659" s="66">
        <v>1.0</v>
      </c>
      <c r="D1659" s="66" t="s">
        <v>227</v>
      </c>
      <c r="E1659" s="66">
        <v>0.0</v>
      </c>
      <c r="F1659" s="66">
        <v>0.256</v>
      </c>
      <c r="G1659" s="66">
        <v>0.119</v>
      </c>
      <c r="H1659" s="66" t="s">
        <v>286</v>
      </c>
      <c r="I1659" s="82">
        <f t="shared" si="8"/>
        <v>1.151260504</v>
      </c>
      <c r="J1659" s="82">
        <f t="shared" si="4"/>
        <v>0.46484375</v>
      </c>
    </row>
    <row r="1660">
      <c r="A1660" s="83">
        <v>44769.0</v>
      </c>
      <c r="B1660" s="66">
        <v>2010.0</v>
      </c>
      <c r="C1660" s="66">
        <v>2.0</v>
      </c>
      <c r="D1660" s="66" t="s">
        <v>228</v>
      </c>
      <c r="E1660" s="66">
        <v>0.0</v>
      </c>
      <c r="F1660" s="66">
        <v>1.724</v>
      </c>
      <c r="G1660" s="66">
        <v>0.98</v>
      </c>
      <c r="H1660" s="66" t="s">
        <v>286</v>
      </c>
      <c r="I1660" s="82">
        <f t="shared" si="8"/>
        <v>0.7591836735</v>
      </c>
      <c r="J1660" s="82">
        <f t="shared" si="4"/>
        <v>0.5684454756</v>
      </c>
    </row>
    <row r="1661">
      <c r="A1661" s="83">
        <v>44769.0</v>
      </c>
      <c r="B1661" s="66">
        <v>2010.0</v>
      </c>
      <c r="C1661" s="66">
        <v>2.0</v>
      </c>
      <c r="D1661" s="66" t="s">
        <v>227</v>
      </c>
      <c r="E1661" s="66">
        <v>0.0</v>
      </c>
      <c r="F1661" s="66">
        <v>0.213</v>
      </c>
      <c r="G1661" s="66">
        <v>0.121</v>
      </c>
      <c r="H1661" s="66" t="s">
        <v>286</v>
      </c>
      <c r="I1661" s="82">
        <f t="shared" si="8"/>
        <v>0.7603305785</v>
      </c>
      <c r="J1661" s="82">
        <f t="shared" si="4"/>
        <v>0.5680751174</v>
      </c>
    </row>
    <row r="1662">
      <c r="A1662" s="83">
        <v>44769.0</v>
      </c>
      <c r="B1662" s="66">
        <v>2352.0</v>
      </c>
      <c r="C1662" s="66">
        <v>1.0</v>
      </c>
      <c r="D1662" s="66" t="s">
        <v>288</v>
      </c>
      <c r="E1662" s="66">
        <v>1.0</v>
      </c>
      <c r="F1662" s="66">
        <v>1.532</v>
      </c>
      <c r="G1662" s="66">
        <v>1.035</v>
      </c>
      <c r="H1662" s="66" t="s">
        <v>287</v>
      </c>
      <c r="I1662" s="82">
        <f t="shared" si="8"/>
        <v>0.4801932367</v>
      </c>
      <c r="J1662" s="82">
        <f t="shared" si="4"/>
        <v>0.6755874674</v>
      </c>
    </row>
    <row r="1663">
      <c r="A1663" s="83">
        <v>44769.0</v>
      </c>
      <c r="B1663" s="66">
        <v>2352.0</v>
      </c>
      <c r="C1663" s="66">
        <v>1.0</v>
      </c>
      <c r="D1663" s="66" t="s">
        <v>227</v>
      </c>
      <c r="E1663" s="66">
        <v>1.0</v>
      </c>
      <c r="F1663" s="66">
        <v>0.868</v>
      </c>
      <c r="G1663" s="66">
        <v>0.534</v>
      </c>
      <c r="H1663" s="66" t="s">
        <v>287</v>
      </c>
      <c r="I1663" s="82">
        <f t="shared" si="8"/>
        <v>0.6254681648</v>
      </c>
      <c r="J1663" s="82">
        <f t="shared" si="4"/>
        <v>0.6152073733</v>
      </c>
    </row>
    <row r="1664">
      <c r="A1664" s="83">
        <v>44769.0</v>
      </c>
      <c r="B1664" s="66">
        <v>2378.0</v>
      </c>
      <c r="C1664" s="66">
        <v>1.0</v>
      </c>
      <c r="D1664" s="66" t="s">
        <v>288</v>
      </c>
      <c r="E1664" s="66">
        <v>0.0</v>
      </c>
      <c r="F1664" s="66">
        <v>2.063</v>
      </c>
      <c r="G1664" s="66">
        <v>1.186</v>
      </c>
      <c r="H1664" s="66" t="s">
        <v>286</v>
      </c>
      <c r="I1664" s="82">
        <f t="shared" si="8"/>
        <v>0.739460371</v>
      </c>
      <c r="J1664" s="82">
        <f t="shared" si="4"/>
        <v>0.5748909355</v>
      </c>
    </row>
    <row r="1665">
      <c r="A1665" s="83">
        <v>44769.0</v>
      </c>
      <c r="B1665" s="66">
        <v>2378.0</v>
      </c>
      <c r="C1665" s="66">
        <v>1.0</v>
      </c>
      <c r="D1665" s="66" t="s">
        <v>227</v>
      </c>
      <c r="E1665" s="66">
        <v>0.0</v>
      </c>
      <c r="F1665" s="66">
        <v>0.289</v>
      </c>
      <c r="G1665" s="66">
        <v>0.175</v>
      </c>
      <c r="H1665" s="66" t="s">
        <v>286</v>
      </c>
      <c r="I1665" s="82">
        <f t="shared" si="8"/>
        <v>0.6514285714</v>
      </c>
      <c r="J1665" s="82">
        <f t="shared" si="4"/>
        <v>0.6055363322</v>
      </c>
    </row>
    <row r="1666">
      <c r="A1666" s="83">
        <v>44769.0</v>
      </c>
      <c r="B1666" s="66">
        <v>2365.0</v>
      </c>
      <c r="C1666" s="66">
        <v>2.0</v>
      </c>
      <c r="D1666" s="66" t="s">
        <v>228</v>
      </c>
      <c r="E1666" s="66">
        <v>0.0</v>
      </c>
      <c r="F1666" s="66">
        <v>0.513</v>
      </c>
      <c r="G1666" s="66">
        <v>0.286</v>
      </c>
      <c r="H1666" s="66" t="s">
        <v>286</v>
      </c>
      <c r="I1666" s="82">
        <f t="shared" si="8"/>
        <v>0.7937062937</v>
      </c>
      <c r="J1666" s="82">
        <f t="shared" si="4"/>
        <v>0.5575048733</v>
      </c>
    </row>
    <row r="1667">
      <c r="A1667" s="83">
        <v>44769.0</v>
      </c>
      <c r="B1667" s="66">
        <v>2365.0</v>
      </c>
      <c r="C1667" s="66">
        <v>2.0</v>
      </c>
      <c r="D1667" s="66" t="s">
        <v>227</v>
      </c>
      <c r="E1667" s="66">
        <v>0.0</v>
      </c>
      <c r="F1667" s="66">
        <v>0.052</v>
      </c>
      <c r="G1667" s="66">
        <v>0.031</v>
      </c>
      <c r="H1667" s="66" t="s">
        <v>286</v>
      </c>
      <c r="I1667" s="82">
        <f t="shared" si="8"/>
        <v>0.6774193548</v>
      </c>
      <c r="J1667" s="82">
        <f t="shared" si="4"/>
        <v>0.5961538462</v>
      </c>
    </row>
    <row r="1668">
      <c r="A1668" s="83">
        <v>44769.0</v>
      </c>
      <c r="B1668" s="66">
        <v>2372.0</v>
      </c>
      <c r="C1668" s="66">
        <v>2.0</v>
      </c>
      <c r="D1668" s="66" t="s">
        <v>228</v>
      </c>
      <c r="E1668" s="66">
        <v>0.0</v>
      </c>
      <c r="F1668" s="66">
        <v>1.345</v>
      </c>
      <c r="G1668" s="66">
        <v>0.756</v>
      </c>
      <c r="H1668" s="66" t="s">
        <v>286</v>
      </c>
      <c r="I1668" s="82">
        <f t="shared" si="8"/>
        <v>0.7791005291</v>
      </c>
      <c r="J1668" s="82">
        <f t="shared" si="4"/>
        <v>0.5620817844</v>
      </c>
    </row>
    <row r="1669">
      <c r="A1669" s="83">
        <v>44769.0</v>
      </c>
      <c r="B1669" s="66">
        <v>2372.0</v>
      </c>
      <c r="C1669" s="66">
        <v>2.0</v>
      </c>
      <c r="D1669" s="66" t="s">
        <v>227</v>
      </c>
      <c r="E1669" s="66">
        <v>0.0</v>
      </c>
      <c r="F1669" s="66">
        <v>0.188</v>
      </c>
      <c r="G1669" s="108">
        <v>0.072</v>
      </c>
      <c r="H1669" s="66" t="s">
        <v>289</v>
      </c>
      <c r="I1669" s="82">
        <f t="shared" si="8"/>
        <v>1.611111111</v>
      </c>
      <c r="J1669" s="82">
        <f t="shared" si="4"/>
        <v>0.3829787234</v>
      </c>
    </row>
    <row r="1670">
      <c r="A1670" s="83">
        <v>44769.0</v>
      </c>
      <c r="B1670" s="66">
        <v>2010.0</v>
      </c>
      <c r="C1670" s="66">
        <v>1.0</v>
      </c>
      <c r="D1670" s="66" t="s">
        <v>228</v>
      </c>
      <c r="E1670" s="66">
        <v>0.0</v>
      </c>
      <c r="F1670" s="66">
        <v>1.679</v>
      </c>
      <c r="G1670" s="66">
        <v>0.957</v>
      </c>
      <c r="H1670" s="66" t="s">
        <v>286</v>
      </c>
      <c r="I1670" s="82">
        <f t="shared" si="8"/>
        <v>0.7544409613</v>
      </c>
      <c r="J1670" s="82">
        <f t="shared" si="4"/>
        <v>0.5699821322</v>
      </c>
    </row>
    <row r="1671">
      <c r="A1671" s="83">
        <v>44769.0</v>
      </c>
      <c r="B1671" s="66">
        <v>2010.0</v>
      </c>
      <c r="C1671" s="66">
        <v>1.0</v>
      </c>
      <c r="D1671" s="66" t="s">
        <v>227</v>
      </c>
      <c r="E1671" s="66">
        <v>0.0</v>
      </c>
      <c r="F1671" s="66">
        <v>0.312</v>
      </c>
      <c r="G1671" s="66">
        <v>0.181</v>
      </c>
      <c r="H1671" s="66" t="s">
        <v>286</v>
      </c>
      <c r="I1671" s="82">
        <f t="shared" si="8"/>
        <v>0.7237569061</v>
      </c>
      <c r="J1671" s="82">
        <f t="shared" si="4"/>
        <v>0.5801282051</v>
      </c>
    </row>
    <row r="1672">
      <c r="A1672" s="83">
        <v>44769.0</v>
      </c>
      <c r="B1672" s="66">
        <v>2352.0</v>
      </c>
      <c r="C1672" s="66">
        <v>2.0</v>
      </c>
      <c r="D1672" s="66" t="s">
        <v>228</v>
      </c>
      <c r="E1672" s="66">
        <v>1.0</v>
      </c>
      <c r="F1672" s="66">
        <v>0.818</v>
      </c>
      <c r="G1672" s="66">
        <v>0.54</v>
      </c>
      <c r="H1672" s="66" t="s">
        <v>287</v>
      </c>
      <c r="I1672" s="82">
        <f t="shared" si="8"/>
        <v>0.5148148148</v>
      </c>
      <c r="J1672" s="82">
        <f t="shared" si="4"/>
        <v>0.6601466993</v>
      </c>
    </row>
    <row r="1673">
      <c r="A1673" s="83">
        <v>44769.0</v>
      </c>
      <c r="B1673" s="66">
        <v>2352.0</v>
      </c>
      <c r="C1673" s="66">
        <v>2.0</v>
      </c>
      <c r="D1673" s="66" t="s">
        <v>227</v>
      </c>
      <c r="E1673" s="66">
        <v>1.0</v>
      </c>
      <c r="F1673" s="66">
        <v>0.387</v>
      </c>
      <c r="G1673" s="66">
        <v>0.247</v>
      </c>
      <c r="H1673" s="66" t="s">
        <v>287</v>
      </c>
      <c r="I1673" s="82">
        <f t="shared" si="8"/>
        <v>0.5668016194</v>
      </c>
      <c r="J1673" s="82">
        <f t="shared" si="4"/>
        <v>0.6382428941</v>
      </c>
    </row>
    <row r="1674">
      <c r="A1674" s="83">
        <v>44769.0</v>
      </c>
      <c r="B1674" s="66">
        <v>2380.0</v>
      </c>
      <c r="C1674" s="66">
        <v>1.0</v>
      </c>
      <c r="D1674" s="66" t="s">
        <v>228</v>
      </c>
      <c r="E1674" s="66">
        <v>0.0</v>
      </c>
      <c r="F1674" s="66">
        <v>1.782</v>
      </c>
      <c r="G1674" s="66">
        <v>1.082</v>
      </c>
      <c r="H1674" s="66" t="s">
        <v>287</v>
      </c>
      <c r="I1674" s="82">
        <f t="shared" si="8"/>
        <v>0.6469500924</v>
      </c>
      <c r="J1674" s="82">
        <f t="shared" si="4"/>
        <v>0.6071829405</v>
      </c>
    </row>
    <row r="1675">
      <c r="A1675" s="83">
        <v>44769.0</v>
      </c>
      <c r="B1675" s="66">
        <v>2380.0</v>
      </c>
      <c r="C1675" s="66">
        <v>1.0</v>
      </c>
      <c r="D1675" s="66" t="s">
        <v>227</v>
      </c>
      <c r="E1675" s="66">
        <v>0.0</v>
      </c>
      <c r="F1675" s="66">
        <v>0.418</v>
      </c>
      <c r="G1675" s="66">
        <v>0.242</v>
      </c>
      <c r="H1675" s="66" t="s">
        <v>287</v>
      </c>
      <c r="I1675" s="82">
        <f t="shared" si="8"/>
        <v>0.7272727273</v>
      </c>
      <c r="J1675" s="82">
        <f t="shared" si="4"/>
        <v>0.5789473684</v>
      </c>
    </row>
    <row r="1676">
      <c r="A1676" s="83">
        <v>44769.0</v>
      </c>
      <c r="B1676" s="66">
        <v>2370.0</v>
      </c>
      <c r="C1676" s="66">
        <v>2.0</v>
      </c>
      <c r="D1676" s="66" t="s">
        <v>228</v>
      </c>
      <c r="E1676" s="66">
        <v>0.0</v>
      </c>
      <c r="F1676" s="66">
        <v>0.701</v>
      </c>
      <c r="G1676" s="66">
        <v>0.409</v>
      </c>
      <c r="H1676" s="66" t="s">
        <v>286</v>
      </c>
      <c r="I1676" s="82">
        <f t="shared" si="8"/>
        <v>0.7139364303</v>
      </c>
      <c r="J1676" s="82">
        <f t="shared" si="4"/>
        <v>0.5834522111</v>
      </c>
    </row>
    <row r="1677">
      <c r="A1677" s="83">
        <v>44769.0</v>
      </c>
      <c r="B1677" s="66">
        <v>2370.0</v>
      </c>
      <c r="C1677" s="66">
        <v>2.0</v>
      </c>
      <c r="D1677" s="66" t="s">
        <v>227</v>
      </c>
      <c r="E1677" s="66">
        <v>0.0</v>
      </c>
      <c r="F1677" s="66">
        <v>0.103</v>
      </c>
      <c r="G1677" s="66">
        <v>0.056</v>
      </c>
      <c r="H1677" s="66" t="s">
        <v>286</v>
      </c>
      <c r="I1677" s="82">
        <f t="shared" si="8"/>
        <v>0.8392857143</v>
      </c>
      <c r="J1677" s="82">
        <f t="shared" si="4"/>
        <v>0.5436893204</v>
      </c>
    </row>
    <row r="1678">
      <c r="A1678" s="83">
        <v>44769.0</v>
      </c>
      <c r="B1678" s="66">
        <v>2360.0</v>
      </c>
      <c r="C1678" s="66">
        <v>2.0</v>
      </c>
      <c r="D1678" s="66" t="s">
        <v>288</v>
      </c>
      <c r="E1678" s="66">
        <v>0.0</v>
      </c>
      <c r="F1678" s="66">
        <v>1.214</v>
      </c>
      <c r="G1678" s="66">
        <v>0.677</v>
      </c>
      <c r="H1678" s="66" t="s">
        <v>286</v>
      </c>
      <c r="I1678" s="82">
        <f t="shared" si="8"/>
        <v>0.7932053176</v>
      </c>
      <c r="J1678" s="82">
        <f t="shared" si="4"/>
        <v>0.557660626</v>
      </c>
    </row>
    <row r="1679">
      <c r="A1679" s="83">
        <v>44769.0</v>
      </c>
      <c r="B1679" s="66">
        <v>2360.0</v>
      </c>
      <c r="C1679" s="66">
        <v>2.0</v>
      </c>
      <c r="D1679" s="66" t="s">
        <v>227</v>
      </c>
      <c r="E1679" s="66">
        <v>0.0</v>
      </c>
      <c r="F1679" s="66">
        <v>0.311</v>
      </c>
      <c r="G1679" s="66">
        <v>0.19</v>
      </c>
      <c r="H1679" s="66" t="s">
        <v>286</v>
      </c>
      <c r="I1679" s="82">
        <f t="shared" si="8"/>
        <v>0.6368421053</v>
      </c>
      <c r="J1679" s="82">
        <f t="shared" si="4"/>
        <v>0.6109324759</v>
      </c>
    </row>
    <row r="1680">
      <c r="A1680" s="83">
        <v>44819.0</v>
      </c>
      <c r="B1680" s="66">
        <v>2085.0</v>
      </c>
      <c r="C1680" s="66">
        <v>1.0</v>
      </c>
      <c r="D1680" s="66" t="s">
        <v>227</v>
      </c>
      <c r="E1680" s="66">
        <v>1.0</v>
      </c>
      <c r="F1680" s="66">
        <v>0.5134</v>
      </c>
      <c r="G1680" s="66">
        <v>0.2708</v>
      </c>
      <c r="I1680" s="82">
        <f t="shared" si="8"/>
        <v>0.8958641064</v>
      </c>
      <c r="J1680" s="82">
        <f t="shared" si="4"/>
        <v>0.5274639657</v>
      </c>
    </row>
    <row r="1681">
      <c r="A1681" s="83">
        <v>44819.0</v>
      </c>
      <c r="B1681" s="66">
        <v>2085.0</v>
      </c>
      <c r="C1681" s="66">
        <v>1.0</v>
      </c>
      <c r="D1681" s="66" t="s">
        <v>227</v>
      </c>
      <c r="E1681" s="66">
        <v>0.0</v>
      </c>
      <c r="F1681" s="66">
        <v>0.5425</v>
      </c>
      <c r="G1681" s="66">
        <v>0.2945</v>
      </c>
      <c r="I1681" s="82">
        <f t="shared" si="8"/>
        <v>0.8421052632</v>
      </c>
      <c r="J1681" s="82">
        <f t="shared" si="4"/>
        <v>0.5428571429</v>
      </c>
    </row>
    <row r="1682">
      <c r="A1682" s="83">
        <v>44819.0</v>
      </c>
      <c r="B1682" s="66">
        <v>2085.0</v>
      </c>
      <c r="C1682" s="66">
        <v>1.0</v>
      </c>
      <c r="D1682" s="66" t="s">
        <v>228</v>
      </c>
      <c r="E1682" s="66">
        <v>0.0</v>
      </c>
      <c r="F1682" s="66">
        <v>0.883</v>
      </c>
      <c r="G1682" s="66">
        <v>0.4317</v>
      </c>
      <c r="I1682" s="82">
        <f t="shared" si="8"/>
        <v>1.045401899</v>
      </c>
      <c r="J1682" s="82">
        <f t="shared" si="4"/>
        <v>0.4889014723</v>
      </c>
    </row>
    <row r="1683">
      <c r="A1683" s="83">
        <v>44819.0</v>
      </c>
      <c r="B1683" s="66">
        <v>2085.0</v>
      </c>
      <c r="C1683" s="66">
        <v>2.0</v>
      </c>
      <c r="D1683" s="66" t="s">
        <v>228</v>
      </c>
      <c r="E1683" s="66">
        <v>0.0</v>
      </c>
      <c r="F1683" s="66">
        <v>1.18134</v>
      </c>
      <c r="G1683" s="66">
        <v>0.9237</v>
      </c>
      <c r="I1683" s="82">
        <f t="shared" si="8"/>
        <v>0.2789217278</v>
      </c>
      <c r="J1683" s="82">
        <f t="shared" si="4"/>
        <v>0.78190868</v>
      </c>
    </row>
    <row r="1684">
      <c r="A1684" s="83">
        <v>44819.0</v>
      </c>
      <c r="B1684" s="66">
        <v>2085.0</v>
      </c>
      <c r="C1684" s="66">
        <v>2.0</v>
      </c>
      <c r="D1684" s="66" t="s">
        <v>227</v>
      </c>
      <c r="E1684" s="66">
        <v>0.0</v>
      </c>
      <c r="F1684" s="66">
        <v>0.852</v>
      </c>
      <c r="G1684" s="66">
        <v>0.4542</v>
      </c>
      <c r="I1684" s="82">
        <f t="shared" si="8"/>
        <v>0.8758256275</v>
      </c>
      <c r="J1684" s="82">
        <f t="shared" si="4"/>
        <v>0.5330985915</v>
      </c>
    </row>
    <row r="1685">
      <c r="A1685" s="83">
        <v>44819.0</v>
      </c>
      <c r="B1685" s="66">
        <v>2085.0</v>
      </c>
      <c r="C1685" s="66">
        <v>2.0</v>
      </c>
      <c r="D1685" s="66" t="s">
        <v>227</v>
      </c>
      <c r="E1685" s="66">
        <v>1.0</v>
      </c>
      <c r="F1685" s="66">
        <v>0.3501</v>
      </c>
      <c r="G1685" s="66">
        <v>0.1808</v>
      </c>
      <c r="I1685" s="82">
        <f t="shared" si="8"/>
        <v>0.9363938053</v>
      </c>
      <c r="J1685" s="82">
        <f t="shared" si="4"/>
        <v>0.5164238789</v>
      </c>
    </row>
    <row r="1686">
      <c r="A1686" s="83">
        <v>44819.0</v>
      </c>
      <c r="B1686" s="66">
        <v>2085.0</v>
      </c>
      <c r="C1686" s="66">
        <v>3.0</v>
      </c>
      <c r="D1686" s="66" t="s">
        <v>228</v>
      </c>
      <c r="E1686" s="66">
        <v>0.0</v>
      </c>
      <c r="F1686" s="66">
        <v>0.6512</v>
      </c>
      <c r="G1686" s="66">
        <v>0.334</v>
      </c>
      <c r="I1686" s="82">
        <f t="shared" si="8"/>
        <v>0.9497005988</v>
      </c>
      <c r="J1686" s="82">
        <f t="shared" si="4"/>
        <v>0.5128992629</v>
      </c>
    </row>
    <row r="1687">
      <c r="A1687" s="83">
        <v>44819.0</v>
      </c>
      <c r="B1687" s="66">
        <v>2085.0</v>
      </c>
      <c r="C1687" s="66">
        <v>3.0</v>
      </c>
      <c r="D1687" s="66" t="s">
        <v>227</v>
      </c>
      <c r="E1687" s="66">
        <v>0.0</v>
      </c>
      <c r="F1687" s="66">
        <v>0.4502</v>
      </c>
      <c r="G1687" s="66">
        <v>0.2422</v>
      </c>
      <c r="I1687" s="82">
        <f t="shared" si="8"/>
        <v>0.8587943848</v>
      </c>
      <c r="J1687" s="82">
        <f t="shared" si="4"/>
        <v>0.5379831186</v>
      </c>
    </row>
    <row r="1688">
      <c r="A1688" s="83">
        <v>44819.0</v>
      </c>
      <c r="B1688" s="66">
        <v>2085.0</v>
      </c>
      <c r="C1688" s="66">
        <v>3.0</v>
      </c>
      <c r="D1688" s="66" t="s">
        <v>227</v>
      </c>
      <c r="E1688" s="66">
        <v>1.0</v>
      </c>
      <c r="F1688" s="66">
        <v>0.488</v>
      </c>
      <c r="G1688" s="66">
        <v>0.2627</v>
      </c>
      <c r="I1688" s="82">
        <f t="shared" si="8"/>
        <v>0.8576322802</v>
      </c>
      <c r="J1688" s="82">
        <f t="shared" si="4"/>
        <v>0.5383196721</v>
      </c>
    </row>
    <row r="1689">
      <c r="A1689" s="83">
        <v>44819.0</v>
      </c>
      <c r="B1689" s="66">
        <v>2089.0</v>
      </c>
      <c r="C1689" s="66">
        <v>1.0</v>
      </c>
      <c r="D1689" s="66" t="s">
        <v>227</v>
      </c>
      <c r="E1689" s="66">
        <v>0.0</v>
      </c>
      <c r="F1689" s="66">
        <v>0.2004</v>
      </c>
      <c r="G1689" s="66">
        <v>0.0991</v>
      </c>
      <c r="I1689" s="82">
        <f t="shared" si="8"/>
        <v>1.022199798</v>
      </c>
      <c r="J1689" s="82">
        <f t="shared" si="4"/>
        <v>0.494510978</v>
      </c>
    </row>
    <row r="1690">
      <c r="A1690" s="83">
        <v>44819.0</v>
      </c>
      <c r="B1690" s="66">
        <v>2089.0</v>
      </c>
      <c r="C1690" s="66">
        <v>1.0</v>
      </c>
      <c r="D1690" s="66" t="s">
        <v>228</v>
      </c>
      <c r="E1690" s="66">
        <v>0.0</v>
      </c>
      <c r="F1690" s="66">
        <v>1.7045</v>
      </c>
      <c r="G1690" s="66">
        <v>0.9304</v>
      </c>
      <c r="I1690" s="82">
        <f t="shared" si="8"/>
        <v>0.8320077386</v>
      </c>
      <c r="J1690" s="82">
        <f t="shared" si="4"/>
        <v>0.5458492226</v>
      </c>
    </row>
    <row r="1691">
      <c r="A1691" s="83">
        <v>44819.0</v>
      </c>
      <c r="B1691" s="66">
        <v>2089.0</v>
      </c>
      <c r="C1691" s="66">
        <v>1.0</v>
      </c>
      <c r="D1691" s="66" t="s">
        <v>227</v>
      </c>
      <c r="E1691" s="66">
        <v>1.0</v>
      </c>
      <c r="F1691" s="66">
        <v>0.4902</v>
      </c>
      <c r="G1691" s="66">
        <v>0.2649</v>
      </c>
      <c r="I1691" s="82">
        <f t="shared" si="8"/>
        <v>0.8505096263</v>
      </c>
      <c r="J1691" s="82">
        <f t="shared" si="4"/>
        <v>0.5403916769</v>
      </c>
    </row>
    <row r="1692">
      <c r="A1692" s="83">
        <v>44819.0</v>
      </c>
      <c r="B1692" s="66">
        <v>2089.0</v>
      </c>
      <c r="C1692" s="66">
        <v>1.0</v>
      </c>
      <c r="D1692" s="66" t="s">
        <v>228</v>
      </c>
      <c r="E1692" s="66">
        <v>1.0</v>
      </c>
      <c r="F1692" s="66">
        <v>1.9935</v>
      </c>
      <c r="G1692" s="66">
        <v>1.1867</v>
      </c>
      <c r="I1692" s="82">
        <f t="shared" si="8"/>
        <v>0.679868543</v>
      </c>
      <c r="J1692" s="82">
        <f t="shared" si="4"/>
        <v>0.5952846752</v>
      </c>
    </row>
    <row r="1693">
      <c r="A1693" s="83">
        <v>44819.0</v>
      </c>
      <c r="B1693" s="66">
        <v>2089.0</v>
      </c>
      <c r="C1693" s="66">
        <v>2.0</v>
      </c>
      <c r="D1693" s="66" t="s">
        <v>227</v>
      </c>
      <c r="E1693" s="66">
        <v>0.0</v>
      </c>
      <c r="F1693" s="66">
        <v>0.2756</v>
      </c>
      <c r="G1693" s="66">
        <v>0.1305</v>
      </c>
      <c r="I1693" s="82">
        <f t="shared" si="8"/>
        <v>1.111877395</v>
      </c>
      <c r="J1693" s="82">
        <f t="shared" si="4"/>
        <v>0.4735123367</v>
      </c>
    </row>
    <row r="1694">
      <c r="A1694" s="83">
        <v>44819.0</v>
      </c>
      <c r="B1694" s="66">
        <v>2089.0</v>
      </c>
      <c r="C1694" s="66">
        <v>2.0</v>
      </c>
      <c r="D1694" s="66" t="s">
        <v>228</v>
      </c>
      <c r="E1694" s="66">
        <v>1.0</v>
      </c>
      <c r="F1694" s="66">
        <v>0.4901</v>
      </c>
      <c r="G1694" s="66">
        <v>0.291</v>
      </c>
      <c r="I1694" s="82">
        <f t="shared" si="8"/>
        <v>0.6841924399</v>
      </c>
      <c r="J1694" s="82">
        <f t="shared" si="4"/>
        <v>0.5937563762</v>
      </c>
    </row>
    <row r="1695">
      <c r="A1695" s="83">
        <v>44819.0</v>
      </c>
      <c r="B1695" s="66">
        <v>2089.0</v>
      </c>
      <c r="C1695" s="66">
        <v>2.0</v>
      </c>
      <c r="D1695" s="66" t="s">
        <v>227</v>
      </c>
      <c r="E1695" s="66">
        <v>1.0</v>
      </c>
      <c r="F1695" s="66">
        <v>0.2262</v>
      </c>
      <c r="G1695" s="66">
        <v>0.1257</v>
      </c>
      <c r="I1695" s="82">
        <f t="shared" si="8"/>
        <v>0.799522673</v>
      </c>
      <c r="J1695" s="82">
        <f t="shared" si="4"/>
        <v>0.5557029178</v>
      </c>
    </row>
    <row r="1696">
      <c r="A1696" s="83">
        <v>44819.0</v>
      </c>
      <c r="B1696" s="66">
        <v>2089.0</v>
      </c>
      <c r="C1696" s="66">
        <v>2.0</v>
      </c>
      <c r="D1696" s="66" t="s">
        <v>228</v>
      </c>
      <c r="E1696" s="66">
        <v>0.0</v>
      </c>
      <c r="F1696" s="66">
        <v>1.2384</v>
      </c>
      <c r="G1696" s="66">
        <v>0.691</v>
      </c>
      <c r="I1696" s="82">
        <f t="shared" si="8"/>
        <v>0.7921852388</v>
      </c>
      <c r="J1696" s="82">
        <f t="shared" si="4"/>
        <v>0.5579780362</v>
      </c>
    </row>
    <row r="1697">
      <c r="A1697" s="83">
        <v>44819.0</v>
      </c>
      <c r="B1697" s="66">
        <v>2089.0</v>
      </c>
      <c r="C1697" s="66">
        <v>3.0</v>
      </c>
      <c r="D1697" s="66" t="s">
        <v>227</v>
      </c>
      <c r="E1697" s="66">
        <v>1.0</v>
      </c>
      <c r="F1697" s="66">
        <v>0.1557</v>
      </c>
      <c r="G1697" s="66">
        <v>0.0823</v>
      </c>
      <c r="I1697" s="82">
        <f t="shared" si="8"/>
        <v>0.8918590522</v>
      </c>
      <c r="J1697" s="82">
        <f t="shared" si="4"/>
        <v>0.5285806037</v>
      </c>
    </row>
    <row r="1698">
      <c r="A1698" s="83">
        <v>44819.0</v>
      </c>
      <c r="B1698" s="66">
        <v>2089.0</v>
      </c>
      <c r="C1698" s="66">
        <v>3.0</v>
      </c>
      <c r="D1698" s="66" t="s">
        <v>227</v>
      </c>
      <c r="E1698" s="66">
        <v>0.0</v>
      </c>
      <c r="F1698" s="66">
        <v>0.1724</v>
      </c>
      <c r="G1698" s="66">
        <v>0.0901</v>
      </c>
      <c r="I1698" s="82">
        <f t="shared" si="8"/>
        <v>0.9134295228</v>
      </c>
      <c r="J1698" s="82">
        <f t="shared" si="4"/>
        <v>0.5226218097</v>
      </c>
    </row>
    <row r="1699">
      <c r="A1699" s="83">
        <v>44819.0</v>
      </c>
      <c r="B1699" s="66">
        <v>2089.0</v>
      </c>
      <c r="C1699" s="66">
        <v>3.0</v>
      </c>
      <c r="D1699" s="66" t="s">
        <v>228</v>
      </c>
      <c r="E1699" s="66">
        <v>1.0</v>
      </c>
      <c r="F1699" s="66">
        <v>0.5033</v>
      </c>
      <c r="G1699" s="66">
        <v>0.304</v>
      </c>
      <c r="I1699" s="82">
        <f t="shared" si="8"/>
        <v>0.6555921053</v>
      </c>
      <c r="J1699" s="82">
        <f t="shared" si="4"/>
        <v>0.6040135108</v>
      </c>
    </row>
    <row r="1700">
      <c r="A1700" s="83">
        <v>44819.0</v>
      </c>
      <c r="B1700" s="66">
        <v>2089.0</v>
      </c>
      <c r="C1700" s="66">
        <v>3.0</v>
      </c>
      <c r="D1700" s="66" t="s">
        <v>228</v>
      </c>
      <c r="E1700" s="66">
        <v>0.0</v>
      </c>
      <c r="F1700" s="66">
        <v>1.0009</v>
      </c>
      <c r="G1700" s="66">
        <v>0.568</v>
      </c>
      <c r="I1700" s="82">
        <f t="shared" si="8"/>
        <v>0.7621478873</v>
      </c>
      <c r="J1700" s="82">
        <f t="shared" si="4"/>
        <v>0.5674892597</v>
      </c>
    </row>
    <row r="1701">
      <c r="A1701" s="83">
        <v>44819.0</v>
      </c>
      <c r="B1701" s="66">
        <v>2086.0</v>
      </c>
      <c r="C1701" s="66">
        <v>1.0</v>
      </c>
      <c r="D1701" s="66" t="s">
        <v>227</v>
      </c>
      <c r="E1701" s="66">
        <v>0.0</v>
      </c>
      <c r="F1701" s="66">
        <v>0.475</v>
      </c>
      <c r="G1701" s="66">
        <v>0.2511</v>
      </c>
      <c r="I1701" s="82">
        <f t="shared" si="8"/>
        <v>0.8916766229</v>
      </c>
      <c r="J1701" s="82">
        <f t="shared" si="4"/>
        <v>0.5286315789</v>
      </c>
    </row>
    <row r="1702">
      <c r="A1702" s="83">
        <v>44819.0</v>
      </c>
      <c r="B1702" s="66">
        <v>2086.0</v>
      </c>
      <c r="C1702" s="66">
        <v>1.0</v>
      </c>
      <c r="D1702" s="66" t="s">
        <v>228</v>
      </c>
      <c r="E1702" s="66">
        <v>0.0</v>
      </c>
      <c r="F1702" s="66">
        <v>1.4716</v>
      </c>
      <c r="G1702" s="66">
        <v>0.7863</v>
      </c>
      <c r="I1702" s="82">
        <f t="shared" si="8"/>
        <v>0.8715502989</v>
      </c>
      <c r="J1702" s="82">
        <f t="shared" si="4"/>
        <v>0.5343163903</v>
      </c>
    </row>
    <row r="1703">
      <c r="A1703" s="83">
        <v>44819.0</v>
      </c>
      <c r="B1703" s="66">
        <v>2086.0</v>
      </c>
      <c r="C1703" s="66">
        <v>1.0</v>
      </c>
      <c r="D1703" s="66" t="s">
        <v>227</v>
      </c>
      <c r="E1703" s="66">
        <v>1.0</v>
      </c>
      <c r="F1703" s="66">
        <v>0.2399</v>
      </c>
      <c r="G1703" s="66">
        <v>0.127</v>
      </c>
      <c r="I1703" s="82">
        <f t="shared" si="8"/>
        <v>0.888976378</v>
      </c>
      <c r="J1703" s="82">
        <f t="shared" si="4"/>
        <v>0.5293872447</v>
      </c>
    </row>
    <row r="1704">
      <c r="A1704" s="83">
        <v>44819.0</v>
      </c>
      <c r="B1704" s="66">
        <v>2086.0</v>
      </c>
      <c r="C1704" s="66">
        <v>2.0</v>
      </c>
      <c r="D1704" s="66" t="s">
        <v>228</v>
      </c>
      <c r="E1704" s="66">
        <v>0.0</v>
      </c>
      <c r="F1704" s="66">
        <v>1.3619</v>
      </c>
      <c r="G1704" s="66">
        <v>0.7027</v>
      </c>
      <c r="I1704" s="82">
        <f t="shared" si="8"/>
        <v>0.9380959158</v>
      </c>
      <c r="J1704" s="82">
        <f t="shared" si="4"/>
        <v>0.5159703356</v>
      </c>
    </row>
    <row r="1705">
      <c r="A1705" s="83">
        <v>44819.0</v>
      </c>
      <c r="B1705" s="66">
        <v>2086.0</v>
      </c>
      <c r="C1705" s="66">
        <v>2.0</v>
      </c>
      <c r="D1705" s="66" t="s">
        <v>227</v>
      </c>
      <c r="E1705" s="66">
        <v>0.0</v>
      </c>
      <c r="F1705" s="66">
        <v>0.2469</v>
      </c>
      <c r="G1705" s="66">
        <v>0.1332</v>
      </c>
      <c r="I1705" s="82">
        <f t="shared" si="8"/>
        <v>0.8536036036</v>
      </c>
      <c r="J1705" s="82">
        <f t="shared" si="4"/>
        <v>0.5394896719</v>
      </c>
    </row>
    <row r="1706">
      <c r="A1706" s="83">
        <v>44819.0</v>
      </c>
      <c r="B1706" s="66">
        <v>2086.0</v>
      </c>
      <c r="C1706" s="66">
        <v>2.0</v>
      </c>
      <c r="D1706" s="66" t="s">
        <v>227</v>
      </c>
      <c r="E1706" s="66">
        <v>1.0</v>
      </c>
      <c r="F1706" s="66">
        <v>0.2508</v>
      </c>
      <c r="G1706" s="66">
        <v>0.1312</v>
      </c>
      <c r="I1706" s="82">
        <f t="shared" si="8"/>
        <v>0.9115853659</v>
      </c>
      <c r="J1706" s="82">
        <f t="shared" si="4"/>
        <v>0.5231259968</v>
      </c>
    </row>
    <row r="1707">
      <c r="A1707" s="83">
        <v>44819.0</v>
      </c>
      <c r="B1707" s="66">
        <v>2086.0</v>
      </c>
      <c r="C1707" s="66">
        <v>3.0</v>
      </c>
      <c r="D1707" s="66" t="s">
        <v>227</v>
      </c>
      <c r="E1707" s="66">
        <v>0.0</v>
      </c>
      <c r="F1707" s="66">
        <v>0.3165</v>
      </c>
      <c r="G1707" s="66">
        <v>0.1573</v>
      </c>
      <c r="I1707" s="82">
        <f t="shared" si="8"/>
        <v>1.01207883</v>
      </c>
      <c r="J1707" s="82">
        <f t="shared" si="4"/>
        <v>0.4969984202</v>
      </c>
    </row>
    <row r="1708">
      <c r="A1708" s="83">
        <v>44819.0</v>
      </c>
      <c r="B1708" s="66">
        <v>2086.0</v>
      </c>
      <c r="C1708" s="66">
        <v>3.0</v>
      </c>
      <c r="D1708" s="66" t="s">
        <v>228</v>
      </c>
      <c r="E1708" s="66">
        <v>0.0</v>
      </c>
      <c r="F1708" s="66">
        <v>1.3541</v>
      </c>
      <c r="G1708" s="66">
        <v>0.6994</v>
      </c>
      <c r="I1708" s="82">
        <f t="shared" si="8"/>
        <v>0.9360880755</v>
      </c>
      <c r="J1708" s="82">
        <f t="shared" si="4"/>
        <v>0.516505428</v>
      </c>
    </row>
    <row r="1709">
      <c r="A1709" s="83">
        <v>44819.0</v>
      </c>
      <c r="B1709" s="66">
        <v>2086.0</v>
      </c>
      <c r="C1709" s="66">
        <v>3.0</v>
      </c>
      <c r="D1709" s="66" t="s">
        <v>227</v>
      </c>
      <c r="E1709" s="66">
        <v>1.0</v>
      </c>
      <c r="F1709" s="66">
        <v>0.5078</v>
      </c>
      <c r="G1709" s="66">
        <v>0.2613</v>
      </c>
      <c r="I1709" s="82">
        <f t="shared" si="8"/>
        <v>0.9433601225</v>
      </c>
      <c r="J1709" s="82">
        <f t="shared" si="4"/>
        <v>0.5145726664</v>
      </c>
    </row>
    <row r="1710">
      <c r="A1710" s="83">
        <v>44819.0</v>
      </c>
      <c r="B1710" s="66">
        <v>2088.0</v>
      </c>
      <c r="C1710" s="66">
        <v>1.0</v>
      </c>
      <c r="D1710" s="66" t="s">
        <v>227</v>
      </c>
      <c r="E1710" s="66">
        <v>1.0</v>
      </c>
      <c r="F1710" s="66">
        <v>0.4216</v>
      </c>
      <c r="G1710" s="66">
        <v>0.2165</v>
      </c>
      <c r="I1710" s="82">
        <f t="shared" si="8"/>
        <v>0.9473441109</v>
      </c>
      <c r="J1710" s="82">
        <f t="shared" si="4"/>
        <v>0.5135199241</v>
      </c>
    </row>
    <row r="1711">
      <c r="A1711" s="83">
        <v>44819.0</v>
      </c>
      <c r="B1711" s="66">
        <v>2088.0</v>
      </c>
      <c r="C1711" s="66">
        <v>1.0</v>
      </c>
      <c r="D1711" s="66" t="s">
        <v>228</v>
      </c>
      <c r="E1711" s="66">
        <v>0.0</v>
      </c>
      <c r="F1711" s="66">
        <v>0.2598</v>
      </c>
      <c r="G1711" s="66">
        <v>0.1263</v>
      </c>
      <c r="I1711" s="82">
        <f t="shared" si="8"/>
        <v>1.057007126</v>
      </c>
      <c r="J1711" s="82">
        <f t="shared" si="4"/>
        <v>0.4861431871</v>
      </c>
    </row>
    <row r="1712">
      <c r="A1712" s="83">
        <v>44819.0</v>
      </c>
      <c r="B1712" s="66">
        <v>2088.0</v>
      </c>
      <c r="C1712" s="66">
        <v>1.0</v>
      </c>
      <c r="D1712" s="66" t="s">
        <v>227</v>
      </c>
      <c r="E1712" s="66">
        <v>0.0</v>
      </c>
      <c r="F1712" s="66">
        <v>0.0497</v>
      </c>
      <c r="G1712" s="66">
        <v>0.0237</v>
      </c>
      <c r="I1712" s="82">
        <f t="shared" si="8"/>
        <v>1.097046414</v>
      </c>
      <c r="J1712" s="82">
        <f t="shared" si="4"/>
        <v>0.476861167</v>
      </c>
    </row>
    <row r="1713">
      <c r="A1713" s="83">
        <v>44819.0</v>
      </c>
      <c r="B1713" s="66">
        <v>2088.0</v>
      </c>
      <c r="C1713" s="66">
        <v>2.0</v>
      </c>
      <c r="D1713" s="66" t="s">
        <v>228</v>
      </c>
      <c r="E1713" s="66">
        <v>0.0</v>
      </c>
      <c r="F1713" s="66">
        <v>0.1917</v>
      </c>
      <c r="G1713" s="66">
        <v>0.0942</v>
      </c>
      <c r="I1713" s="82">
        <f t="shared" si="8"/>
        <v>1.035031847</v>
      </c>
      <c r="J1713" s="82">
        <f t="shared" si="4"/>
        <v>0.4913928013</v>
      </c>
    </row>
    <row r="1714">
      <c r="A1714" s="83">
        <v>44819.0</v>
      </c>
      <c r="B1714" s="66">
        <v>2088.0</v>
      </c>
      <c r="C1714" s="66">
        <v>2.0</v>
      </c>
      <c r="D1714" s="66" t="s">
        <v>227</v>
      </c>
      <c r="E1714" s="66">
        <v>0.0</v>
      </c>
      <c r="F1714" s="66">
        <v>0.2537</v>
      </c>
      <c r="G1714" s="66">
        <v>0.1275</v>
      </c>
      <c r="I1714" s="82">
        <f t="shared" si="8"/>
        <v>0.9898039216</v>
      </c>
      <c r="J1714" s="82">
        <f t="shared" si="4"/>
        <v>0.5025620812</v>
      </c>
    </row>
    <row r="1715">
      <c r="A1715" s="83">
        <v>44819.0</v>
      </c>
      <c r="B1715" s="66">
        <v>2088.0</v>
      </c>
      <c r="C1715" s="66">
        <v>2.0</v>
      </c>
      <c r="D1715" s="66" t="s">
        <v>227</v>
      </c>
      <c r="E1715" s="66">
        <v>1.0</v>
      </c>
      <c r="F1715" s="66">
        <v>0.2562</v>
      </c>
      <c r="G1715" s="66">
        <v>0.1275</v>
      </c>
      <c r="I1715" s="82">
        <f t="shared" si="8"/>
        <v>1.009411765</v>
      </c>
      <c r="J1715" s="82">
        <f t="shared" si="4"/>
        <v>0.4976580796</v>
      </c>
    </row>
    <row r="1716">
      <c r="A1716" s="83">
        <v>44819.0</v>
      </c>
      <c r="B1716" s="66">
        <v>2088.0</v>
      </c>
      <c r="C1716" s="66">
        <v>3.0</v>
      </c>
      <c r="D1716" s="66" t="s">
        <v>228</v>
      </c>
      <c r="E1716" s="66">
        <v>0.0</v>
      </c>
      <c r="F1716" s="66">
        <v>0.2292</v>
      </c>
      <c r="G1716" s="66">
        <v>0.1135</v>
      </c>
      <c r="I1716" s="82">
        <f t="shared" si="8"/>
        <v>1.01938326</v>
      </c>
      <c r="J1716" s="82">
        <f t="shared" si="4"/>
        <v>0.4952006981</v>
      </c>
    </row>
    <row r="1717">
      <c r="A1717" s="83">
        <v>44819.0</v>
      </c>
      <c r="B1717" s="66">
        <v>2088.0</v>
      </c>
      <c r="C1717" s="66">
        <v>3.0</v>
      </c>
      <c r="D1717" s="66" t="s">
        <v>227</v>
      </c>
      <c r="E1717" s="66">
        <v>0.0</v>
      </c>
      <c r="F1717" s="66">
        <v>0.0637</v>
      </c>
      <c r="G1717" s="66">
        <v>0.0315</v>
      </c>
      <c r="I1717" s="82">
        <f t="shared" si="8"/>
        <v>1.022222222</v>
      </c>
      <c r="J1717" s="82">
        <f t="shared" si="4"/>
        <v>0.4945054945</v>
      </c>
    </row>
    <row r="1718">
      <c r="A1718" s="83">
        <v>44819.0</v>
      </c>
      <c r="B1718" s="66">
        <v>2088.0</v>
      </c>
      <c r="C1718" s="66">
        <v>3.0</v>
      </c>
      <c r="D1718" s="66" t="s">
        <v>227</v>
      </c>
      <c r="E1718" s="66">
        <v>1.0</v>
      </c>
      <c r="F1718" s="66">
        <v>0.2442</v>
      </c>
      <c r="G1718" s="66">
        <v>0.1272</v>
      </c>
      <c r="I1718" s="82">
        <f t="shared" si="8"/>
        <v>0.9198113208</v>
      </c>
      <c r="J1718" s="82">
        <f t="shared" si="4"/>
        <v>0.5208845209</v>
      </c>
    </row>
    <row r="1719">
      <c r="A1719" s="83">
        <v>44819.0</v>
      </c>
      <c r="B1719" s="66">
        <v>2090.0</v>
      </c>
      <c r="C1719" s="66">
        <v>1.0</v>
      </c>
      <c r="D1719" s="66" t="s">
        <v>227</v>
      </c>
      <c r="E1719" s="66">
        <v>0.0</v>
      </c>
      <c r="F1719" s="66">
        <v>0.1947</v>
      </c>
      <c r="G1719" s="66">
        <v>0.0956</v>
      </c>
      <c r="I1719" s="82">
        <f t="shared" si="8"/>
        <v>1.036610879</v>
      </c>
      <c r="J1719" s="82">
        <f t="shared" si="4"/>
        <v>0.491011813</v>
      </c>
    </row>
    <row r="1720">
      <c r="A1720" s="83">
        <v>44819.0</v>
      </c>
      <c r="B1720" s="66">
        <v>2090.0</v>
      </c>
      <c r="C1720" s="66">
        <v>1.0</v>
      </c>
      <c r="D1720" s="66" t="s">
        <v>228</v>
      </c>
      <c r="E1720" s="66">
        <v>0.0</v>
      </c>
      <c r="F1720" s="66">
        <v>1.5501</v>
      </c>
      <c r="G1720" s="66">
        <v>0.735</v>
      </c>
      <c r="I1720" s="82">
        <f t="shared" si="8"/>
        <v>1.108979592</v>
      </c>
      <c r="J1720" s="82">
        <f t="shared" si="4"/>
        <v>0.4741629572</v>
      </c>
    </row>
    <row r="1721">
      <c r="A1721" s="83">
        <v>44819.0</v>
      </c>
      <c r="B1721" s="66">
        <v>2090.0</v>
      </c>
      <c r="C1721" s="66">
        <v>1.0</v>
      </c>
      <c r="D1721" s="66" t="s">
        <v>227</v>
      </c>
      <c r="E1721" s="66">
        <v>1.0</v>
      </c>
      <c r="F1721" s="66">
        <v>0.4399</v>
      </c>
      <c r="G1721" s="66">
        <v>0.191</v>
      </c>
      <c r="I1721" s="82">
        <f t="shared" si="8"/>
        <v>1.303141361</v>
      </c>
      <c r="J1721" s="82">
        <f t="shared" si="4"/>
        <v>0.4341895885</v>
      </c>
    </row>
    <row r="1722">
      <c r="A1722" s="83">
        <v>44819.0</v>
      </c>
      <c r="B1722" s="66">
        <v>2090.0</v>
      </c>
      <c r="C1722" s="66">
        <v>2.0</v>
      </c>
      <c r="D1722" s="66" t="s">
        <v>228</v>
      </c>
      <c r="E1722" s="66">
        <v>0.0</v>
      </c>
      <c r="F1722" s="66">
        <v>1.136</v>
      </c>
      <c r="G1722" s="66">
        <v>0.5475</v>
      </c>
      <c r="I1722" s="82">
        <f t="shared" si="8"/>
        <v>1.074885845</v>
      </c>
      <c r="J1722" s="82">
        <f t="shared" si="4"/>
        <v>0.4819542254</v>
      </c>
    </row>
    <row r="1723">
      <c r="A1723" s="83">
        <v>44819.0</v>
      </c>
      <c r="B1723" s="66">
        <v>2090.0</v>
      </c>
      <c r="C1723" s="66">
        <v>2.0</v>
      </c>
      <c r="D1723" s="66" t="s">
        <v>227</v>
      </c>
      <c r="E1723" s="66">
        <v>0.0</v>
      </c>
      <c r="F1723" s="66">
        <v>0.1078</v>
      </c>
      <c r="G1723" s="66">
        <v>0.0575</v>
      </c>
      <c r="I1723" s="82">
        <f t="shared" si="8"/>
        <v>0.8747826087</v>
      </c>
      <c r="J1723" s="82">
        <f t="shared" si="4"/>
        <v>0.5333951763</v>
      </c>
    </row>
    <row r="1724">
      <c r="A1724" s="83">
        <v>44819.0</v>
      </c>
      <c r="B1724" s="66">
        <v>2090.0</v>
      </c>
      <c r="C1724" s="66">
        <v>2.0</v>
      </c>
      <c r="D1724" s="66" t="s">
        <v>227</v>
      </c>
      <c r="E1724" s="66">
        <v>1.0</v>
      </c>
      <c r="F1724" s="66">
        <v>0.3749</v>
      </c>
      <c r="G1724" s="66">
        <v>0.1781</v>
      </c>
      <c r="I1724" s="82">
        <f t="shared" si="8"/>
        <v>1.104997193</v>
      </c>
      <c r="J1724" s="82">
        <f t="shared" si="4"/>
        <v>0.475060016</v>
      </c>
    </row>
    <row r="1725">
      <c r="A1725" s="83">
        <v>44819.0</v>
      </c>
      <c r="B1725" s="66">
        <v>2090.0</v>
      </c>
      <c r="C1725" s="66">
        <v>3.0</v>
      </c>
      <c r="D1725" s="66" t="s">
        <v>227</v>
      </c>
      <c r="E1725" s="66">
        <v>0.0</v>
      </c>
      <c r="F1725" s="66">
        <v>0.2293</v>
      </c>
      <c r="G1725" s="66">
        <v>0.1085</v>
      </c>
      <c r="I1725" s="82">
        <f t="shared" si="8"/>
        <v>1.113364055</v>
      </c>
      <c r="J1725" s="82">
        <f t="shared" si="4"/>
        <v>0.4731792412</v>
      </c>
    </row>
    <row r="1726">
      <c r="A1726" s="83">
        <v>44819.0</v>
      </c>
      <c r="B1726" s="66">
        <v>2090.0</v>
      </c>
      <c r="C1726" s="66">
        <v>3.0</v>
      </c>
      <c r="D1726" s="66" t="s">
        <v>228</v>
      </c>
      <c r="E1726" s="66">
        <v>0.0</v>
      </c>
      <c r="F1726" s="66">
        <v>1.1259</v>
      </c>
      <c r="G1726" s="66">
        <v>0.5387</v>
      </c>
      <c r="I1726" s="82">
        <f t="shared" si="8"/>
        <v>1.090031557</v>
      </c>
      <c r="J1726" s="82">
        <f t="shared" si="4"/>
        <v>0.4784616751</v>
      </c>
    </row>
    <row r="1727">
      <c r="A1727" s="83">
        <v>44819.0</v>
      </c>
      <c r="B1727" s="66">
        <v>2090.0</v>
      </c>
      <c r="C1727" s="66">
        <v>3.0</v>
      </c>
      <c r="D1727" s="66" t="s">
        <v>227</v>
      </c>
      <c r="E1727" s="66">
        <v>1.0</v>
      </c>
      <c r="F1727" s="66">
        <v>0.8074</v>
      </c>
      <c r="G1727" s="66">
        <v>0.3687</v>
      </c>
      <c r="I1727" s="82">
        <f t="shared" si="8"/>
        <v>1.189856252</v>
      </c>
      <c r="J1727" s="82">
        <f t="shared" si="4"/>
        <v>0.4566509784</v>
      </c>
    </row>
    <row r="1728">
      <c r="A1728" s="83">
        <v>44819.0</v>
      </c>
      <c r="B1728" s="66">
        <v>2091.0</v>
      </c>
      <c r="C1728" s="66">
        <v>1.0</v>
      </c>
      <c r="D1728" s="66" t="s">
        <v>228</v>
      </c>
      <c r="E1728" s="66">
        <v>1.0</v>
      </c>
      <c r="F1728" s="66">
        <v>1.2911</v>
      </c>
      <c r="G1728" s="66">
        <v>0.8011</v>
      </c>
      <c r="I1728" s="82">
        <f t="shared" si="8"/>
        <v>0.6116589689</v>
      </c>
      <c r="J1728" s="82">
        <f t="shared" si="4"/>
        <v>0.6204786616</v>
      </c>
    </row>
    <row r="1729">
      <c r="A1729" s="83">
        <v>44819.0</v>
      </c>
      <c r="B1729" s="66">
        <v>2091.0</v>
      </c>
      <c r="C1729" s="66">
        <v>1.0</v>
      </c>
      <c r="D1729" s="66" t="s">
        <v>228</v>
      </c>
      <c r="E1729" s="66">
        <v>0.0</v>
      </c>
      <c r="F1729" s="66">
        <v>2.1263</v>
      </c>
      <c r="G1729" s="66">
        <v>1.1885</v>
      </c>
      <c r="I1729" s="82">
        <f t="shared" si="8"/>
        <v>0.7890618427</v>
      </c>
      <c r="J1729" s="82">
        <f t="shared" si="4"/>
        <v>0.5589521704</v>
      </c>
    </row>
    <row r="1730">
      <c r="A1730" s="83">
        <v>44819.0</v>
      </c>
      <c r="B1730" s="66">
        <v>2091.0</v>
      </c>
      <c r="C1730" s="66">
        <v>1.0</v>
      </c>
      <c r="D1730" s="66" t="s">
        <v>227</v>
      </c>
      <c r="E1730" s="66">
        <v>0.0</v>
      </c>
      <c r="F1730" s="66">
        <v>0.6903</v>
      </c>
      <c r="G1730" s="66">
        <v>0.3716</v>
      </c>
      <c r="I1730" s="82">
        <f t="shared" si="8"/>
        <v>0.8576426265</v>
      </c>
      <c r="J1730" s="82">
        <f t="shared" si="4"/>
        <v>0.5383166739</v>
      </c>
    </row>
    <row r="1731">
      <c r="A1731" s="83">
        <v>44819.0</v>
      </c>
      <c r="B1731" s="66">
        <v>2091.0</v>
      </c>
      <c r="C1731" s="66">
        <v>1.0</v>
      </c>
      <c r="D1731" s="66" t="s">
        <v>227</v>
      </c>
      <c r="E1731" s="66">
        <v>1.0</v>
      </c>
      <c r="F1731" s="66">
        <v>0.8116</v>
      </c>
      <c r="G1731" s="66">
        <v>0.4399</v>
      </c>
      <c r="I1731" s="82">
        <f t="shared" si="8"/>
        <v>0.8449647647</v>
      </c>
      <c r="J1731" s="82">
        <f t="shared" si="4"/>
        <v>0.5420157713</v>
      </c>
    </row>
    <row r="1732">
      <c r="A1732" s="83"/>
      <c r="B1732" s="66"/>
      <c r="C1732" s="66"/>
      <c r="D1732" s="66"/>
      <c r="F1732" s="66"/>
      <c r="G1732" s="66"/>
    </row>
    <row r="1733">
      <c r="A1733" s="83"/>
      <c r="B1733" s="66"/>
      <c r="C1733" s="66"/>
      <c r="D1733" s="66"/>
      <c r="F1733" s="66"/>
      <c r="G1733" s="66"/>
    </row>
    <row r="1734">
      <c r="A1734" s="83"/>
      <c r="B1734" s="66"/>
      <c r="C1734" s="66"/>
      <c r="D1734" s="66"/>
      <c r="F1734" s="66"/>
      <c r="G1734" s="66"/>
    </row>
    <row r="1735">
      <c r="A1735" s="83"/>
      <c r="B1735" s="66"/>
      <c r="C1735" s="66"/>
      <c r="D1735" s="66"/>
      <c r="F1735" s="66"/>
      <c r="G1735" s="66"/>
    </row>
    <row r="1736">
      <c r="A1736" s="83"/>
      <c r="B1736" s="66"/>
      <c r="C1736" s="66"/>
      <c r="D1736" s="66"/>
      <c r="F1736" s="66"/>
      <c r="G1736" s="66"/>
    </row>
    <row r="1737">
      <c r="A1737" s="83"/>
      <c r="B1737" s="66"/>
      <c r="C1737" s="66"/>
      <c r="D1737" s="66"/>
      <c r="F1737" s="66"/>
      <c r="G1737" s="66"/>
    </row>
    <row r="1738">
      <c r="A1738" s="83"/>
      <c r="B1738" s="66"/>
      <c r="C1738" s="66"/>
      <c r="D1738" s="66"/>
      <c r="F1738" s="66"/>
      <c r="G1738" s="66"/>
    </row>
    <row r="1739">
      <c r="A1739" s="83"/>
      <c r="B1739" s="66"/>
      <c r="C1739" s="66"/>
      <c r="D1739" s="66"/>
      <c r="F1739" s="66"/>
      <c r="G1739" s="66"/>
    </row>
    <row r="1740">
      <c r="A1740" s="83"/>
      <c r="B1740" s="66"/>
      <c r="C1740" s="66"/>
      <c r="D1740" s="66"/>
      <c r="F1740" s="66"/>
      <c r="G1740" s="66"/>
    </row>
    <row r="1741">
      <c r="A1741" s="83"/>
      <c r="B1741" s="66"/>
      <c r="C1741" s="66"/>
      <c r="D1741" s="66"/>
      <c r="F1741" s="66"/>
      <c r="G1741" s="66"/>
    </row>
    <row r="1742">
      <c r="A1742" s="83"/>
      <c r="B1742" s="66"/>
      <c r="C1742" s="66"/>
      <c r="D1742" s="66"/>
      <c r="F1742" s="66"/>
      <c r="G1742" s="66"/>
    </row>
    <row r="1743">
      <c r="A1743" s="83"/>
      <c r="B1743" s="66"/>
      <c r="C1743" s="66"/>
      <c r="D1743" s="66"/>
      <c r="F1743" s="66"/>
      <c r="G1743" s="66"/>
    </row>
    <row r="1744">
      <c r="A1744" s="83"/>
      <c r="B1744" s="66"/>
      <c r="C1744" s="66"/>
      <c r="D1744" s="66"/>
      <c r="F1744" s="66"/>
      <c r="G1744" s="66"/>
    </row>
    <row r="1745">
      <c r="A1745" s="83"/>
      <c r="B1745" s="66"/>
      <c r="C1745" s="66"/>
      <c r="D1745" s="66"/>
      <c r="F1745" s="66"/>
      <c r="G1745" s="66"/>
    </row>
    <row r="1746">
      <c r="A1746" s="83"/>
      <c r="B1746" s="66"/>
      <c r="C1746" s="66"/>
      <c r="D1746" s="66"/>
      <c r="F1746" s="66"/>
      <c r="G1746" s="66"/>
    </row>
    <row r="1747">
      <c r="A1747" s="83"/>
      <c r="B1747" s="66"/>
      <c r="C1747" s="66"/>
      <c r="D1747" s="66"/>
      <c r="F1747" s="66"/>
      <c r="G1747" s="66"/>
    </row>
    <row r="1748">
      <c r="A1748" s="83"/>
      <c r="B1748" s="66"/>
      <c r="C1748" s="66"/>
      <c r="D1748" s="66"/>
      <c r="F1748" s="66"/>
      <c r="G1748" s="66"/>
    </row>
    <row r="1749">
      <c r="A1749" s="83"/>
      <c r="B1749" s="66"/>
      <c r="C1749" s="66"/>
      <c r="D1749" s="66"/>
      <c r="F1749" s="66"/>
      <c r="G1749" s="66"/>
    </row>
    <row r="1750">
      <c r="A1750" s="83"/>
      <c r="B1750" s="66"/>
      <c r="C1750" s="66"/>
      <c r="D1750" s="66"/>
      <c r="F1750" s="66"/>
      <c r="G1750" s="66"/>
    </row>
    <row r="1751">
      <c r="A1751" s="83"/>
      <c r="B1751" s="66"/>
      <c r="C1751" s="66"/>
      <c r="D1751" s="66"/>
      <c r="F1751" s="66"/>
      <c r="G1751" s="66"/>
    </row>
    <row r="1752">
      <c r="A1752" s="83"/>
      <c r="B1752" s="66"/>
      <c r="C1752" s="66"/>
      <c r="D1752" s="66"/>
      <c r="F1752" s="66"/>
      <c r="G1752" s="66"/>
    </row>
    <row r="1753">
      <c r="A1753" s="83"/>
      <c r="B1753" s="66"/>
      <c r="C1753" s="66"/>
      <c r="D1753" s="66"/>
      <c r="F1753" s="66"/>
      <c r="G1753" s="66"/>
    </row>
    <row r="1754">
      <c r="A1754" s="83"/>
      <c r="B1754" s="66"/>
      <c r="C1754" s="66"/>
      <c r="D1754" s="66"/>
      <c r="F1754" s="66"/>
      <c r="G1754" s="66"/>
    </row>
    <row r="1755">
      <c r="A1755" s="83"/>
      <c r="B1755" s="66"/>
      <c r="C1755" s="66"/>
      <c r="D1755" s="66"/>
      <c r="F1755" s="66"/>
      <c r="G1755" s="66"/>
    </row>
    <row r="1756">
      <c r="A1756" s="83"/>
      <c r="B1756" s="66"/>
      <c r="C1756" s="66"/>
      <c r="D1756" s="66"/>
      <c r="F1756" s="66"/>
      <c r="G1756" s="66"/>
    </row>
    <row r="1757">
      <c r="A1757" s="83"/>
      <c r="B1757" s="66"/>
      <c r="C1757" s="66"/>
      <c r="D1757" s="66"/>
      <c r="F1757" s="66"/>
      <c r="G1757" s="66"/>
    </row>
    <row r="1758">
      <c r="A1758" s="83"/>
      <c r="B1758" s="66"/>
      <c r="C1758" s="66"/>
      <c r="D1758" s="66"/>
      <c r="F1758" s="66"/>
      <c r="G1758" s="66"/>
    </row>
    <row r="1759">
      <c r="A1759" s="83"/>
      <c r="B1759" s="66"/>
      <c r="C1759" s="66"/>
      <c r="D1759" s="66"/>
      <c r="F1759" s="66"/>
      <c r="G1759" s="66"/>
    </row>
    <row r="1760">
      <c r="A1760" s="83"/>
      <c r="B1760" s="66"/>
      <c r="C1760" s="66"/>
      <c r="D1760" s="66"/>
      <c r="F1760" s="66"/>
      <c r="G1760" s="66"/>
    </row>
    <row r="1761">
      <c r="A1761" s="83"/>
      <c r="B1761" s="66"/>
      <c r="C1761" s="66"/>
      <c r="D1761" s="66"/>
      <c r="F1761" s="66"/>
      <c r="G1761" s="66"/>
    </row>
    <row r="1762">
      <c r="A1762" s="83"/>
      <c r="B1762" s="66"/>
      <c r="C1762" s="66"/>
      <c r="D1762" s="66"/>
      <c r="F1762" s="66"/>
      <c r="G1762" s="66"/>
    </row>
    <row r="1763">
      <c r="A1763" s="83"/>
      <c r="B1763" s="66"/>
      <c r="C1763" s="66"/>
      <c r="D1763" s="66"/>
      <c r="F1763" s="66"/>
      <c r="G1763" s="66"/>
    </row>
    <row r="1764">
      <c r="A1764" s="83"/>
      <c r="B1764" s="66"/>
      <c r="C1764" s="66"/>
      <c r="D1764" s="66"/>
      <c r="F1764" s="66"/>
      <c r="G1764" s="66"/>
    </row>
    <row r="1765">
      <c r="A1765" s="83"/>
      <c r="B1765" s="66"/>
      <c r="C1765" s="66"/>
      <c r="D1765" s="66"/>
      <c r="F1765" s="66"/>
      <c r="G1765" s="66"/>
    </row>
    <row r="1766">
      <c r="A1766" s="83"/>
      <c r="B1766" s="66"/>
      <c r="C1766" s="66"/>
      <c r="D1766" s="66"/>
      <c r="F1766" s="66"/>
      <c r="G1766" s="66"/>
    </row>
    <row r="1767">
      <c r="A1767" s="83"/>
      <c r="B1767" s="66"/>
      <c r="C1767" s="66"/>
      <c r="D1767" s="66"/>
      <c r="F1767" s="66"/>
      <c r="G1767" s="66"/>
    </row>
    <row r="1768">
      <c r="A1768" s="83"/>
      <c r="B1768" s="66"/>
      <c r="C1768" s="66"/>
      <c r="D1768" s="66"/>
      <c r="F1768" s="66"/>
      <c r="G1768" s="66"/>
    </row>
    <row r="1769">
      <c r="A1769" s="83"/>
      <c r="B1769" s="66"/>
      <c r="C1769" s="66"/>
      <c r="D1769" s="66"/>
      <c r="F1769" s="66"/>
      <c r="G1769" s="66"/>
    </row>
    <row r="1770">
      <c r="A1770" s="83"/>
      <c r="B1770" s="66"/>
      <c r="C1770" s="66"/>
      <c r="D1770" s="66"/>
      <c r="F1770" s="66"/>
      <c r="G1770" s="66"/>
    </row>
    <row r="1771">
      <c r="A1771" s="83"/>
      <c r="B1771" s="66"/>
      <c r="C1771" s="66"/>
      <c r="D1771" s="66"/>
      <c r="F1771" s="66"/>
      <c r="G1771" s="66"/>
    </row>
    <row r="1772">
      <c r="A1772" s="83"/>
      <c r="B1772" s="66"/>
      <c r="C1772" s="66"/>
      <c r="D1772" s="66"/>
      <c r="F1772" s="66"/>
      <c r="G1772" s="66"/>
    </row>
    <row r="1773">
      <c r="A1773" s="83"/>
      <c r="B1773" s="66"/>
      <c r="C1773" s="66"/>
      <c r="D1773" s="66"/>
      <c r="F1773" s="66"/>
      <c r="G1773" s="66"/>
    </row>
    <row r="1774">
      <c r="A1774" s="83"/>
      <c r="B1774" s="66"/>
      <c r="C1774" s="66"/>
      <c r="D1774" s="66"/>
      <c r="F1774" s="66"/>
      <c r="G1774" s="66"/>
    </row>
    <row r="1775">
      <c r="A1775" s="83"/>
      <c r="B1775" s="66"/>
      <c r="C1775" s="66"/>
      <c r="D1775" s="66"/>
      <c r="F1775" s="66"/>
      <c r="G1775" s="66"/>
    </row>
    <row r="1776">
      <c r="A1776" s="83"/>
      <c r="B1776" s="66"/>
      <c r="C1776" s="66"/>
      <c r="D1776" s="66"/>
      <c r="F1776" s="66"/>
      <c r="G1776" s="66"/>
    </row>
    <row r="1777">
      <c r="A1777" s="83"/>
      <c r="B1777" s="66"/>
      <c r="C1777" s="66"/>
      <c r="D1777" s="66"/>
      <c r="F1777" s="66"/>
      <c r="G1777" s="66"/>
    </row>
    <row r="1778">
      <c r="A1778" s="83"/>
      <c r="B1778" s="66"/>
      <c r="C1778" s="66"/>
      <c r="D1778" s="66"/>
      <c r="F1778" s="66"/>
      <c r="G1778" s="66"/>
    </row>
    <row r="1779">
      <c r="A1779" s="83"/>
      <c r="B1779" s="66"/>
      <c r="C1779" s="66"/>
      <c r="D1779" s="66"/>
      <c r="F1779" s="66"/>
      <c r="G1779" s="66"/>
    </row>
    <row r="1780">
      <c r="A1780" s="83"/>
      <c r="B1780" s="66"/>
      <c r="C1780" s="66"/>
      <c r="D1780" s="66"/>
      <c r="F1780" s="66"/>
      <c r="G1780" s="66"/>
    </row>
    <row r="1781">
      <c r="A1781" s="83"/>
      <c r="B1781" s="66"/>
      <c r="C1781" s="66"/>
      <c r="D1781" s="66"/>
      <c r="F1781" s="66"/>
      <c r="G1781" s="66"/>
    </row>
    <row r="1782">
      <c r="A1782" s="83"/>
      <c r="B1782" s="66"/>
      <c r="C1782" s="66"/>
      <c r="D1782" s="66"/>
      <c r="F1782" s="66"/>
      <c r="G1782" s="66"/>
    </row>
    <row r="1783">
      <c r="A1783" s="83"/>
      <c r="B1783" s="66"/>
      <c r="C1783" s="66"/>
      <c r="D1783" s="66"/>
      <c r="F1783" s="66"/>
      <c r="G1783" s="66"/>
    </row>
    <row r="1784">
      <c r="A1784" s="83"/>
      <c r="B1784" s="66"/>
      <c r="C1784" s="66"/>
      <c r="D1784" s="66"/>
      <c r="F1784" s="66"/>
      <c r="G1784" s="66"/>
    </row>
    <row r="1785">
      <c r="A1785" s="83"/>
      <c r="B1785" s="66"/>
      <c r="C1785" s="66"/>
      <c r="D1785" s="66"/>
      <c r="F1785" s="66"/>
      <c r="G1785" s="66"/>
    </row>
    <row r="1786">
      <c r="A1786" s="83"/>
      <c r="B1786" s="66"/>
      <c r="C1786" s="66"/>
      <c r="D1786" s="66"/>
      <c r="F1786" s="66"/>
      <c r="G1786" s="66"/>
    </row>
    <row r="1787">
      <c r="A1787" s="83"/>
      <c r="B1787" s="66"/>
      <c r="C1787" s="66"/>
      <c r="D1787" s="66"/>
      <c r="F1787" s="66"/>
      <c r="G1787" s="66"/>
    </row>
    <row r="1788">
      <c r="A1788" s="83"/>
      <c r="B1788" s="66"/>
      <c r="C1788" s="66"/>
      <c r="D1788" s="66"/>
      <c r="F1788" s="66"/>
      <c r="G1788" s="66"/>
    </row>
    <row r="1789">
      <c r="A1789" s="83"/>
      <c r="B1789" s="66"/>
      <c r="C1789" s="66"/>
      <c r="D1789" s="66"/>
      <c r="F1789" s="66"/>
      <c r="G1789" s="66"/>
    </row>
    <row r="1790">
      <c r="A1790" s="83"/>
      <c r="B1790" s="66"/>
      <c r="C1790" s="66"/>
      <c r="D1790" s="66"/>
      <c r="F1790" s="66"/>
      <c r="G1790" s="66"/>
    </row>
    <row r="1791">
      <c r="A1791" s="83"/>
      <c r="B1791" s="66"/>
      <c r="C1791" s="66"/>
      <c r="D1791" s="66"/>
      <c r="F1791" s="66"/>
      <c r="G1791" s="66"/>
    </row>
    <row r="1792">
      <c r="A1792" s="83"/>
      <c r="B1792" s="66"/>
      <c r="C1792" s="66"/>
      <c r="D1792" s="66"/>
      <c r="F1792" s="66"/>
      <c r="G1792" s="66"/>
    </row>
    <row r="1793">
      <c r="A1793" s="83"/>
      <c r="B1793" s="66"/>
      <c r="C1793" s="66"/>
      <c r="D1793" s="66"/>
      <c r="F1793" s="66"/>
      <c r="G1793" s="66"/>
    </row>
    <row r="1794">
      <c r="A1794" s="83"/>
      <c r="B1794" s="66"/>
      <c r="C1794" s="66"/>
      <c r="D1794" s="66"/>
      <c r="F1794" s="66"/>
      <c r="G1794" s="66"/>
    </row>
    <row r="1795">
      <c r="A1795" s="83"/>
      <c r="B1795" s="66"/>
      <c r="C1795" s="66"/>
      <c r="D1795" s="66"/>
      <c r="F1795" s="66"/>
      <c r="G1795" s="66"/>
    </row>
    <row r="1796">
      <c r="A1796" s="83"/>
      <c r="B1796" s="66"/>
      <c r="C1796" s="66"/>
      <c r="D1796" s="66"/>
      <c r="F1796" s="66"/>
      <c r="G1796" s="66"/>
    </row>
    <row r="1797">
      <c r="A1797" s="83"/>
      <c r="B1797" s="66"/>
      <c r="C1797" s="66"/>
      <c r="D1797" s="66"/>
      <c r="F1797" s="66"/>
      <c r="G1797" s="66"/>
    </row>
    <row r="1798">
      <c r="A1798" s="83"/>
      <c r="B1798" s="66"/>
      <c r="C1798" s="66"/>
      <c r="D1798" s="66"/>
      <c r="F1798" s="66"/>
      <c r="G1798" s="66"/>
    </row>
    <row r="1799">
      <c r="A1799" s="83"/>
      <c r="B1799" s="66"/>
      <c r="C1799" s="66"/>
      <c r="D1799" s="66"/>
      <c r="F1799" s="66"/>
      <c r="G1799" s="66"/>
    </row>
    <row r="1800">
      <c r="A1800" s="83"/>
      <c r="B1800" s="66"/>
      <c r="C1800" s="66"/>
      <c r="D1800" s="66"/>
      <c r="F1800" s="66"/>
      <c r="G1800" s="66"/>
    </row>
    <row r="1801">
      <c r="A1801" s="83"/>
      <c r="B1801" s="66"/>
      <c r="C1801" s="66"/>
      <c r="D1801" s="66"/>
      <c r="F1801" s="66"/>
      <c r="G1801" s="66"/>
    </row>
    <row r="1802">
      <c r="A1802" s="83"/>
      <c r="B1802" s="66"/>
      <c r="C1802" s="66"/>
      <c r="D1802" s="66"/>
      <c r="F1802" s="66"/>
      <c r="G1802" s="66"/>
    </row>
    <row r="1803">
      <c r="A1803" s="83"/>
      <c r="B1803" s="66"/>
      <c r="C1803" s="66"/>
      <c r="D1803" s="66"/>
      <c r="F1803" s="66"/>
      <c r="G1803" s="66"/>
    </row>
    <row r="1804">
      <c r="A1804" s="83"/>
      <c r="B1804" s="66"/>
      <c r="C1804" s="66"/>
      <c r="D1804" s="66"/>
      <c r="F1804" s="66"/>
      <c r="G1804" s="66"/>
    </row>
    <row r="1805">
      <c r="A1805" s="83"/>
      <c r="B1805" s="66"/>
      <c r="C1805" s="66"/>
      <c r="D1805" s="66"/>
      <c r="F1805" s="66"/>
      <c r="G1805" s="66"/>
    </row>
    <row r="1806">
      <c r="A1806" s="83"/>
      <c r="B1806" s="66"/>
      <c r="C1806" s="66"/>
      <c r="D1806" s="66"/>
      <c r="F1806" s="66"/>
      <c r="G1806" s="66"/>
    </row>
    <row r="1807">
      <c r="A1807" s="83"/>
      <c r="B1807" s="66"/>
      <c r="C1807" s="66"/>
      <c r="D1807" s="66"/>
      <c r="F1807" s="66"/>
      <c r="G1807" s="66"/>
    </row>
    <row r="1808">
      <c r="A1808" s="83"/>
      <c r="B1808" s="66"/>
      <c r="C1808" s="66"/>
      <c r="D1808" s="66"/>
      <c r="F1808" s="66"/>
      <c r="G1808" s="66"/>
    </row>
    <row r="1809">
      <c r="A1809" s="83"/>
      <c r="B1809" s="66"/>
      <c r="C1809" s="66"/>
      <c r="D1809" s="66"/>
      <c r="F1809" s="66"/>
      <c r="G1809" s="66"/>
    </row>
    <row r="1810">
      <c r="A1810" s="83"/>
      <c r="B1810" s="66"/>
      <c r="C1810" s="66"/>
      <c r="D1810" s="66"/>
      <c r="F1810" s="66"/>
      <c r="G1810" s="66"/>
    </row>
    <row r="1811">
      <c r="A1811" s="83"/>
      <c r="B1811" s="66"/>
      <c r="C1811" s="66"/>
      <c r="D1811" s="66"/>
      <c r="F1811" s="66"/>
      <c r="G1811" s="66"/>
    </row>
    <row r="1812">
      <c r="A1812" s="83"/>
      <c r="B1812" s="66"/>
      <c r="C1812" s="66"/>
      <c r="D1812" s="66"/>
      <c r="F1812" s="66"/>
      <c r="G1812" s="66"/>
    </row>
    <row r="1813">
      <c r="A1813" s="83"/>
      <c r="B1813" s="66"/>
      <c r="C1813" s="66"/>
      <c r="D1813" s="66"/>
      <c r="F1813" s="66"/>
      <c r="G1813" s="66"/>
    </row>
    <row r="1814">
      <c r="A1814" s="83"/>
      <c r="B1814" s="66"/>
      <c r="C1814" s="66"/>
      <c r="D1814" s="66"/>
      <c r="F1814" s="66"/>
      <c r="G1814" s="66"/>
    </row>
    <row r="1815">
      <c r="A1815" s="83"/>
      <c r="B1815" s="66"/>
      <c r="C1815" s="66"/>
      <c r="D1815" s="66"/>
      <c r="F1815" s="66"/>
      <c r="G1815" s="66"/>
    </row>
    <row r="1816">
      <c r="A1816" s="83"/>
      <c r="B1816" s="66"/>
      <c r="C1816" s="66"/>
      <c r="D1816" s="66"/>
      <c r="F1816" s="66"/>
      <c r="G1816" s="66"/>
    </row>
    <row r="1817">
      <c r="A1817" s="83"/>
      <c r="B1817" s="66"/>
      <c r="C1817" s="66"/>
      <c r="D1817" s="66"/>
      <c r="F1817" s="66"/>
      <c r="G1817" s="66"/>
    </row>
    <row r="1818">
      <c r="A1818" s="83"/>
      <c r="B1818" s="66"/>
      <c r="C1818" s="66"/>
      <c r="D1818" s="66"/>
      <c r="F1818" s="66"/>
      <c r="G1818" s="66"/>
    </row>
    <row r="1819">
      <c r="A1819" s="83"/>
      <c r="B1819" s="66"/>
      <c r="C1819" s="66"/>
      <c r="D1819" s="66"/>
      <c r="F1819" s="66"/>
      <c r="G1819" s="66"/>
    </row>
    <row r="1820">
      <c r="A1820" s="83"/>
      <c r="B1820" s="66"/>
      <c r="C1820" s="66"/>
      <c r="D1820" s="66"/>
      <c r="F1820" s="66"/>
      <c r="G1820" s="66"/>
    </row>
    <row r="1821">
      <c r="A1821" s="83"/>
      <c r="B1821" s="66"/>
      <c r="C1821" s="66"/>
      <c r="D1821" s="66"/>
      <c r="F1821" s="66"/>
      <c r="G1821" s="66"/>
    </row>
    <row r="1822">
      <c r="A1822" s="83"/>
      <c r="B1822" s="66"/>
      <c r="C1822" s="66"/>
      <c r="D1822" s="66"/>
      <c r="F1822" s="66"/>
      <c r="G1822" s="66"/>
    </row>
    <row r="1823">
      <c r="A1823" s="83"/>
      <c r="B1823" s="66"/>
      <c r="C1823" s="66"/>
      <c r="D1823" s="66"/>
      <c r="F1823" s="66"/>
      <c r="G1823" s="66"/>
    </row>
    <row r="1824">
      <c r="A1824" s="83"/>
      <c r="B1824" s="66"/>
      <c r="C1824" s="66"/>
      <c r="D1824" s="66"/>
      <c r="F1824" s="66"/>
      <c r="G1824" s="66"/>
    </row>
    <row r="1825">
      <c r="A1825" s="83"/>
      <c r="B1825" s="66"/>
      <c r="C1825" s="66"/>
      <c r="D1825" s="66"/>
      <c r="F1825" s="66"/>
      <c r="G1825" s="66"/>
    </row>
    <row r="1826">
      <c r="A1826" s="83"/>
      <c r="B1826" s="66"/>
      <c r="C1826" s="66"/>
      <c r="D1826" s="66"/>
      <c r="F1826" s="66"/>
      <c r="G1826" s="66"/>
    </row>
    <row r="1827">
      <c r="A1827" s="83"/>
      <c r="B1827" s="66"/>
      <c r="C1827" s="66"/>
      <c r="D1827" s="66"/>
      <c r="F1827" s="66"/>
      <c r="G1827" s="66"/>
    </row>
    <row r="1828">
      <c r="A1828" s="83"/>
      <c r="B1828" s="66"/>
      <c r="C1828" s="66"/>
      <c r="D1828" s="66"/>
      <c r="F1828" s="66"/>
      <c r="G1828" s="66"/>
    </row>
    <row r="1829">
      <c r="A1829" s="83"/>
      <c r="B1829" s="66"/>
      <c r="C1829" s="66"/>
      <c r="D1829" s="66"/>
      <c r="F1829" s="66"/>
      <c r="G1829" s="66"/>
    </row>
    <row r="1830">
      <c r="A1830" s="83"/>
      <c r="B1830" s="66"/>
      <c r="C1830" s="66"/>
      <c r="D1830" s="66"/>
      <c r="F1830" s="66"/>
      <c r="G1830" s="66"/>
    </row>
    <row r="1831">
      <c r="A1831" s="83"/>
      <c r="B1831" s="66"/>
      <c r="C1831" s="66"/>
      <c r="D1831" s="66"/>
      <c r="F1831" s="66"/>
      <c r="G1831" s="66"/>
    </row>
    <row r="1832">
      <c r="A1832" s="83"/>
      <c r="B1832" s="66"/>
      <c r="C1832" s="66"/>
      <c r="D1832" s="66"/>
      <c r="F1832" s="66"/>
      <c r="G1832" s="66"/>
    </row>
    <row r="1833">
      <c r="A1833" s="83"/>
      <c r="B1833" s="66"/>
      <c r="C1833" s="66"/>
      <c r="D1833" s="66"/>
      <c r="F1833" s="66"/>
      <c r="G1833" s="66"/>
    </row>
    <row r="1834">
      <c r="A1834" s="83"/>
      <c r="B1834" s="66"/>
      <c r="C1834" s="66"/>
      <c r="D1834" s="66"/>
      <c r="F1834" s="66"/>
      <c r="G1834" s="66"/>
    </row>
    <row r="1835">
      <c r="A1835" s="83"/>
      <c r="B1835" s="66"/>
      <c r="C1835" s="66"/>
      <c r="D1835" s="66"/>
      <c r="F1835" s="66"/>
      <c r="G1835" s="66"/>
    </row>
    <row r="1836">
      <c r="A1836" s="83"/>
      <c r="B1836" s="66"/>
      <c r="C1836" s="66"/>
      <c r="D1836" s="66"/>
      <c r="F1836" s="66"/>
      <c r="G1836" s="66"/>
    </row>
    <row r="1837">
      <c r="A1837" s="83"/>
      <c r="B1837" s="66"/>
      <c r="C1837" s="66"/>
      <c r="D1837" s="66"/>
      <c r="F1837" s="66"/>
      <c r="G1837" s="66"/>
    </row>
    <row r="1838">
      <c r="A1838" s="83"/>
      <c r="B1838" s="66"/>
      <c r="C1838" s="66"/>
      <c r="D1838" s="66"/>
      <c r="F1838" s="66"/>
      <c r="G1838" s="66"/>
    </row>
    <row r="1839">
      <c r="A1839" s="83"/>
      <c r="B1839" s="66"/>
      <c r="C1839" s="66"/>
      <c r="D1839" s="66"/>
      <c r="F1839" s="66"/>
      <c r="G1839" s="66"/>
    </row>
    <row r="1840">
      <c r="A1840" s="83"/>
      <c r="B1840" s="66"/>
      <c r="C1840" s="66"/>
      <c r="D1840" s="66"/>
      <c r="F1840" s="66"/>
      <c r="G1840" s="66"/>
    </row>
    <row r="1841">
      <c r="A1841" s="83"/>
      <c r="B1841" s="66"/>
      <c r="C1841" s="66"/>
      <c r="D1841" s="66"/>
      <c r="F1841" s="66"/>
      <c r="G1841" s="66"/>
    </row>
    <row r="1842">
      <c r="A1842" s="83"/>
      <c r="B1842" s="66"/>
      <c r="C1842" s="66"/>
      <c r="D1842" s="66"/>
      <c r="F1842" s="66"/>
      <c r="G1842" s="66"/>
    </row>
    <row r="1843">
      <c r="A1843" s="83"/>
      <c r="B1843" s="66"/>
      <c r="C1843" s="66"/>
      <c r="D1843" s="66"/>
      <c r="F1843" s="66"/>
      <c r="G1843" s="66"/>
    </row>
    <row r="1844">
      <c r="A1844" s="83"/>
      <c r="B1844" s="66"/>
      <c r="C1844" s="66"/>
      <c r="D1844" s="66"/>
      <c r="F1844" s="66"/>
      <c r="G1844" s="66"/>
    </row>
    <row r="1845">
      <c r="A1845" s="83"/>
      <c r="B1845" s="66"/>
      <c r="C1845" s="66"/>
      <c r="D1845" s="66"/>
      <c r="F1845" s="66"/>
      <c r="G1845" s="66"/>
    </row>
    <row r="1846">
      <c r="A1846" s="83"/>
      <c r="B1846" s="66"/>
      <c r="C1846" s="66"/>
      <c r="D1846" s="66"/>
      <c r="F1846" s="66"/>
      <c r="G1846" s="66"/>
    </row>
    <row r="1847">
      <c r="A1847" s="83"/>
      <c r="B1847" s="66"/>
      <c r="C1847" s="66"/>
      <c r="D1847" s="66"/>
      <c r="F1847" s="66"/>
      <c r="G1847" s="66"/>
    </row>
    <row r="1848">
      <c r="A1848" s="83"/>
      <c r="B1848" s="66"/>
      <c r="C1848" s="66"/>
      <c r="D1848" s="66"/>
      <c r="F1848" s="66"/>
      <c r="G1848" s="66"/>
    </row>
    <row r="1849">
      <c r="A1849" s="83"/>
      <c r="B1849" s="66"/>
      <c r="C1849" s="66"/>
      <c r="D1849" s="66"/>
      <c r="F1849" s="66"/>
      <c r="G1849" s="66"/>
    </row>
    <row r="1850">
      <c r="A1850" s="83"/>
      <c r="B1850" s="66"/>
      <c r="C1850" s="66"/>
      <c r="D1850" s="66"/>
      <c r="F1850" s="66"/>
      <c r="G1850" s="66"/>
    </row>
    <row r="1851">
      <c r="A1851" s="83"/>
      <c r="B1851" s="66"/>
      <c r="C1851" s="66"/>
      <c r="D1851" s="66"/>
      <c r="F1851" s="66"/>
      <c r="G1851" s="66"/>
    </row>
    <row r="1852">
      <c r="A1852" s="83"/>
      <c r="B1852" s="66"/>
      <c r="C1852" s="66"/>
      <c r="D1852" s="66"/>
      <c r="F1852" s="66"/>
      <c r="G1852" s="66"/>
    </row>
    <row r="1853">
      <c r="A1853" s="83"/>
      <c r="B1853" s="66"/>
      <c r="C1853" s="66"/>
      <c r="D1853" s="66"/>
      <c r="F1853" s="66"/>
      <c r="G1853" s="66"/>
    </row>
    <row r="1854">
      <c r="A1854" s="83"/>
      <c r="B1854" s="66"/>
      <c r="C1854" s="66"/>
      <c r="D1854" s="66"/>
      <c r="F1854" s="66"/>
      <c r="G1854" s="66"/>
    </row>
    <row r="1855">
      <c r="A1855" s="83"/>
      <c r="B1855" s="66"/>
      <c r="C1855" s="66"/>
      <c r="D1855" s="66"/>
      <c r="F1855" s="66"/>
      <c r="G1855" s="66"/>
    </row>
    <row r="1856">
      <c r="A1856" s="83"/>
      <c r="B1856" s="66"/>
      <c r="C1856" s="66"/>
      <c r="D1856" s="66"/>
      <c r="F1856" s="66"/>
      <c r="G1856" s="66"/>
    </row>
    <row r="1857">
      <c r="A1857" s="83"/>
      <c r="B1857" s="66"/>
      <c r="C1857" s="66"/>
      <c r="D1857" s="66"/>
      <c r="F1857" s="66"/>
      <c r="G1857" s="66"/>
    </row>
    <row r="1858">
      <c r="A1858" s="83"/>
      <c r="B1858" s="66"/>
      <c r="C1858" s="66"/>
      <c r="D1858" s="66"/>
      <c r="F1858" s="66"/>
      <c r="G1858" s="66"/>
    </row>
    <row r="1859">
      <c r="A1859" s="83"/>
      <c r="B1859" s="66"/>
      <c r="C1859" s="66"/>
      <c r="D1859" s="66"/>
      <c r="F1859" s="66"/>
      <c r="G1859" s="66"/>
    </row>
    <row r="1860">
      <c r="A1860" s="83"/>
      <c r="B1860" s="66"/>
      <c r="C1860" s="66"/>
      <c r="D1860" s="66"/>
      <c r="F1860" s="66"/>
      <c r="G1860" s="66"/>
    </row>
    <row r="1861">
      <c r="A1861" s="83"/>
      <c r="B1861" s="66"/>
      <c r="C1861" s="66"/>
      <c r="D1861" s="66"/>
      <c r="F1861" s="66"/>
      <c r="G1861" s="66"/>
    </row>
    <row r="1862">
      <c r="A1862" s="83"/>
      <c r="B1862" s="66"/>
      <c r="C1862" s="66"/>
      <c r="D1862" s="66"/>
      <c r="F1862" s="66"/>
      <c r="G1862" s="66"/>
    </row>
    <row r="1863">
      <c r="A1863" s="83"/>
      <c r="B1863" s="66"/>
      <c r="C1863" s="66"/>
      <c r="D1863" s="66"/>
      <c r="F1863" s="66"/>
      <c r="G1863" s="66"/>
    </row>
    <row r="1864">
      <c r="A1864" s="83"/>
      <c r="B1864" s="66"/>
      <c r="C1864" s="66"/>
      <c r="D1864" s="66"/>
      <c r="F1864" s="66"/>
      <c r="G1864" s="66"/>
    </row>
    <row r="1865">
      <c r="A1865" s="83"/>
      <c r="B1865" s="66"/>
      <c r="C1865" s="66"/>
      <c r="D1865" s="66"/>
      <c r="F1865" s="66"/>
      <c r="G1865" s="66"/>
    </row>
    <row r="1866">
      <c r="A1866" s="83"/>
      <c r="B1866" s="66"/>
      <c r="C1866" s="66"/>
      <c r="D1866" s="66"/>
      <c r="F1866" s="66"/>
      <c r="G1866" s="66"/>
    </row>
    <row r="1867">
      <c r="A1867" s="83"/>
      <c r="B1867" s="66"/>
      <c r="C1867" s="66"/>
      <c r="D1867" s="66"/>
      <c r="F1867" s="66"/>
      <c r="G1867" s="66"/>
    </row>
    <row r="1868">
      <c r="A1868" s="83"/>
      <c r="B1868" s="66"/>
      <c r="C1868" s="66"/>
      <c r="D1868" s="66"/>
      <c r="F1868" s="66"/>
      <c r="G1868" s="66"/>
    </row>
    <row r="1869">
      <c r="A1869" s="83"/>
      <c r="B1869" s="66"/>
      <c r="C1869" s="66"/>
      <c r="D1869" s="66"/>
      <c r="F1869" s="66"/>
      <c r="G1869" s="66"/>
    </row>
    <row r="1870">
      <c r="A1870" s="83"/>
      <c r="B1870" s="66"/>
      <c r="C1870" s="66"/>
      <c r="D1870" s="66"/>
      <c r="F1870" s="66"/>
      <c r="G1870" s="66"/>
    </row>
    <row r="1871">
      <c r="A1871" s="83"/>
      <c r="B1871" s="66"/>
      <c r="C1871" s="66"/>
      <c r="D1871" s="66"/>
      <c r="F1871" s="66"/>
      <c r="G1871" s="66"/>
    </row>
    <row r="1872">
      <c r="A1872" s="83"/>
      <c r="B1872" s="66"/>
      <c r="C1872" s="66"/>
      <c r="D1872" s="66"/>
      <c r="F1872" s="66"/>
      <c r="G1872" s="66"/>
    </row>
    <row r="1873">
      <c r="A1873" s="83"/>
      <c r="B1873" s="66"/>
      <c r="C1873" s="66"/>
      <c r="D1873" s="66"/>
      <c r="F1873" s="66"/>
      <c r="G1873" s="66"/>
    </row>
    <row r="1874">
      <c r="A1874" s="83"/>
      <c r="B1874" s="66"/>
      <c r="C1874" s="66"/>
      <c r="D1874" s="66"/>
      <c r="F1874" s="66"/>
      <c r="G1874" s="66"/>
    </row>
    <row r="1875">
      <c r="A1875" s="83"/>
      <c r="B1875" s="66"/>
      <c r="C1875" s="66"/>
      <c r="D1875" s="66"/>
      <c r="F1875" s="66"/>
      <c r="G1875" s="66"/>
    </row>
    <row r="1876">
      <c r="A1876" s="83"/>
      <c r="B1876" s="66"/>
      <c r="C1876" s="66"/>
      <c r="D1876" s="66"/>
      <c r="F1876" s="66"/>
      <c r="G1876" s="66"/>
    </row>
    <row r="1877">
      <c r="A1877" s="83"/>
      <c r="B1877" s="66"/>
      <c r="C1877" s="66"/>
      <c r="D1877" s="66"/>
      <c r="F1877" s="66"/>
      <c r="G1877" s="66"/>
    </row>
    <row r="1878">
      <c r="A1878" s="83"/>
      <c r="B1878" s="66"/>
      <c r="C1878" s="66"/>
      <c r="D1878" s="66"/>
      <c r="F1878" s="66"/>
      <c r="G1878" s="66"/>
    </row>
    <row r="1879">
      <c r="A1879" s="83"/>
      <c r="B1879" s="66"/>
      <c r="C1879" s="66"/>
      <c r="D1879" s="66"/>
      <c r="F1879" s="66"/>
      <c r="G1879" s="66"/>
    </row>
    <row r="1880">
      <c r="A1880" s="83"/>
      <c r="B1880" s="66"/>
      <c r="C1880" s="66"/>
      <c r="D1880" s="66"/>
      <c r="F1880" s="66"/>
      <c r="G1880" s="66"/>
    </row>
    <row r="1881">
      <c r="A1881" s="83"/>
      <c r="B1881" s="66"/>
      <c r="C1881" s="66"/>
      <c r="D1881" s="66"/>
      <c r="F1881" s="66"/>
      <c r="G1881" s="66"/>
    </row>
    <row r="1882">
      <c r="A1882" s="83"/>
      <c r="B1882" s="66"/>
      <c r="C1882" s="66"/>
      <c r="D1882" s="66"/>
      <c r="F1882" s="66"/>
      <c r="G1882" s="66"/>
    </row>
    <row r="1883">
      <c r="A1883" s="83"/>
      <c r="B1883" s="66"/>
      <c r="C1883" s="66"/>
      <c r="D1883" s="66"/>
      <c r="F1883" s="66"/>
      <c r="G1883" s="66"/>
    </row>
    <row r="1884">
      <c r="A1884" s="83"/>
      <c r="B1884" s="66"/>
      <c r="C1884" s="66"/>
      <c r="D1884" s="66"/>
      <c r="F1884" s="66"/>
      <c r="G1884" s="66"/>
    </row>
    <row r="1885">
      <c r="A1885" s="83"/>
      <c r="B1885" s="66"/>
      <c r="C1885" s="66"/>
      <c r="D1885" s="66"/>
      <c r="F1885" s="66"/>
      <c r="G1885" s="66"/>
    </row>
    <row r="1886">
      <c r="A1886" s="83"/>
      <c r="B1886" s="66"/>
      <c r="C1886" s="66"/>
      <c r="D1886" s="66"/>
      <c r="F1886" s="66"/>
      <c r="G1886" s="66"/>
    </row>
    <row r="1887">
      <c r="A1887" s="83"/>
      <c r="B1887" s="66"/>
      <c r="C1887" s="66"/>
      <c r="D1887" s="66"/>
      <c r="F1887" s="66"/>
      <c r="G1887" s="66"/>
    </row>
    <row r="1888">
      <c r="A1888" s="83"/>
      <c r="B1888" s="66"/>
      <c r="C1888" s="66"/>
      <c r="D1888" s="66"/>
      <c r="F1888" s="66"/>
      <c r="G1888" s="66"/>
    </row>
    <row r="1889">
      <c r="A1889" s="83"/>
      <c r="B1889" s="66"/>
      <c r="C1889" s="66"/>
      <c r="D1889" s="66"/>
      <c r="F1889" s="66"/>
      <c r="G1889" s="66"/>
    </row>
    <row r="1890">
      <c r="A1890" s="83"/>
      <c r="B1890" s="66"/>
      <c r="C1890" s="66"/>
      <c r="D1890" s="66"/>
      <c r="F1890" s="66"/>
      <c r="G1890" s="66"/>
    </row>
    <row r="1891">
      <c r="A1891" s="83"/>
      <c r="B1891" s="66"/>
      <c r="C1891" s="66"/>
      <c r="D1891" s="66"/>
      <c r="F1891" s="66"/>
      <c r="G1891" s="66"/>
    </row>
    <row r="1892">
      <c r="A1892" s="83"/>
      <c r="B1892" s="66"/>
      <c r="C1892" s="66"/>
      <c r="D1892" s="66"/>
      <c r="F1892" s="66"/>
      <c r="G1892" s="66"/>
    </row>
    <row r="1893">
      <c r="A1893" s="83"/>
      <c r="B1893" s="66"/>
      <c r="C1893" s="66"/>
      <c r="D1893" s="66"/>
      <c r="F1893" s="66"/>
      <c r="G1893" s="66"/>
    </row>
    <row r="1894">
      <c r="A1894" s="83"/>
      <c r="B1894" s="66"/>
      <c r="C1894" s="66"/>
      <c r="D1894" s="66"/>
      <c r="F1894" s="66"/>
      <c r="G1894" s="66"/>
    </row>
    <row r="1895">
      <c r="A1895" s="83"/>
      <c r="B1895" s="66"/>
      <c r="C1895" s="66"/>
      <c r="D1895" s="66"/>
      <c r="F1895" s="66"/>
      <c r="G1895" s="66"/>
    </row>
    <row r="1896">
      <c r="A1896" s="83"/>
      <c r="B1896" s="66"/>
      <c r="C1896" s="66"/>
      <c r="D1896" s="66"/>
      <c r="F1896" s="66"/>
      <c r="G1896" s="66"/>
    </row>
    <row r="1897">
      <c r="A1897" s="83"/>
      <c r="B1897" s="66"/>
      <c r="C1897" s="66"/>
      <c r="D1897" s="66"/>
      <c r="F1897" s="66"/>
      <c r="G1897" s="66"/>
    </row>
    <row r="1898">
      <c r="A1898" s="83"/>
      <c r="B1898" s="66"/>
      <c r="C1898" s="66"/>
      <c r="D1898" s="66"/>
      <c r="F1898" s="66"/>
      <c r="G1898" s="66"/>
    </row>
    <row r="1899">
      <c r="A1899" s="83"/>
      <c r="B1899" s="66"/>
      <c r="C1899" s="66"/>
      <c r="D1899" s="66"/>
      <c r="F1899" s="66"/>
      <c r="G1899" s="66"/>
    </row>
    <row r="1900">
      <c r="A1900" s="83"/>
      <c r="B1900" s="66"/>
      <c r="C1900" s="66"/>
      <c r="D1900" s="66"/>
      <c r="F1900" s="66"/>
      <c r="G1900" s="66"/>
    </row>
    <row r="1901">
      <c r="A1901" s="83"/>
      <c r="B1901" s="66"/>
      <c r="C1901" s="66"/>
      <c r="D1901" s="66"/>
      <c r="F1901" s="66"/>
      <c r="G1901" s="66"/>
    </row>
    <row r="1902">
      <c r="A1902" s="83"/>
      <c r="B1902" s="66"/>
      <c r="C1902" s="66"/>
      <c r="D1902" s="66"/>
      <c r="F1902" s="66"/>
      <c r="G1902" s="66"/>
    </row>
    <row r="1903">
      <c r="A1903" s="83"/>
      <c r="B1903" s="66"/>
      <c r="C1903" s="66"/>
      <c r="D1903" s="66"/>
      <c r="F1903" s="66"/>
      <c r="G1903" s="66"/>
    </row>
    <row r="1904">
      <c r="A1904" s="83"/>
      <c r="B1904" s="66"/>
      <c r="C1904" s="66"/>
      <c r="D1904" s="66"/>
      <c r="F1904" s="66"/>
      <c r="G1904" s="66"/>
    </row>
    <row r="1905">
      <c r="A1905" s="83"/>
      <c r="B1905" s="66"/>
      <c r="C1905" s="66"/>
      <c r="D1905" s="66"/>
      <c r="F1905" s="66"/>
      <c r="G1905" s="66"/>
    </row>
    <row r="1906">
      <c r="A1906" s="83"/>
      <c r="B1906" s="66"/>
      <c r="C1906" s="66"/>
      <c r="D1906" s="66"/>
      <c r="F1906" s="66"/>
      <c r="G1906" s="66"/>
    </row>
    <row r="1907">
      <c r="A1907" s="83"/>
      <c r="B1907" s="66"/>
      <c r="C1907" s="66"/>
      <c r="D1907" s="66"/>
      <c r="F1907" s="66"/>
      <c r="G1907" s="66"/>
    </row>
    <row r="1908">
      <c r="A1908" s="83"/>
      <c r="B1908" s="66"/>
      <c r="C1908" s="66"/>
      <c r="D1908" s="66"/>
      <c r="F1908" s="66"/>
      <c r="G1908" s="66"/>
    </row>
    <row r="1909">
      <c r="A1909" s="83"/>
      <c r="B1909" s="66"/>
      <c r="C1909" s="66"/>
      <c r="D1909" s="66"/>
      <c r="F1909" s="66"/>
      <c r="G1909" s="66"/>
    </row>
    <row r="1910">
      <c r="A1910" s="83"/>
      <c r="B1910" s="66"/>
      <c r="C1910" s="66"/>
      <c r="D1910" s="66"/>
      <c r="F1910" s="66"/>
      <c r="G1910" s="66"/>
    </row>
    <row r="1911">
      <c r="A1911" s="83"/>
      <c r="B1911" s="66"/>
      <c r="C1911" s="66"/>
      <c r="D1911" s="66"/>
      <c r="F1911" s="66"/>
      <c r="G1911" s="66"/>
    </row>
    <row r="1912">
      <c r="A1912" s="83"/>
      <c r="B1912" s="66"/>
      <c r="C1912" s="66"/>
      <c r="D1912" s="66"/>
      <c r="F1912" s="66"/>
      <c r="G1912" s="66"/>
    </row>
    <row r="1913">
      <c r="A1913" s="83"/>
      <c r="B1913" s="66"/>
      <c r="C1913" s="66"/>
      <c r="D1913" s="66"/>
      <c r="F1913" s="66"/>
      <c r="G1913" s="66"/>
    </row>
    <row r="1914">
      <c r="A1914" s="83"/>
      <c r="B1914" s="66"/>
      <c r="C1914" s="66"/>
      <c r="D1914" s="66"/>
      <c r="F1914" s="66"/>
      <c r="G1914" s="66"/>
    </row>
    <row r="1915">
      <c r="A1915" s="83"/>
      <c r="B1915" s="66"/>
      <c r="C1915" s="66"/>
      <c r="D1915" s="66"/>
      <c r="F1915" s="66"/>
      <c r="G1915" s="66"/>
    </row>
    <row r="1916">
      <c r="A1916" s="83"/>
      <c r="B1916" s="66"/>
      <c r="C1916" s="66"/>
      <c r="D1916" s="66"/>
      <c r="F1916" s="66"/>
      <c r="G1916" s="66"/>
    </row>
    <row r="1917">
      <c r="A1917" s="83"/>
      <c r="B1917" s="66"/>
      <c r="C1917" s="66"/>
      <c r="D1917" s="66"/>
      <c r="F1917" s="66"/>
      <c r="G1917" s="66"/>
    </row>
    <row r="1918">
      <c r="A1918" s="83"/>
      <c r="B1918" s="66"/>
      <c r="C1918" s="66"/>
      <c r="D1918" s="66"/>
      <c r="F1918" s="66"/>
      <c r="G1918" s="66"/>
    </row>
    <row r="1919">
      <c r="A1919" s="83"/>
      <c r="B1919" s="66"/>
      <c r="C1919" s="66"/>
      <c r="D1919" s="66"/>
      <c r="F1919" s="66"/>
      <c r="G1919" s="66"/>
    </row>
    <row r="1920">
      <c r="A1920" s="83"/>
      <c r="B1920" s="66"/>
      <c r="C1920" s="66"/>
      <c r="D1920" s="66"/>
      <c r="F1920" s="66"/>
      <c r="G1920" s="66"/>
    </row>
    <row r="1921">
      <c r="A1921" s="83"/>
      <c r="B1921" s="66"/>
      <c r="C1921" s="66"/>
      <c r="D1921" s="66"/>
      <c r="F1921" s="66"/>
      <c r="G1921" s="66"/>
    </row>
    <row r="1922">
      <c r="A1922" s="83"/>
      <c r="B1922" s="66"/>
      <c r="C1922" s="66"/>
      <c r="D1922" s="66"/>
      <c r="F1922" s="66"/>
      <c r="G1922" s="66"/>
    </row>
    <row r="1923">
      <c r="A1923" s="83"/>
      <c r="B1923" s="66"/>
      <c r="C1923" s="66"/>
      <c r="D1923" s="66"/>
      <c r="F1923" s="66"/>
      <c r="G1923" s="66"/>
    </row>
    <row r="1924">
      <c r="A1924" s="83"/>
      <c r="B1924" s="66"/>
      <c r="C1924" s="66"/>
      <c r="D1924" s="66"/>
      <c r="F1924" s="66"/>
      <c r="G1924" s="66"/>
    </row>
    <row r="1925">
      <c r="A1925" s="83"/>
      <c r="B1925" s="66"/>
      <c r="C1925" s="66"/>
      <c r="D1925" s="66"/>
      <c r="F1925" s="66"/>
      <c r="G1925" s="66"/>
    </row>
    <row r="1926">
      <c r="A1926" s="83"/>
      <c r="B1926" s="66"/>
      <c r="C1926" s="66"/>
      <c r="D1926" s="66"/>
      <c r="F1926" s="66"/>
      <c r="G1926" s="66"/>
    </row>
    <row r="1927">
      <c r="A1927" s="83"/>
      <c r="B1927" s="66"/>
      <c r="C1927" s="66"/>
      <c r="D1927" s="66"/>
      <c r="F1927" s="66"/>
      <c r="G1927" s="66"/>
    </row>
    <row r="1928">
      <c r="A1928" s="83"/>
      <c r="B1928" s="66"/>
      <c r="C1928" s="66"/>
      <c r="D1928" s="66"/>
      <c r="F1928" s="66"/>
      <c r="G1928" s="66"/>
    </row>
    <row r="1929">
      <c r="A1929" s="83"/>
      <c r="B1929" s="66"/>
      <c r="C1929" s="66"/>
      <c r="D1929" s="66"/>
      <c r="F1929" s="66"/>
      <c r="G1929" s="66"/>
    </row>
    <row r="1930">
      <c r="A1930" s="83"/>
      <c r="B1930" s="66"/>
      <c r="C1930" s="66"/>
      <c r="D1930" s="66"/>
      <c r="F1930" s="66"/>
      <c r="G1930" s="66"/>
    </row>
    <row r="1931">
      <c r="A1931" s="83"/>
      <c r="B1931" s="66"/>
      <c r="C1931" s="66"/>
      <c r="D1931" s="66"/>
      <c r="F1931" s="66"/>
      <c r="G1931" s="66"/>
    </row>
    <row r="1932">
      <c r="A1932" s="83"/>
      <c r="B1932" s="66"/>
      <c r="C1932" s="66"/>
      <c r="D1932" s="66"/>
      <c r="F1932" s="66"/>
      <c r="G1932" s="66"/>
    </row>
    <row r="1933">
      <c r="A1933" s="83"/>
      <c r="B1933" s="66"/>
      <c r="C1933" s="66"/>
      <c r="D1933" s="66"/>
      <c r="F1933" s="66"/>
      <c r="G1933" s="66"/>
    </row>
    <row r="1934">
      <c r="A1934" s="83"/>
      <c r="B1934" s="66"/>
      <c r="C1934" s="66"/>
      <c r="D1934" s="66"/>
      <c r="F1934" s="66"/>
      <c r="G1934" s="66"/>
    </row>
    <row r="1935">
      <c r="A1935" s="83"/>
      <c r="B1935" s="66"/>
      <c r="C1935" s="66"/>
      <c r="D1935" s="66"/>
      <c r="F1935" s="66"/>
      <c r="G1935" s="66"/>
    </row>
    <row r="1936">
      <c r="A1936" s="83"/>
      <c r="B1936" s="66"/>
      <c r="C1936" s="66"/>
      <c r="D1936" s="66"/>
      <c r="F1936" s="66"/>
      <c r="G1936" s="66"/>
    </row>
    <row r="1937">
      <c r="A1937" s="83"/>
      <c r="B1937" s="66"/>
      <c r="C1937" s="66"/>
      <c r="D1937" s="66"/>
      <c r="F1937" s="66"/>
      <c r="G1937" s="66"/>
    </row>
    <row r="1938">
      <c r="A1938" s="83"/>
      <c r="B1938" s="66"/>
      <c r="C1938" s="66"/>
      <c r="D1938" s="66"/>
      <c r="F1938" s="66"/>
      <c r="G1938" s="66"/>
    </row>
    <row r="1939">
      <c r="A1939" s="83"/>
      <c r="B1939" s="66"/>
      <c r="C1939" s="66"/>
      <c r="D1939" s="66"/>
      <c r="F1939" s="66"/>
      <c r="G1939" s="66"/>
    </row>
    <row r="1940">
      <c r="A1940" s="83"/>
      <c r="B1940" s="66"/>
      <c r="C1940" s="66"/>
      <c r="D1940" s="66"/>
      <c r="F1940" s="66"/>
      <c r="G1940" s="66"/>
    </row>
    <row r="1941">
      <c r="A1941" s="83"/>
      <c r="B1941" s="66"/>
      <c r="C1941" s="66"/>
      <c r="D1941" s="66"/>
      <c r="F1941" s="66"/>
      <c r="G1941" s="66"/>
    </row>
    <row r="1942">
      <c r="A1942" s="83"/>
      <c r="B1942" s="66"/>
      <c r="C1942" s="66"/>
      <c r="D1942" s="66"/>
      <c r="F1942" s="66"/>
      <c r="G1942" s="66"/>
    </row>
    <row r="1943">
      <c r="A1943" s="83"/>
      <c r="B1943" s="66"/>
      <c r="C1943" s="66"/>
      <c r="D1943" s="66"/>
      <c r="F1943" s="66"/>
      <c r="G1943" s="66"/>
    </row>
    <row r="1944">
      <c r="A1944" s="83"/>
      <c r="B1944" s="66"/>
      <c r="C1944" s="66"/>
      <c r="D1944" s="66"/>
      <c r="F1944" s="66"/>
      <c r="G1944" s="66"/>
    </row>
    <row r="1945">
      <c r="A1945" s="83"/>
      <c r="B1945" s="66"/>
      <c r="C1945" s="66"/>
      <c r="D1945" s="66"/>
      <c r="F1945" s="66"/>
      <c r="G1945" s="66"/>
    </row>
    <row r="1946">
      <c r="A1946" s="83"/>
      <c r="B1946" s="66"/>
      <c r="C1946" s="66"/>
      <c r="D1946" s="66"/>
      <c r="F1946" s="66"/>
      <c r="G1946" s="66"/>
    </row>
    <row r="1947">
      <c r="A1947" s="83"/>
      <c r="B1947" s="66"/>
      <c r="C1947" s="66"/>
      <c r="D1947" s="66"/>
      <c r="F1947" s="66"/>
      <c r="G1947" s="66"/>
    </row>
    <row r="1948">
      <c r="A1948" s="83"/>
      <c r="B1948" s="66"/>
      <c r="C1948" s="66"/>
      <c r="D1948" s="66"/>
      <c r="F1948" s="66"/>
      <c r="G1948" s="66"/>
    </row>
    <row r="1949">
      <c r="A1949" s="83"/>
      <c r="B1949" s="66"/>
      <c r="C1949" s="66"/>
      <c r="D1949" s="66"/>
      <c r="F1949" s="66"/>
      <c r="G1949" s="66"/>
    </row>
    <row r="1950">
      <c r="A1950" s="83"/>
      <c r="B1950" s="66"/>
      <c r="C1950" s="66"/>
      <c r="D1950" s="66"/>
      <c r="F1950" s="66"/>
      <c r="G1950" s="66"/>
    </row>
    <row r="1951">
      <c r="A1951" s="83"/>
      <c r="B1951" s="66"/>
      <c r="C1951" s="66"/>
      <c r="D1951" s="66"/>
      <c r="F1951" s="66"/>
      <c r="G1951" s="66"/>
    </row>
    <row r="1952">
      <c r="A1952" s="83"/>
      <c r="B1952" s="66"/>
      <c r="C1952" s="66"/>
      <c r="D1952" s="66"/>
      <c r="F1952" s="66"/>
      <c r="G1952" s="66"/>
    </row>
    <row r="1953">
      <c r="A1953" s="83"/>
      <c r="B1953" s="66"/>
      <c r="C1953" s="66"/>
      <c r="D1953" s="66"/>
      <c r="F1953" s="66"/>
      <c r="G1953" s="66"/>
    </row>
    <row r="1954">
      <c r="A1954" s="83"/>
      <c r="B1954" s="66"/>
      <c r="C1954" s="66"/>
      <c r="D1954" s="66"/>
      <c r="F1954" s="66"/>
      <c r="G1954" s="66"/>
    </row>
    <row r="1955">
      <c r="A1955" s="83"/>
      <c r="B1955" s="66"/>
      <c r="C1955" s="66"/>
      <c r="D1955" s="66"/>
      <c r="F1955" s="66"/>
      <c r="G1955" s="66"/>
    </row>
    <row r="1956">
      <c r="A1956" s="83"/>
      <c r="B1956" s="66"/>
      <c r="C1956" s="66"/>
      <c r="D1956" s="66"/>
      <c r="F1956" s="66"/>
      <c r="G1956" s="66"/>
    </row>
    <row r="1957">
      <c r="A1957" s="83"/>
      <c r="B1957" s="66"/>
      <c r="C1957" s="66"/>
      <c r="D1957" s="66"/>
      <c r="F1957" s="66"/>
      <c r="G1957" s="66"/>
    </row>
    <row r="1958">
      <c r="A1958" s="83"/>
      <c r="B1958" s="66"/>
      <c r="C1958" s="66"/>
      <c r="D1958" s="66"/>
      <c r="F1958" s="66"/>
      <c r="G1958" s="66"/>
    </row>
    <row r="1959">
      <c r="A1959" s="83"/>
      <c r="B1959" s="66"/>
      <c r="C1959" s="66"/>
      <c r="D1959" s="66"/>
      <c r="F1959" s="66"/>
      <c r="G1959" s="66"/>
    </row>
    <row r="1960">
      <c r="A1960" s="83"/>
      <c r="B1960" s="66"/>
      <c r="C1960" s="66"/>
      <c r="D1960" s="66"/>
      <c r="F1960" s="66"/>
      <c r="G1960" s="66"/>
    </row>
    <row r="1961">
      <c r="A1961" s="83"/>
      <c r="B1961" s="66"/>
      <c r="C1961" s="66"/>
      <c r="D1961" s="66"/>
      <c r="F1961" s="66"/>
      <c r="G1961" s="66"/>
    </row>
    <row r="1962">
      <c r="A1962" s="83"/>
      <c r="B1962" s="66"/>
      <c r="C1962" s="66"/>
      <c r="D1962" s="66"/>
      <c r="F1962" s="66"/>
      <c r="G1962" s="66"/>
    </row>
    <row r="1963">
      <c r="A1963" s="83"/>
      <c r="B1963" s="66"/>
      <c r="C1963" s="66"/>
      <c r="D1963" s="66"/>
      <c r="F1963" s="66"/>
      <c r="G1963" s="66"/>
    </row>
    <row r="1964">
      <c r="A1964" s="83"/>
      <c r="B1964" s="66"/>
      <c r="C1964" s="66"/>
      <c r="D1964" s="66"/>
      <c r="F1964" s="66"/>
      <c r="G1964" s="66"/>
    </row>
    <row r="1965">
      <c r="A1965" s="83"/>
      <c r="B1965" s="66"/>
      <c r="C1965" s="66"/>
      <c r="D1965" s="66"/>
      <c r="F1965" s="66"/>
      <c r="G1965" s="66"/>
    </row>
    <row r="1966">
      <c r="A1966" s="83"/>
      <c r="B1966" s="66"/>
      <c r="C1966" s="66"/>
      <c r="D1966" s="66"/>
      <c r="F1966" s="66"/>
      <c r="G1966" s="66"/>
    </row>
    <row r="1967">
      <c r="A1967" s="83"/>
      <c r="B1967" s="66"/>
      <c r="C1967" s="66"/>
      <c r="D1967" s="66"/>
      <c r="F1967" s="66"/>
      <c r="G1967" s="66"/>
    </row>
    <row r="1968">
      <c r="A1968" s="83"/>
      <c r="B1968" s="66"/>
      <c r="C1968" s="66"/>
      <c r="D1968" s="66"/>
      <c r="F1968" s="66"/>
      <c r="G1968" s="66"/>
    </row>
    <row r="1969">
      <c r="A1969" s="83"/>
      <c r="B1969" s="66"/>
      <c r="C1969" s="66"/>
      <c r="D1969" s="66"/>
      <c r="F1969" s="66"/>
      <c r="G1969" s="66"/>
    </row>
    <row r="1970">
      <c r="A1970" s="83"/>
      <c r="B1970" s="66"/>
      <c r="C1970" s="66"/>
      <c r="D1970" s="66"/>
      <c r="F1970" s="66"/>
      <c r="G1970" s="66"/>
    </row>
    <row r="1971">
      <c r="A1971" s="83"/>
      <c r="B1971" s="66"/>
      <c r="C1971" s="66"/>
      <c r="D1971" s="66"/>
      <c r="F1971" s="66"/>
      <c r="G1971" s="66"/>
    </row>
    <row r="1972">
      <c r="A1972" s="83"/>
      <c r="B1972" s="66"/>
      <c r="C1972" s="66"/>
      <c r="D1972" s="66"/>
      <c r="F1972" s="66"/>
      <c r="G1972" s="66"/>
    </row>
    <row r="1973">
      <c r="A1973" s="83"/>
      <c r="B1973" s="66"/>
      <c r="C1973" s="66"/>
      <c r="D1973" s="66"/>
      <c r="F1973" s="66"/>
      <c r="G1973" s="66"/>
    </row>
    <row r="1974">
      <c r="A1974" s="83"/>
      <c r="B1974" s="66"/>
      <c r="C1974" s="66"/>
      <c r="D1974" s="66"/>
      <c r="F1974" s="66"/>
      <c r="G1974" s="66"/>
    </row>
    <row r="1975">
      <c r="A1975" s="83"/>
      <c r="B1975" s="66"/>
      <c r="C1975" s="66"/>
      <c r="D1975" s="66"/>
      <c r="F1975" s="66"/>
      <c r="G1975" s="66"/>
    </row>
    <row r="1976">
      <c r="A1976" s="83"/>
      <c r="B1976" s="66"/>
      <c r="C1976" s="66"/>
      <c r="D1976" s="66"/>
      <c r="F1976" s="66"/>
      <c r="G1976" s="66"/>
    </row>
    <row r="1977">
      <c r="A1977" s="83"/>
      <c r="B1977" s="66"/>
      <c r="C1977" s="66"/>
      <c r="D1977" s="66"/>
      <c r="F1977" s="66"/>
      <c r="G1977" s="66"/>
    </row>
    <row r="1978">
      <c r="A1978" s="83"/>
      <c r="B1978" s="66"/>
      <c r="C1978" s="66"/>
      <c r="D1978" s="66"/>
      <c r="F1978" s="66"/>
      <c r="G1978" s="66"/>
    </row>
    <row r="1979">
      <c r="A1979" s="83"/>
      <c r="B1979" s="66"/>
      <c r="C1979" s="66"/>
      <c r="D1979" s="66"/>
      <c r="F1979" s="66"/>
      <c r="G1979" s="66"/>
    </row>
    <row r="1980">
      <c r="A1980" s="83"/>
      <c r="B1980" s="66"/>
      <c r="C1980" s="66"/>
      <c r="D1980" s="66"/>
      <c r="F1980" s="66"/>
      <c r="G1980" s="66"/>
    </row>
    <row r="1981">
      <c r="A1981" s="83"/>
      <c r="B1981" s="66"/>
      <c r="C1981" s="66"/>
      <c r="D1981" s="66"/>
      <c r="F1981" s="66"/>
      <c r="G1981" s="66"/>
    </row>
    <row r="1982">
      <c r="A1982" s="83"/>
      <c r="B1982" s="66"/>
      <c r="C1982" s="66"/>
      <c r="D1982" s="66"/>
      <c r="F1982" s="66"/>
      <c r="G1982" s="66"/>
    </row>
    <row r="1983">
      <c r="A1983" s="83"/>
      <c r="B1983" s="66"/>
      <c r="C1983" s="66"/>
      <c r="D1983" s="66"/>
      <c r="F1983" s="66"/>
      <c r="G1983" s="66"/>
    </row>
    <row r="1984">
      <c r="A1984" s="83"/>
      <c r="B1984" s="66"/>
      <c r="C1984" s="66"/>
      <c r="D1984" s="66"/>
      <c r="F1984" s="66"/>
      <c r="G1984" s="66"/>
    </row>
    <row r="1985">
      <c r="A1985" s="83"/>
      <c r="B1985" s="66"/>
      <c r="C1985" s="66"/>
      <c r="D1985" s="66"/>
      <c r="F1985" s="66"/>
      <c r="G1985" s="66"/>
    </row>
    <row r="1986">
      <c r="A1986" s="83"/>
      <c r="B1986" s="66"/>
      <c r="C1986" s="66"/>
      <c r="D1986" s="66"/>
      <c r="F1986" s="66"/>
      <c r="G1986" s="66"/>
    </row>
    <row r="1987">
      <c r="A1987" s="83"/>
      <c r="B1987" s="66"/>
      <c r="C1987" s="66"/>
      <c r="D1987" s="66"/>
      <c r="F1987" s="66"/>
      <c r="G1987" s="66"/>
    </row>
    <row r="1988">
      <c r="A1988" s="83"/>
      <c r="B1988" s="66"/>
      <c r="C1988" s="66"/>
      <c r="D1988" s="66"/>
      <c r="F1988" s="66"/>
      <c r="G1988" s="66"/>
    </row>
    <row r="1989">
      <c r="A1989" s="83"/>
      <c r="B1989" s="66"/>
      <c r="C1989" s="66"/>
      <c r="D1989" s="66"/>
      <c r="F1989" s="66"/>
      <c r="G1989" s="66"/>
    </row>
    <row r="1990">
      <c r="A1990" s="83"/>
      <c r="B1990" s="66"/>
      <c r="C1990" s="66"/>
      <c r="D1990" s="66"/>
      <c r="F1990" s="66"/>
      <c r="G1990" s="66"/>
    </row>
    <row r="1991">
      <c r="A1991" s="83"/>
      <c r="B1991" s="66"/>
      <c r="C1991" s="66"/>
      <c r="D1991" s="66"/>
      <c r="F1991" s="66"/>
      <c r="G1991" s="66"/>
    </row>
    <row r="1992">
      <c r="A1992" s="83"/>
      <c r="B1992" s="66"/>
      <c r="C1992" s="66"/>
      <c r="D1992" s="66"/>
      <c r="F1992" s="66"/>
      <c r="G1992" s="66"/>
    </row>
    <row r="1993">
      <c r="A1993" s="83"/>
      <c r="B1993" s="66"/>
      <c r="C1993" s="66"/>
      <c r="D1993" s="66"/>
      <c r="F1993" s="66"/>
      <c r="G1993" s="66"/>
    </row>
    <row r="1994">
      <c r="A1994" s="83"/>
      <c r="B1994" s="66"/>
      <c r="C1994" s="66"/>
      <c r="D1994" s="66"/>
      <c r="F1994" s="66"/>
      <c r="G1994" s="66"/>
    </row>
    <row r="1995">
      <c r="A1995" s="83"/>
      <c r="B1995" s="66"/>
      <c r="C1995" s="66"/>
      <c r="D1995" s="66"/>
      <c r="F1995" s="66"/>
      <c r="G1995" s="66"/>
    </row>
    <row r="1996">
      <c r="A1996" s="83"/>
      <c r="B1996" s="66"/>
      <c r="C1996" s="66"/>
      <c r="D1996" s="66"/>
      <c r="F1996" s="66"/>
      <c r="G1996" s="66"/>
    </row>
    <row r="1997">
      <c r="A1997" s="83"/>
      <c r="B1997" s="66"/>
      <c r="C1997" s="66"/>
      <c r="D1997" s="66"/>
      <c r="F1997" s="66"/>
      <c r="G1997" s="66"/>
    </row>
    <row r="1998">
      <c r="A1998" s="83"/>
      <c r="B1998" s="66"/>
      <c r="C1998" s="66"/>
      <c r="D1998" s="66"/>
      <c r="F1998" s="66"/>
      <c r="G1998" s="66"/>
    </row>
    <row r="1999">
      <c r="A1999" s="83"/>
      <c r="B1999" s="66"/>
      <c r="C1999" s="66"/>
      <c r="D1999" s="66"/>
      <c r="F1999" s="66"/>
      <c r="G1999" s="66"/>
    </row>
    <row r="2000">
      <c r="A2000" s="83"/>
      <c r="B2000" s="66"/>
      <c r="C2000" s="66"/>
      <c r="D2000" s="66"/>
      <c r="F2000" s="66"/>
      <c r="G2000" s="66"/>
    </row>
    <row r="2001">
      <c r="A2001" s="83"/>
      <c r="B2001" s="66"/>
      <c r="C2001" s="66"/>
      <c r="D2001" s="66"/>
      <c r="F2001" s="66"/>
      <c r="G2001" s="66"/>
    </row>
    <row r="2002">
      <c r="A2002" s="83"/>
      <c r="B2002" s="66"/>
      <c r="C2002" s="66"/>
      <c r="D2002" s="66"/>
      <c r="F2002" s="66"/>
      <c r="G2002" s="66"/>
    </row>
    <row r="2003">
      <c r="A2003" s="83"/>
      <c r="B2003" s="66"/>
      <c r="C2003" s="66"/>
      <c r="D2003" s="66"/>
      <c r="F2003" s="66"/>
      <c r="G2003" s="66"/>
    </row>
    <row r="2004">
      <c r="A2004" s="83"/>
      <c r="B2004" s="66"/>
      <c r="C2004" s="66"/>
      <c r="D2004" s="66"/>
      <c r="F2004" s="66"/>
      <c r="G2004" s="66"/>
    </row>
    <row r="2005">
      <c r="A2005" s="83"/>
      <c r="B2005" s="66"/>
      <c r="C2005" s="66"/>
      <c r="D2005" s="66"/>
      <c r="F2005" s="66"/>
      <c r="G2005" s="66"/>
    </row>
    <row r="2006">
      <c r="A2006" s="83"/>
      <c r="B2006" s="66"/>
      <c r="C2006" s="66"/>
      <c r="D2006" s="66"/>
      <c r="F2006" s="66"/>
      <c r="G2006" s="66"/>
    </row>
    <row r="2007">
      <c r="A2007" s="83"/>
      <c r="B2007" s="66"/>
      <c r="C2007" s="66"/>
      <c r="D2007" s="66"/>
      <c r="F2007" s="66"/>
      <c r="G2007" s="66"/>
    </row>
    <row r="2008">
      <c r="A2008" s="83"/>
      <c r="B2008" s="66"/>
      <c r="C2008" s="66"/>
      <c r="D2008" s="66"/>
      <c r="F2008" s="66"/>
      <c r="G2008" s="66"/>
    </row>
    <row r="2009">
      <c r="A2009" s="83"/>
      <c r="B2009" s="66"/>
      <c r="C2009" s="66"/>
      <c r="D2009" s="66"/>
      <c r="F2009" s="66"/>
      <c r="G2009" s="66"/>
    </row>
    <row r="2010">
      <c r="A2010" s="83"/>
      <c r="B2010" s="66"/>
      <c r="C2010" s="66"/>
      <c r="D2010" s="66"/>
      <c r="F2010" s="66"/>
      <c r="G2010" s="66"/>
    </row>
    <row r="2011">
      <c r="A2011" s="83"/>
      <c r="B2011" s="66"/>
      <c r="C2011" s="66"/>
      <c r="D2011" s="66"/>
      <c r="F2011" s="66"/>
      <c r="G2011" s="66"/>
    </row>
    <row r="2012">
      <c r="A2012" s="83"/>
      <c r="B2012" s="66"/>
      <c r="C2012" s="66"/>
      <c r="D2012" s="66"/>
      <c r="F2012" s="66"/>
      <c r="G2012" s="66"/>
    </row>
    <row r="2013">
      <c r="A2013" s="83"/>
      <c r="B2013" s="66"/>
      <c r="C2013" s="66"/>
      <c r="D2013" s="66"/>
      <c r="F2013" s="66"/>
      <c r="G2013" s="66"/>
    </row>
    <row r="2014">
      <c r="A2014" s="83"/>
      <c r="B2014" s="66"/>
      <c r="C2014" s="66"/>
      <c r="D2014" s="66"/>
      <c r="F2014" s="66"/>
      <c r="G2014" s="66"/>
    </row>
    <row r="2015">
      <c r="A2015" s="83"/>
      <c r="B2015" s="66"/>
      <c r="C2015" s="66"/>
      <c r="D2015" s="66"/>
      <c r="F2015" s="66"/>
      <c r="G2015" s="66"/>
    </row>
    <row r="2016">
      <c r="A2016" s="83"/>
      <c r="B2016" s="66"/>
      <c r="C2016" s="66"/>
      <c r="D2016" s="66"/>
      <c r="F2016" s="66"/>
      <c r="G2016" s="66"/>
    </row>
    <row r="2017">
      <c r="A2017" s="83"/>
      <c r="B2017" s="66"/>
      <c r="C2017" s="66"/>
      <c r="D2017" s="66"/>
      <c r="F2017" s="66"/>
      <c r="G2017" s="66"/>
    </row>
    <row r="2018">
      <c r="A2018" s="83"/>
      <c r="B2018" s="66"/>
      <c r="C2018" s="66"/>
      <c r="D2018" s="66"/>
      <c r="F2018" s="66"/>
      <c r="G2018" s="66"/>
    </row>
    <row r="2019">
      <c r="A2019" s="83"/>
      <c r="B2019" s="66"/>
      <c r="C2019" s="66"/>
      <c r="D2019" s="66"/>
      <c r="F2019" s="66"/>
      <c r="G2019" s="66"/>
    </row>
    <row r="2020">
      <c r="A2020" s="83"/>
      <c r="B2020" s="66"/>
      <c r="C2020" s="66"/>
      <c r="D2020" s="66"/>
      <c r="F2020" s="66"/>
      <c r="G2020" s="66"/>
    </row>
    <row r="2021">
      <c r="A2021" s="83"/>
      <c r="B2021" s="66"/>
      <c r="C2021" s="66"/>
      <c r="D2021" s="66"/>
      <c r="F2021" s="66"/>
      <c r="G2021" s="66"/>
    </row>
    <row r="2022">
      <c r="A2022" s="83"/>
      <c r="B2022" s="66"/>
      <c r="C2022" s="66"/>
      <c r="D2022" s="66"/>
      <c r="F2022" s="66"/>
      <c r="G2022" s="66"/>
    </row>
    <row r="2023">
      <c r="A2023" s="83"/>
      <c r="B2023" s="66"/>
      <c r="C2023" s="66"/>
      <c r="D2023" s="66"/>
      <c r="F2023" s="66"/>
      <c r="G2023" s="66"/>
    </row>
    <row r="2024">
      <c r="A2024" s="83"/>
      <c r="B2024" s="66"/>
      <c r="C2024" s="66"/>
      <c r="D2024" s="66"/>
      <c r="F2024" s="66"/>
      <c r="G2024" s="66"/>
    </row>
    <row r="2025">
      <c r="A2025" s="83"/>
      <c r="B2025" s="66"/>
      <c r="C2025" s="66"/>
      <c r="D2025" s="66"/>
      <c r="F2025" s="66"/>
      <c r="G2025" s="66"/>
    </row>
    <row r="2026">
      <c r="A2026" s="83"/>
      <c r="B2026" s="66"/>
      <c r="C2026" s="66"/>
      <c r="D2026" s="66"/>
      <c r="F2026" s="66"/>
      <c r="G2026" s="66"/>
    </row>
    <row r="2027">
      <c r="A2027" s="83"/>
      <c r="B2027" s="66"/>
      <c r="C2027" s="66"/>
      <c r="D2027" s="66"/>
      <c r="F2027" s="66"/>
      <c r="G2027" s="66"/>
    </row>
    <row r="2028">
      <c r="A2028" s="83"/>
      <c r="B2028" s="66"/>
      <c r="C2028" s="66"/>
      <c r="D2028" s="66"/>
      <c r="F2028" s="66"/>
      <c r="G2028" s="66"/>
    </row>
    <row r="2029">
      <c r="A2029" s="83"/>
      <c r="B2029" s="66"/>
      <c r="C2029" s="66"/>
      <c r="D2029" s="66"/>
      <c r="F2029" s="66"/>
      <c r="G2029" s="66"/>
    </row>
    <row r="2030">
      <c r="A2030" s="83"/>
      <c r="B2030" s="66"/>
      <c r="C2030" s="66"/>
      <c r="D2030" s="66"/>
      <c r="F2030" s="66"/>
      <c r="G2030" s="66"/>
    </row>
    <row r="2031">
      <c r="A2031" s="83"/>
      <c r="B2031" s="66"/>
      <c r="C2031" s="66"/>
      <c r="D2031" s="66"/>
      <c r="F2031" s="66"/>
      <c r="G2031" s="66"/>
    </row>
    <row r="2032">
      <c r="A2032" s="83"/>
      <c r="B2032" s="66"/>
      <c r="C2032" s="66"/>
      <c r="D2032" s="66"/>
      <c r="F2032" s="66"/>
      <c r="G2032" s="66"/>
    </row>
    <row r="2033">
      <c r="A2033" s="83"/>
      <c r="B2033" s="66"/>
      <c r="C2033" s="66"/>
      <c r="D2033" s="66"/>
      <c r="F2033" s="66"/>
      <c r="G2033" s="66"/>
    </row>
    <row r="2034">
      <c r="A2034" s="83"/>
      <c r="B2034" s="66"/>
      <c r="C2034" s="66"/>
      <c r="D2034" s="66"/>
      <c r="F2034" s="66"/>
      <c r="G2034" s="66"/>
    </row>
    <row r="2035">
      <c r="A2035" s="83"/>
      <c r="B2035" s="66"/>
      <c r="C2035" s="66"/>
      <c r="D2035" s="66"/>
      <c r="F2035" s="66"/>
      <c r="G2035" s="66"/>
    </row>
    <row r="2036">
      <c r="A2036" s="83"/>
      <c r="B2036" s="66"/>
      <c r="C2036" s="66"/>
      <c r="D2036" s="66"/>
      <c r="F2036" s="66"/>
      <c r="G2036" s="66"/>
    </row>
    <row r="2037">
      <c r="A2037" s="83"/>
      <c r="B2037" s="66"/>
      <c r="C2037" s="66"/>
      <c r="D2037" s="66"/>
      <c r="F2037" s="66"/>
      <c r="G2037" s="66"/>
    </row>
    <row r="2038">
      <c r="A2038" s="83"/>
      <c r="B2038" s="66"/>
      <c r="C2038" s="66"/>
      <c r="D2038" s="66"/>
      <c r="F2038" s="66"/>
      <c r="G2038" s="66"/>
    </row>
    <row r="2039">
      <c r="A2039" s="83"/>
      <c r="B2039" s="66"/>
      <c r="C2039" s="66"/>
      <c r="D2039" s="66"/>
      <c r="F2039" s="66"/>
      <c r="G2039" s="66"/>
    </row>
    <row r="2040">
      <c r="A2040" s="83"/>
      <c r="B2040" s="66"/>
      <c r="C2040" s="66"/>
      <c r="D2040" s="66"/>
      <c r="F2040" s="66"/>
      <c r="G2040" s="66"/>
    </row>
    <row r="2041">
      <c r="A2041" s="83"/>
      <c r="B2041" s="66"/>
      <c r="C2041" s="66"/>
      <c r="D2041" s="66"/>
      <c r="F2041" s="66"/>
      <c r="G2041" s="66"/>
    </row>
    <row r="2042">
      <c r="A2042" s="83"/>
      <c r="B2042" s="66"/>
      <c r="C2042" s="66"/>
      <c r="D2042" s="66"/>
      <c r="F2042" s="66"/>
      <c r="G2042" s="66"/>
    </row>
    <row r="2043">
      <c r="A2043" s="83"/>
      <c r="B2043" s="66"/>
      <c r="C2043" s="66"/>
      <c r="D2043" s="66"/>
      <c r="F2043" s="66"/>
      <c r="G2043" s="66"/>
    </row>
    <row r="2044">
      <c r="A2044" s="83"/>
      <c r="B2044" s="66"/>
      <c r="C2044" s="66"/>
      <c r="D2044" s="66"/>
      <c r="F2044" s="66"/>
      <c r="G2044" s="66"/>
    </row>
    <row r="2045">
      <c r="A2045" s="83"/>
      <c r="B2045" s="66"/>
      <c r="C2045" s="66"/>
      <c r="D2045" s="66"/>
      <c r="F2045" s="66"/>
      <c r="G2045" s="66"/>
    </row>
    <row r="2046">
      <c r="A2046" s="83"/>
      <c r="B2046" s="66"/>
      <c r="C2046" s="66"/>
      <c r="D2046" s="66"/>
      <c r="F2046" s="66"/>
      <c r="G2046" s="66"/>
    </row>
    <row r="2047">
      <c r="A2047" s="83"/>
      <c r="B2047" s="66"/>
      <c r="C2047" s="66"/>
      <c r="D2047" s="66"/>
      <c r="F2047" s="66"/>
      <c r="G2047" s="66"/>
    </row>
    <row r="2048">
      <c r="A2048" s="83"/>
      <c r="B2048" s="66"/>
      <c r="C2048" s="66"/>
      <c r="D2048" s="66"/>
      <c r="F2048" s="66"/>
      <c r="G2048" s="66"/>
    </row>
    <row r="2049">
      <c r="A2049" s="83"/>
      <c r="B2049" s="66"/>
      <c r="C2049" s="66"/>
      <c r="D2049" s="66"/>
      <c r="F2049" s="66"/>
      <c r="G2049" s="66"/>
    </row>
    <row r="2050">
      <c r="A2050" s="83"/>
      <c r="B2050" s="66"/>
      <c r="C2050" s="66"/>
      <c r="D2050" s="66"/>
      <c r="F2050" s="66"/>
      <c r="G2050" s="66"/>
    </row>
    <row r="2051">
      <c r="A2051" s="83"/>
      <c r="B2051" s="66"/>
      <c r="C2051" s="66"/>
      <c r="D2051" s="66"/>
      <c r="F2051" s="66"/>
      <c r="G2051" s="66"/>
    </row>
    <row r="2052">
      <c r="A2052" s="83"/>
      <c r="B2052" s="66"/>
      <c r="C2052" s="66"/>
      <c r="D2052" s="66"/>
      <c r="F2052" s="66"/>
      <c r="G2052" s="66"/>
    </row>
    <row r="2053">
      <c r="A2053" s="83"/>
      <c r="B2053" s="66"/>
      <c r="C2053" s="66"/>
      <c r="D2053" s="66"/>
      <c r="F2053" s="66"/>
      <c r="G2053" s="66"/>
    </row>
    <row r="2054">
      <c r="A2054" s="83"/>
      <c r="B2054" s="66"/>
      <c r="C2054" s="66"/>
      <c r="D2054" s="66"/>
      <c r="F2054" s="66"/>
      <c r="G2054" s="66"/>
    </row>
    <row r="2055">
      <c r="A2055" s="83"/>
      <c r="B2055" s="66"/>
      <c r="C2055" s="66"/>
      <c r="D2055" s="66"/>
      <c r="F2055" s="66"/>
      <c r="G2055" s="66"/>
    </row>
    <row r="2056">
      <c r="A2056" s="83"/>
      <c r="B2056" s="66"/>
      <c r="C2056" s="66"/>
      <c r="D2056" s="66"/>
      <c r="F2056" s="66"/>
      <c r="G2056" s="66"/>
    </row>
    <row r="2057">
      <c r="A2057" s="83"/>
      <c r="B2057" s="66"/>
      <c r="C2057" s="66"/>
      <c r="D2057" s="66"/>
      <c r="F2057" s="66"/>
      <c r="G2057" s="66"/>
    </row>
    <row r="2058">
      <c r="A2058" s="83"/>
      <c r="B2058" s="66"/>
      <c r="C2058" s="66"/>
      <c r="D2058" s="66"/>
      <c r="F2058" s="66"/>
      <c r="G2058" s="66"/>
    </row>
    <row r="2059">
      <c r="A2059" s="83"/>
      <c r="B2059" s="66"/>
      <c r="C2059" s="66"/>
      <c r="D2059" s="66"/>
      <c r="F2059" s="66"/>
      <c r="G2059" s="66"/>
    </row>
    <row r="2060">
      <c r="A2060" s="83"/>
      <c r="B2060" s="66"/>
      <c r="C2060" s="66"/>
      <c r="D2060" s="66"/>
      <c r="F2060" s="66"/>
      <c r="G2060" s="66"/>
    </row>
    <row r="2061">
      <c r="A2061" s="83"/>
      <c r="B2061" s="66"/>
      <c r="C2061" s="66"/>
      <c r="D2061" s="66"/>
      <c r="F2061" s="66"/>
      <c r="G2061" s="66"/>
    </row>
    <row r="2062">
      <c r="A2062" s="83"/>
      <c r="B2062" s="66"/>
      <c r="C2062" s="66"/>
      <c r="D2062" s="66"/>
      <c r="F2062" s="66"/>
      <c r="G2062" s="66"/>
    </row>
    <row r="2063">
      <c r="A2063" s="83"/>
      <c r="B2063" s="66"/>
      <c r="C2063" s="66"/>
      <c r="D2063" s="66"/>
      <c r="F2063" s="66"/>
      <c r="G2063" s="66"/>
    </row>
    <row r="2064">
      <c r="A2064" s="83"/>
      <c r="B2064" s="66"/>
      <c r="C2064" s="66"/>
      <c r="D2064" s="66"/>
      <c r="F2064" s="66"/>
      <c r="G2064" s="66"/>
    </row>
    <row r="2065">
      <c r="A2065" s="83"/>
      <c r="B2065" s="66"/>
      <c r="C2065" s="66"/>
      <c r="D2065" s="66"/>
      <c r="F2065" s="66"/>
      <c r="G2065" s="66"/>
    </row>
    <row r="2066">
      <c r="A2066" s="83"/>
      <c r="B2066" s="66"/>
      <c r="C2066" s="66"/>
      <c r="D2066" s="66"/>
      <c r="F2066" s="66"/>
      <c r="G2066" s="66"/>
    </row>
    <row r="2067">
      <c r="A2067" s="83"/>
      <c r="B2067" s="66"/>
      <c r="C2067" s="66"/>
      <c r="D2067" s="66"/>
      <c r="F2067" s="66"/>
      <c r="G2067" s="66"/>
    </row>
    <row r="2068">
      <c r="A2068" s="83"/>
      <c r="B2068" s="66"/>
      <c r="C2068" s="66"/>
      <c r="D2068" s="66"/>
      <c r="F2068" s="66"/>
      <c r="G2068" s="66"/>
    </row>
    <row r="2069">
      <c r="A2069" s="83"/>
      <c r="B2069" s="66"/>
      <c r="C2069" s="66"/>
      <c r="D2069" s="66"/>
      <c r="F2069" s="66"/>
      <c r="G2069" s="66"/>
    </row>
    <row r="2070">
      <c r="A2070" s="83"/>
      <c r="B2070" s="66"/>
      <c r="C2070" s="66"/>
      <c r="D2070" s="66"/>
      <c r="F2070" s="66"/>
      <c r="G2070" s="66"/>
    </row>
    <row r="2071">
      <c r="A2071" s="83"/>
      <c r="B2071" s="66"/>
      <c r="C2071" s="66"/>
      <c r="D2071" s="66"/>
      <c r="F2071" s="66"/>
      <c r="G2071" s="66"/>
    </row>
    <row r="2072">
      <c r="A2072" s="83"/>
      <c r="B2072" s="66"/>
      <c r="C2072" s="66"/>
      <c r="D2072" s="66"/>
      <c r="F2072" s="66"/>
      <c r="G2072" s="66"/>
    </row>
    <row r="2073">
      <c r="A2073" s="83"/>
      <c r="B2073" s="66"/>
      <c r="C2073" s="66"/>
      <c r="D2073" s="66"/>
      <c r="F2073" s="66"/>
      <c r="G2073" s="66"/>
    </row>
    <row r="2074">
      <c r="A2074" s="83"/>
      <c r="B2074" s="66"/>
      <c r="C2074" s="66"/>
      <c r="D2074" s="66"/>
      <c r="F2074" s="66"/>
      <c r="G2074" s="66"/>
    </row>
    <row r="2075">
      <c r="A2075" s="83"/>
      <c r="B2075" s="66"/>
      <c r="C2075" s="66"/>
      <c r="D2075" s="66"/>
      <c r="F2075" s="66"/>
      <c r="G2075" s="66"/>
    </row>
    <row r="2076">
      <c r="A2076" s="83"/>
      <c r="B2076" s="66"/>
      <c r="C2076" s="66"/>
      <c r="D2076" s="66"/>
      <c r="F2076" s="66"/>
      <c r="G2076" s="66"/>
    </row>
    <row r="2077">
      <c r="A2077" s="83"/>
      <c r="B2077" s="66"/>
      <c r="C2077" s="66"/>
      <c r="D2077" s="66"/>
      <c r="F2077" s="66"/>
      <c r="G2077" s="66"/>
    </row>
    <row r="2078">
      <c r="A2078" s="83"/>
      <c r="B2078" s="66"/>
      <c r="C2078" s="66"/>
      <c r="D2078" s="66"/>
      <c r="F2078" s="66"/>
      <c r="G2078" s="66"/>
    </row>
    <row r="2079">
      <c r="A2079" s="83"/>
      <c r="B2079" s="66"/>
      <c r="C2079" s="66"/>
      <c r="D2079" s="66"/>
      <c r="F2079" s="66"/>
      <c r="G2079" s="66"/>
    </row>
    <row r="2080">
      <c r="A2080" s="83"/>
      <c r="B2080" s="66"/>
      <c r="C2080" s="66"/>
      <c r="D2080" s="66"/>
      <c r="F2080" s="66"/>
      <c r="G2080" s="66"/>
    </row>
    <row r="2081">
      <c r="A2081" s="83"/>
      <c r="B2081" s="66"/>
      <c r="C2081" s="66"/>
      <c r="D2081" s="66"/>
      <c r="F2081" s="66"/>
      <c r="G2081" s="66"/>
    </row>
    <row r="2082">
      <c r="A2082" s="83"/>
      <c r="B2082" s="66"/>
      <c r="C2082" s="66"/>
      <c r="D2082" s="66"/>
      <c r="F2082" s="66"/>
      <c r="G2082" s="66"/>
    </row>
    <row r="2083">
      <c r="A2083" s="83"/>
      <c r="B2083" s="66"/>
      <c r="C2083" s="66"/>
      <c r="D2083" s="66"/>
      <c r="F2083" s="66"/>
      <c r="G2083" s="66"/>
    </row>
    <row r="2084">
      <c r="A2084" s="83"/>
      <c r="B2084" s="66"/>
      <c r="C2084" s="66"/>
      <c r="D2084" s="66"/>
      <c r="F2084" s="66"/>
      <c r="G2084" s="66"/>
    </row>
    <row r="2085">
      <c r="A2085" s="83"/>
      <c r="B2085" s="66"/>
      <c r="C2085" s="66"/>
      <c r="D2085" s="66"/>
      <c r="F2085" s="66"/>
      <c r="G2085" s="66"/>
    </row>
    <row r="2086">
      <c r="A2086" s="83"/>
      <c r="B2086" s="66"/>
      <c r="C2086" s="66"/>
      <c r="D2086" s="66"/>
      <c r="F2086" s="66"/>
      <c r="G2086" s="66"/>
    </row>
    <row r="2087">
      <c r="A2087" s="83"/>
      <c r="B2087" s="66"/>
      <c r="C2087" s="66"/>
      <c r="D2087" s="66"/>
      <c r="F2087" s="66"/>
      <c r="G2087" s="66"/>
    </row>
    <row r="2088">
      <c r="A2088" s="83"/>
      <c r="B2088" s="66"/>
      <c r="C2088" s="66"/>
      <c r="D2088" s="66"/>
      <c r="F2088" s="66"/>
      <c r="G2088" s="66"/>
    </row>
    <row r="2089">
      <c r="A2089" s="83"/>
      <c r="B2089" s="66"/>
      <c r="C2089" s="66"/>
      <c r="D2089" s="66"/>
      <c r="F2089" s="66"/>
      <c r="G2089" s="66"/>
    </row>
    <row r="2090">
      <c r="A2090" s="83"/>
      <c r="B2090" s="66"/>
      <c r="C2090" s="66"/>
      <c r="D2090" s="66"/>
      <c r="F2090" s="66"/>
      <c r="G2090" s="66"/>
    </row>
    <row r="2091">
      <c r="A2091" s="83"/>
      <c r="B2091" s="66"/>
      <c r="C2091" s="66"/>
      <c r="D2091" s="66"/>
      <c r="F2091" s="66"/>
      <c r="G2091" s="66"/>
    </row>
    <row r="2092">
      <c r="A2092" s="83"/>
      <c r="B2092" s="66"/>
      <c r="C2092" s="66"/>
      <c r="D2092" s="66"/>
      <c r="F2092" s="66"/>
      <c r="G2092" s="66"/>
    </row>
    <row r="2093">
      <c r="A2093" s="83"/>
      <c r="B2093" s="66"/>
      <c r="C2093" s="66"/>
      <c r="D2093" s="66"/>
      <c r="F2093" s="66"/>
      <c r="G2093" s="66"/>
    </row>
    <row r="2094">
      <c r="A2094" s="83"/>
      <c r="B2094" s="66"/>
      <c r="C2094" s="66"/>
      <c r="D2094" s="66"/>
      <c r="F2094" s="66"/>
      <c r="G2094" s="66"/>
    </row>
    <row r="2095">
      <c r="A2095" s="83"/>
      <c r="B2095" s="66"/>
      <c r="C2095" s="66"/>
      <c r="D2095" s="66"/>
      <c r="F2095" s="66"/>
      <c r="G2095" s="66"/>
    </row>
    <row r="2096">
      <c r="A2096" s="83"/>
      <c r="B2096" s="66"/>
      <c r="C2096" s="66"/>
      <c r="D2096" s="66"/>
      <c r="F2096" s="66"/>
      <c r="G2096" s="66"/>
    </row>
    <row r="2097">
      <c r="A2097" s="83"/>
      <c r="B2097" s="66"/>
      <c r="C2097" s="66"/>
      <c r="D2097" s="66"/>
      <c r="F2097" s="66"/>
      <c r="G2097" s="66"/>
    </row>
    <row r="2098">
      <c r="A2098" s="83"/>
      <c r="B2098" s="66"/>
      <c r="C2098" s="66"/>
      <c r="D2098" s="66"/>
      <c r="F2098" s="66"/>
      <c r="G2098" s="66"/>
    </row>
    <row r="2099">
      <c r="A2099" s="83"/>
      <c r="B2099" s="66"/>
      <c r="C2099" s="66"/>
      <c r="D2099" s="66"/>
      <c r="F2099" s="66"/>
      <c r="G2099" s="66"/>
    </row>
    <row r="2100">
      <c r="A2100" s="83"/>
      <c r="B2100" s="66"/>
      <c r="C2100" s="66"/>
      <c r="D2100" s="66"/>
      <c r="F2100" s="66"/>
      <c r="G2100" s="66"/>
    </row>
    <row r="2101">
      <c r="A2101" s="83"/>
      <c r="B2101" s="66"/>
      <c r="C2101" s="66"/>
      <c r="D2101" s="66"/>
      <c r="F2101" s="66"/>
      <c r="G2101" s="66"/>
    </row>
    <row r="2102">
      <c r="A2102" s="83"/>
      <c r="B2102" s="66"/>
      <c r="C2102" s="66"/>
      <c r="D2102" s="66"/>
      <c r="F2102" s="66"/>
      <c r="G2102" s="66"/>
    </row>
    <row r="2103">
      <c r="A2103" s="83"/>
      <c r="B2103" s="66"/>
      <c r="C2103" s="66"/>
      <c r="D2103" s="66"/>
      <c r="F2103" s="66"/>
      <c r="G2103" s="66"/>
    </row>
    <row r="2104">
      <c r="A2104" s="83"/>
      <c r="B2104" s="66"/>
      <c r="C2104" s="66"/>
      <c r="D2104" s="66"/>
      <c r="F2104" s="66"/>
      <c r="G2104" s="66"/>
    </row>
    <row r="2105">
      <c r="A2105" s="83"/>
      <c r="B2105" s="66"/>
      <c r="C2105" s="66"/>
      <c r="D2105" s="66"/>
      <c r="F2105" s="66"/>
      <c r="G2105" s="66"/>
    </row>
    <row r="2106">
      <c r="A2106" s="83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109" t="s">
        <v>179</v>
      </c>
      <c r="B1" s="109" t="s">
        <v>168</v>
      </c>
      <c r="C1" s="109" t="s">
        <v>273</v>
      </c>
      <c r="D1" s="109" t="s">
        <v>214</v>
      </c>
      <c r="E1" s="109" t="s">
        <v>170</v>
      </c>
      <c r="F1" s="109" t="s">
        <v>218</v>
      </c>
      <c r="G1" s="109" t="s">
        <v>219</v>
      </c>
      <c r="H1" s="109" t="s">
        <v>220</v>
      </c>
      <c r="I1" s="110" t="s">
        <v>274</v>
      </c>
      <c r="J1" s="66" t="s">
        <v>275</v>
      </c>
      <c r="K1" s="79" t="s">
        <v>290</v>
      </c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101">
        <v>44635.0</v>
      </c>
      <c r="B2" s="111">
        <v>2004.0</v>
      </c>
      <c r="C2" s="111">
        <v>1.0</v>
      </c>
      <c r="D2" s="110" t="s">
        <v>228</v>
      </c>
      <c r="E2" s="111">
        <v>0.0</v>
      </c>
      <c r="F2" s="111">
        <v>2.021</v>
      </c>
      <c r="G2" s="111">
        <v>0.707</v>
      </c>
      <c r="H2" s="110" t="s">
        <v>278</v>
      </c>
      <c r="I2" s="112">
        <f t="shared" ref="I2:I1590" si="1">((F2-G2)/G2)</f>
        <v>1.858557284</v>
      </c>
      <c r="J2" s="82">
        <f t="shared" ref="J2:J1590" si="2">G2/F2</f>
        <v>0.3498268184</v>
      </c>
      <c r="K2" s="66" t="s">
        <v>291</v>
      </c>
    </row>
    <row r="3">
      <c r="A3" s="101">
        <v>44635.0</v>
      </c>
      <c r="B3" s="111">
        <v>2005.0</v>
      </c>
      <c r="C3" s="111">
        <v>1.0</v>
      </c>
      <c r="D3" s="110" t="s">
        <v>228</v>
      </c>
      <c r="E3" s="111">
        <v>0.0</v>
      </c>
      <c r="F3" s="111">
        <v>2.684</v>
      </c>
      <c r="G3" s="111">
        <v>0.99</v>
      </c>
      <c r="H3" s="110" t="s">
        <v>278</v>
      </c>
      <c r="I3" s="112">
        <f t="shared" si="1"/>
        <v>1.711111111</v>
      </c>
      <c r="J3" s="82">
        <f t="shared" si="2"/>
        <v>0.368852459</v>
      </c>
    </row>
    <row r="4">
      <c r="A4" s="101">
        <v>44635.0</v>
      </c>
      <c r="B4" s="111">
        <v>2007.0</v>
      </c>
      <c r="C4" s="111">
        <v>1.0</v>
      </c>
      <c r="D4" s="110" t="s">
        <v>228</v>
      </c>
      <c r="E4" s="111">
        <v>0.0</v>
      </c>
      <c r="F4" s="111">
        <v>1.867</v>
      </c>
      <c r="G4" s="111">
        <v>0.815</v>
      </c>
      <c r="H4" s="110" t="s">
        <v>278</v>
      </c>
      <c r="I4" s="112">
        <f t="shared" si="1"/>
        <v>1.290797546</v>
      </c>
      <c r="J4" s="82">
        <f t="shared" si="2"/>
        <v>0.4365291912</v>
      </c>
    </row>
    <row r="5">
      <c r="A5" s="101">
        <v>44635.0</v>
      </c>
      <c r="B5" s="111">
        <v>2008.0</v>
      </c>
      <c r="C5" s="111">
        <v>1.0</v>
      </c>
      <c r="D5" s="110" t="s">
        <v>228</v>
      </c>
      <c r="E5" s="111">
        <v>0.0</v>
      </c>
      <c r="F5" s="111">
        <v>1.723</v>
      </c>
      <c r="G5" s="111">
        <v>0.614</v>
      </c>
      <c r="H5" s="110" t="s">
        <v>278</v>
      </c>
      <c r="I5" s="112">
        <f t="shared" si="1"/>
        <v>1.806188925</v>
      </c>
      <c r="J5" s="82">
        <f t="shared" si="2"/>
        <v>0.3563551944</v>
      </c>
    </row>
    <row r="6">
      <c r="A6" s="101">
        <v>44635.0</v>
      </c>
      <c r="B6" s="111">
        <v>2020.0</v>
      </c>
      <c r="C6" s="111">
        <v>1.0</v>
      </c>
      <c r="D6" s="110" t="s">
        <v>228</v>
      </c>
      <c r="E6" s="111">
        <v>0.0</v>
      </c>
      <c r="F6" s="111">
        <v>1.35</v>
      </c>
      <c r="G6" s="111">
        <v>0.563</v>
      </c>
      <c r="H6" s="110" t="s">
        <v>278</v>
      </c>
      <c r="I6" s="112">
        <f t="shared" si="1"/>
        <v>1.397868561</v>
      </c>
      <c r="J6" s="82">
        <f t="shared" si="2"/>
        <v>0.417037037</v>
      </c>
    </row>
    <row r="7">
      <c r="A7" s="101">
        <v>44635.0</v>
      </c>
      <c r="B7" s="111">
        <v>2021.0</v>
      </c>
      <c r="C7" s="111">
        <v>1.0</v>
      </c>
      <c r="D7" s="110" t="s">
        <v>228</v>
      </c>
      <c r="E7" s="111">
        <v>0.0</v>
      </c>
      <c r="F7" s="111">
        <v>2.96</v>
      </c>
      <c r="G7" s="111">
        <v>1.318</v>
      </c>
      <c r="H7" s="110" t="s">
        <v>278</v>
      </c>
      <c r="I7" s="112">
        <f t="shared" si="1"/>
        <v>1.245827011</v>
      </c>
      <c r="J7" s="82">
        <f t="shared" si="2"/>
        <v>0.4452702703</v>
      </c>
    </row>
    <row r="8">
      <c r="A8" s="101">
        <v>44635.0</v>
      </c>
      <c r="B8" s="111">
        <v>2022.0</v>
      </c>
      <c r="C8" s="111">
        <v>1.0</v>
      </c>
      <c r="D8" s="110" t="s">
        <v>228</v>
      </c>
      <c r="E8" s="110" t="s">
        <v>58</v>
      </c>
      <c r="F8" s="111">
        <v>6.191</v>
      </c>
      <c r="G8" s="111">
        <v>3.347</v>
      </c>
      <c r="H8" s="110" t="s">
        <v>278</v>
      </c>
      <c r="I8" s="112">
        <f t="shared" si="1"/>
        <v>0.8497161637</v>
      </c>
      <c r="J8" s="82">
        <f t="shared" si="2"/>
        <v>0.5406234857</v>
      </c>
    </row>
    <row r="9">
      <c r="A9" s="101">
        <v>44635.0</v>
      </c>
      <c r="B9" s="111">
        <v>2023.0</v>
      </c>
      <c r="C9" s="111">
        <v>1.0</v>
      </c>
      <c r="D9" s="110" t="s">
        <v>228</v>
      </c>
      <c r="E9" s="110" t="s">
        <v>58</v>
      </c>
      <c r="F9" s="111">
        <v>4.063</v>
      </c>
      <c r="G9" s="111">
        <v>2.052</v>
      </c>
      <c r="H9" s="110" t="s">
        <v>278</v>
      </c>
      <c r="I9" s="112">
        <f t="shared" si="1"/>
        <v>0.9800194932</v>
      </c>
      <c r="J9" s="82">
        <f t="shared" si="2"/>
        <v>0.5050455329</v>
      </c>
    </row>
    <row r="10">
      <c r="A10" s="101">
        <v>44635.0</v>
      </c>
      <c r="B10" s="111">
        <v>2024.0</v>
      </c>
      <c r="C10" s="111">
        <v>1.0</v>
      </c>
      <c r="D10" s="110" t="s">
        <v>228</v>
      </c>
      <c r="E10" s="111">
        <v>0.0</v>
      </c>
      <c r="F10" s="111">
        <v>1.626</v>
      </c>
      <c r="G10" s="111">
        <v>0.641</v>
      </c>
      <c r="H10" s="110" t="s">
        <v>278</v>
      </c>
      <c r="I10" s="112">
        <f t="shared" si="1"/>
        <v>1.536661466</v>
      </c>
      <c r="J10" s="82">
        <f t="shared" si="2"/>
        <v>0.3942189422</v>
      </c>
    </row>
    <row r="11">
      <c r="A11" s="101">
        <v>44635.0</v>
      </c>
      <c r="B11" s="111">
        <v>2025.0</v>
      </c>
      <c r="C11" s="111">
        <v>1.0</v>
      </c>
      <c r="D11" s="110" t="s">
        <v>228</v>
      </c>
      <c r="E11" s="111">
        <v>0.0</v>
      </c>
      <c r="F11" s="111">
        <v>2.182</v>
      </c>
      <c r="G11" s="111">
        <v>0.996</v>
      </c>
      <c r="H11" s="110" t="s">
        <v>278</v>
      </c>
      <c r="I11" s="112">
        <f t="shared" si="1"/>
        <v>1.190763052</v>
      </c>
      <c r="J11" s="82">
        <f t="shared" si="2"/>
        <v>0.4564619615</v>
      </c>
    </row>
    <row r="12">
      <c r="A12" s="101">
        <v>44635.0</v>
      </c>
      <c r="B12" s="111">
        <v>2026.0</v>
      </c>
      <c r="C12" s="111">
        <v>1.0</v>
      </c>
      <c r="D12" s="110" t="s">
        <v>228</v>
      </c>
      <c r="E12" s="110" t="s">
        <v>58</v>
      </c>
      <c r="F12" s="111">
        <v>2.311</v>
      </c>
      <c r="G12" s="111">
        <v>1.039</v>
      </c>
      <c r="H12" s="110" t="s">
        <v>278</v>
      </c>
      <c r="I12" s="112">
        <f t="shared" si="1"/>
        <v>1.22425409</v>
      </c>
      <c r="J12" s="82">
        <f t="shared" si="2"/>
        <v>0.4495889225</v>
      </c>
    </row>
    <row r="13">
      <c r="A13" s="101">
        <v>44635.0</v>
      </c>
      <c r="B13" s="111">
        <v>2027.0</v>
      </c>
      <c r="C13" s="111">
        <v>1.0</v>
      </c>
      <c r="D13" s="110" t="s">
        <v>228</v>
      </c>
      <c r="E13" s="111">
        <v>0.0</v>
      </c>
      <c r="F13" s="111">
        <v>1.648</v>
      </c>
      <c r="G13" s="111">
        <v>0.685</v>
      </c>
      <c r="H13" s="110" t="s">
        <v>278</v>
      </c>
      <c r="I13" s="112">
        <f t="shared" si="1"/>
        <v>1.405839416</v>
      </c>
      <c r="J13" s="82">
        <f t="shared" si="2"/>
        <v>0.4156553398</v>
      </c>
    </row>
    <row r="14">
      <c r="A14" s="101">
        <v>44635.0</v>
      </c>
      <c r="B14" s="111">
        <v>2089.0</v>
      </c>
      <c r="C14" s="111">
        <v>1.0</v>
      </c>
      <c r="D14" s="110" t="s">
        <v>228</v>
      </c>
      <c r="E14" s="110" t="s">
        <v>58</v>
      </c>
      <c r="F14" s="111">
        <v>5.437</v>
      </c>
      <c r="G14" s="111">
        <v>3.206</v>
      </c>
      <c r="H14" s="110" t="s">
        <v>278</v>
      </c>
      <c r="I14" s="112">
        <f t="shared" si="1"/>
        <v>0.6958827199</v>
      </c>
      <c r="J14" s="82">
        <f t="shared" si="2"/>
        <v>0.5896634173</v>
      </c>
    </row>
    <row r="15">
      <c r="A15" s="101">
        <v>44635.0</v>
      </c>
      <c r="B15" s="111">
        <v>2091.0</v>
      </c>
      <c r="C15" s="111">
        <v>1.0</v>
      </c>
      <c r="D15" s="110" t="s">
        <v>228</v>
      </c>
      <c r="E15" s="110" t="s">
        <v>58</v>
      </c>
      <c r="F15" s="110" t="s">
        <v>58</v>
      </c>
      <c r="G15" s="111">
        <v>1.94</v>
      </c>
      <c r="H15" s="110" t="s">
        <v>278</v>
      </c>
      <c r="I15" s="113" t="str">
        <f t="shared" si="1"/>
        <v>#VALUE!</v>
      </c>
      <c r="J15" s="82" t="str">
        <f t="shared" si="2"/>
        <v>#VALUE!</v>
      </c>
    </row>
    <row r="16">
      <c r="A16" s="101">
        <v>44635.0</v>
      </c>
      <c r="B16" s="111">
        <v>2092.0</v>
      </c>
      <c r="C16" s="111">
        <v>1.0</v>
      </c>
      <c r="D16" s="110" t="s">
        <v>228</v>
      </c>
      <c r="E16" s="110" t="s">
        <v>58</v>
      </c>
      <c r="F16" s="111">
        <v>3.408</v>
      </c>
      <c r="G16" s="111">
        <v>2.008</v>
      </c>
      <c r="H16" s="110" t="s">
        <v>278</v>
      </c>
      <c r="I16" s="112">
        <f t="shared" si="1"/>
        <v>0.6972111554</v>
      </c>
      <c r="J16" s="82">
        <f t="shared" si="2"/>
        <v>0.5892018779</v>
      </c>
    </row>
    <row r="17">
      <c r="A17" s="101">
        <v>44635.0</v>
      </c>
      <c r="B17" s="111">
        <v>2093.0</v>
      </c>
      <c r="C17" s="111">
        <v>1.0</v>
      </c>
      <c r="D17" s="110" t="s">
        <v>228</v>
      </c>
      <c r="E17" s="110" t="s">
        <v>58</v>
      </c>
      <c r="F17" s="111">
        <v>2.834</v>
      </c>
      <c r="G17" s="111">
        <v>1.748</v>
      </c>
      <c r="H17" s="110" t="s">
        <v>278</v>
      </c>
      <c r="I17" s="112">
        <f t="shared" si="1"/>
        <v>0.6212814645</v>
      </c>
      <c r="J17" s="82">
        <f t="shared" si="2"/>
        <v>0.616796048</v>
      </c>
    </row>
    <row r="18">
      <c r="A18" s="101">
        <v>44635.0</v>
      </c>
      <c r="B18" s="111">
        <v>2301.0</v>
      </c>
      <c r="C18" s="111">
        <v>1.0</v>
      </c>
      <c r="D18" s="110" t="s">
        <v>228</v>
      </c>
      <c r="E18" s="110" t="s">
        <v>58</v>
      </c>
      <c r="F18" s="111">
        <v>3.336</v>
      </c>
      <c r="G18" s="111">
        <v>2.012</v>
      </c>
      <c r="H18" s="110" t="s">
        <v>278</v>
      </c>
      <c r="I18" s="112">
        <f t="shared" si="1"/>
        <v>0.6580516899</v>
      </c>
      <c r="J18" s="82">
        <f t="shared" si="2"/>
        <v>0.603117506</v>
      </c>
    </row>
    <row r="19">
      <c r="A19" s="101">
        <v>44635.0</v>
      </c>
      <c r="B19" s="111">
        <v>2331.0</v>
      </c>
      <c r="C19" s="111">
        <v>1.0</v>
      </c>
      <c r="D19" s="110" t="s">
        <v>228</v>
      </c>
      <c r="E19" s="110" t="s">
        <v>58</v>
      </c>
      <c r="F19" s="111">
        <v>2.07</v>
      </c>
      <c r="G19" s="111">
        <v>1.224</v>
      </c>
      <c r="H19" s="110" t="s">
        <v>278</v>
      </c>
      <c r="I19" s="112">
        <f t="shared" si="1"/>
        <v>0.6911764706</v>
      </c>
      <c r="J19" s="82">
        <f t="shared" si="2"/>
        <v>0.5913043478</v>
      </c>
    </row>
    <row r="20">
      <c r="A20" s="101">
        <v>44635.0</v>
      </c>
      <c r="B20" s="111">
        <v>2345.0</v>
      </c>
      <c r="C20" s="111">
        <v>1.0</v>
      </c>
      <c r="D20" s="110" t="s">
        <v>228</v>
      </c>
      <c r="E20" s="110" t="s">
        <v>58</v>
      </c>
      <c r="F20" s="111">
        <v>2.032</v>
      </c>
      <c r="G20" s="111">
        <v>1.173</v>
      </c>
      <c r="H20" s="110" t="s">
        <v>278</v>
      </c>
      <c r="I20" s="112">
        <f t="shared" si="1"/>
        <v>0.7323103154</v>
      </c>
      <c r="J20" s="82">
        <f t="shared" si="2"/>
        <v>0.5772637795</v>
      </c>
    </row>
    <row r="21">
      <c r="A21" s="101">
        <v>44635.0</v>
      </c>
      <c r="B21" s="111">
        <v>2352.0</v>
      </c>
      <c r="C21" s="111">
        <v>1.0</v>
      </c>
      <c r="D21" s="110" t="s">
        <v>228</v>
      </c>
      <c r="E21" s="110" t="s">
        <v>58</v>
      </c>
      <c r="F21" s="111">
        <v>1.456</v>
      </c>
      <c r="G21" s="111">
        <v>0.696</v>
      </c>
      <c r="H21" s="110" t="s">
        <v>278</v>
      </c>
      <c r="I21" s="112">
        <f t="shared" si="1"/>
        <v>1.091954023</v>
      </c>
      <c r="J21" s="82">
        <f t="shared" si="2"/>
        <v>0.478021978</v>
      </c>
    </row>
    <row r="22">
      <c r="A22" s="101">
        <v>44635.0</v>
      </c>
      <c r="B22" s="111">
        <v>2377.0</v>
      </c>
      <c r="C22" s="111">
        <v>1.0</v>
      </c>
      <c r="D22" s="110" t="s">
        <v>228</v>
      </c>
      <c r="E22" s="110" t="s">
        <v>58</v>
      </c>
      <c r="F22" s="111">
        <v>2.318</v>
      </c>
      <c r="G22" s="111">
        <v>1.438</v>
      </c>
      <c r="H22" s="110" t="s">
        <v>278</v>
      </c>
      <c r="I22" s="112">
        <f t="shared" si="1"/>
        <v>0.611961057</v>
      </c>
      <c r="J22" s="82">
        <f t="shared" si="2"/>
        <v>0.6203623814</v>
      </c>
    </row>
    <row r="23">
      <c r="A23" s="101">
        <v>44635.0</v>
      </c>
      <c r="B23" s="111">
        <v>2378.0</v>
      </c>
      <c r="C23" s="111">
        <v>1.0</v>
      </c>
      <c r="D23" s="110" t="s">
        <v>228</v>
      </c>
      <c r="E23" s="111">
        <v>0.0</v>
      </c>
      <c r="F23" s="111">
        <v>2.656</v>
      </c>
      <c r="G23" s="111">
        <v>1.164</v>
      </c>
      <c r="H23" s="110" t="s">
        <v>278</v>
      </c>
      <c r="I23" s="112">
        <f t="shared" si="1"/>
        <v>1.281786942</v>
      </c>
      <c r="J23" s="82">
        <f t="shared" si="2"/>
        <v>0.438253012</v>
      </c>
    </row>
    <row r="24">
      <c r="A24" s="101">
        <v>44635.0</v>
      </c>
      <c r="B24" s="111">
        <v>2379.0</v>
      </c>
      <c r="C24" s="111">
        <v>1.0</v>
      </c>
      <c r="D24" s="110" t="s">
        <v>228</v>
      </c>
      <c r="E24" s="111">
        <v>0.0</v>
      </c>
      <c r="F24" s="111">
        <v>1.831</v>
      </c>
      <c r="G24" s="111">
        <v>0.796</v>
      </c>
      <c r="H24" s="110" t="s">
        <v>278</v>
      </c>
      <c r="I24" s="112">
        <f t="shared" si="1"/>
        <v>1.300251256</v>
      </c>
      <c r="J24" s="82">
        <f t="shared" si="2"/>
        <v>0.4347351174</v>
      </c>
    </row>
    <row r="25">
      <c r="A25" s="101">
        <v>44635.0</v>
      </c>
      <c r="B25" s="111">
        <v>2380.0</v>
      </c>
      <c r="C25" s="111">
        <v>1.0</v>
      </c>
      <c r="D25" s="110" t="s">
        <v>228</v>
      </c>
      <c r="E25" s="110" t="s">
        <v>58</v>
      </c>
      <c r="F25" s="111">
        <v>3.071</v>
      </c>
      <c r="G25" s="111">
        <v>1.91</v>
      </c>
      <c r="H25" s="110" t="s">
        <v>278</v>
      </c>
      <c r="I25" s="112">
        <f t="shared" si="1"/>
        <v>0.6078534031</v>
      </c>
      <c r="J25" s="82">
        <f t="shared" si="2"/>
        <v>0.6219472485</v>
      </c>
    </row>
    <row r="26">
      <c r="A26" s="101">
        <v>44635.0</v>
      </c>
      <c r="B26" s="111">
        <v>2381.0</v>
      </c>
      <c r="C26" s="111">
        <v>1.0</v>
      </c>
      <c r="D26" s="110" t="s">
        <v>228</v>
      </c>
      <c r="E26" s="111">
        <v>0.0</v>
      </c>
      <c r="F26" s="111">
        <v>3.837</v>
      </c>
      <c r="G26" s="111">
        <v>1.394</v>
      </c>
      <c r="H26" s="110" t="s">
        <v>278</v>
      </c>
      <c r="I26" s="112">
        <f t="shared" si="1"/>
        <v>1.75251076</v>
      </c>
      <c r="J26" s="82">
        <f t="shared" si="2"/>
        <v>0.3633046651</v>
      </c>
    </row>
    <row r="27">
      <c r="A27" s="101">
        <v>44635.0</v>
      </c>
      <c r="B27" s="111">
        <v>2382.0</v>
      </c>
      <c r="C27" s="111">
        <v>1.0</v>
      </c>
      <c r="D27" s="110" t="s">
        <v>228</v>
      </c>
      <c r="E27" s="111">
        <v>0.0</v>
      </c>
      <c r="F27" s="111">
        <v>2.629</v>
      </c>
      <c r="G27" s="111">
        <v>1.12</v>
      </c>
      <c r="H27" s="110" t="s">
        <v>278</v>
      </c>
      <c r="I27" s="112">
        <f t="shared" si="1"/>
        <v>1.347321429</v>
      </c>
      <c r="J27" s="82">
        <f t="shared" si="2"/>
        <v>0.4260174971</v>
      </c>
    </row>
    <row r="28">
      <c r="A28" s="101">
        <v>44635.0</v>
      </c>
      <c r="B28" s="111">
        <v>2384.0</v>
      </c>
      <c r="C28" s="111">
        <v>1.0</v>
      </c>
      <c r="D28" s="110" t="s">
        <v>228</v>
      </c>
      <c r="E28" s="111">
        <v>0.0</v>
      </c>
      <c r="F28" s="111">
        <v>1.55</v>
      </c>
      <c r="G28" s="111">
        <v>0.549</v>
      </c>
      <c r="H28" s="110" t="s">
        <v>278</v>
      </c>
      <c r="I28" s="112">
        <f t="shared" si="1"/>
        <v>1.823315118</v>
      </c>
      <c r="J28" s="82">
        <f t="shared" si="2"/>
        <v>0.3541935484</v>
      </c>
    </row>
    <row r="29">
      <c r="A29" s="101">
        <v>44650.0</v>
      </c>
      <c r="B29" s="111">
        <v>2009.0</v>
      </c>
      <c r="C29" s="111">
        <v>1.0</v>
      </c>
      <c r="D29" s="110" t="s">
        <v>227</v>
      </c>
      <c r="E29" s="111">
        <v>1.0</v>
      </c>
      <c r="F29" s="111">
        <v>0.4792</v>
      </c>
      <c r="G29" s="111">
        <v>0.232</v>
      </c>
      <c r="H29" s="114" t="s">
        <v>280</v>
      </c>
      <c r="I29" s="112">
        <f t="shared" si="1"/>
        <v>1.065517241</v>
      </c>
      <c r="J29" s="82">
        <f t="shared" si="2"/>
        <v>0.4841402337</v>
      </c>
    </row>
    <row r="30">
      <c r="A30" s="101">
        <v>44650.0</v>
      </c>
      <c r="B30" s="111">
        <v>2009.0</v>
      </c>
      <c r="C30" s="111">
        <v>1.0</v>
      </c>
      <c r="D30" s="110" t="s">
        <v>228</v>
      </c>
      <c r="E30" s="110" t="s">
        <v>58</v>
      </c>
      <c r="F30" s="111">
        <v>0.7187</v>
      </c>
      <c r="G30" s="111">
        <v>0.264</v>
      </c>
      <c r="H30" s="114" t="s">
        <v>280</v>
      </c>
      <c r="I30" s="112">
        <f t="shared" si="1"/>
        <v>1.722348485</v>
      </c>
      <c r="J30" s="82">
        <f t="shared" si="2"/>
        <v>0.3673299012</v>
      </c>
    </row>
    <row r="31">
      <c r="A31" s="101">
        <v>44650.0</v>
      </c>
      <c r="B31" s="111">
        <v>2009.0</v>
      </c>
      <c r="C31" s="111">
        <v>1.0</v>
      </c>
      <c r="D31" s="110" t="s">
        <v>227</v>
      </c>
      <c r="E31" s="111">
        <v>0.0</v>
      </c>
      <c r="F31" s="111">
        <v>0.046</v>
      </c>
      <c r="G31" s="111">
        <v>0.015</v>
      </c>
      <c r="H31" s="114" t="s">
        <v>280</v>
      </c>
      <c r="I31" s="112">
        <f t="shared" si="1"/>
        <v>2.066666667</v>
      </c>
      <c r="J31" s="82">
        <f t="shared" si="2"/>
        <v>0.3260869565</v>
      </c>
    </row>
    <row r="32">
      <c r="A32" s="101">
        <v>44650.0</v>
      </c>
      <c r="B32" s="111">
        <v>2009.0</v>
      </c>
      <c r="C32" s="111">
        <v>2.0</v>
      </c>
      <c r="D32" s="110" t="s">
        <v>227</v>
      </c>
      <c r="E32" s="111">
        <v>1.0</v>
      </c>
      <c r="F32" s="111">
        <v>0.5181</v>
      </c>
      <c r="G32" s="111">
        <v>0.247</v>
      </c>
      <c r="H32" s="114" t="s">
        <v>280</v>
      </c>
      <c r="I32" s="112">
        <f t="shared" si="1"/>
        <v>1.09757085</v>
      </c>
      <c r="J32" s="82">
        <f t="shared" si="2"/>
        <v>0.4767419417</v>
      </c>
    </row>
    <row r="33">
      <c r="A33" s="101">
        <v>44650.0</v>
      </c>
      <c r="B33" s="111">
        <v>2009.0</v>
      </c>
      <c r="C33" s="111">
        <v>2.0</v>
      </c>
      <c r="D33" s="110" t="s">
        <v>228</v>
      </c>
      <c r="E33" s="110" t="s">
        <v>58</v>
      </c>
      <c r="F33" s="111">
        <v>0.9085</v>
      </c>
      <c r="G33" s="111">
        <v>0.326</v>
      </c>
      <c r="H33" s="114" t="s">
        <v>280</v>
      </c>
      <c r="I33" s="112">
        <f t="shared" si="1"/>
        <v>1.786809816</v>
      </c>
      <c r="J33" s="82">
        <f t="shared" si="2"/>
        <v>0.3588332416</v>
      </c>
    </row>
    <row r="34">
      <c r="A34" s="101">
        <v>44650.0</v>
      </c>
      <c r="B34" s="111">
        <v>2009.0</v>
      </c>
      <c r="C34" s="111">
        <v>2.0</v>
      </c>
      <c r="D34" s="110" t="s">
        <v>227</v>
      </c>
      <c r="E34" s="111">
        <v>0.0</v>
      </c>
      <c r="F34" s="111">
        <v>0.0649</v>
      </c>
      <c r="G34" s="111">
        <v>0.022</v>
      </c>
      <c r="H34" s="114" t="s">
        <v>280</v>
      </c>
      <c r="I34" s="112">
        <f t="shared" si="1"/>
        <v>1.95</v>
      </c>
      <c r="J34" s="82">
        <f t="shared" si="2"/>
        <v>0.3389830508</v>
      </c>
    </row>
    <row r="35">
      <c r="A35" s="101">
        <v>44650.0</v>
      </c>
      <c r="B35" s="111">
        <v>2009.0</v>
      </c>
      <c r="C35" s="111">
        <v>3.0</v>
      </c>
      <c r="D35" s="110" t="s">
        <v>227</v>
      </c>
      <c r="E35" s="111">
        <v>1.0</v>
      </c>
      <c r="F35" s="111">
        <v>0.678</v>
      </c>
      <c r="G35" s="111">
        <v>0.317</v>
      </c>
      <c r="H35" s="114" t="s">
        <v>280</v>
      </c>
      <c r="I35" s="112">
        <f t="shared" si="1"/>
        <v>1.138801262</v>
      </c>
      <c r="J35" s="82">
        <f t="shared" si="2"/>
        <v>0.4675516224</v>
      </c>
    </row>
    <row r="36">
      <c r="A36" s="101">
        <v>44650.0</v>
      </c>
      <c r="B36" s="111">
        <v>2009.0</v>
      </c>
      <c r="C36" s="111">
        <v>3.0</v>
      </c>
      <c r="D36" s="110" t="s">
        <v>228</v>
      </c>
      <c r="E36" s="110" t="s">
        <v>58</v>
      </c>
      <c r="F36" s="111">
        <v>1.2544</v>
      </c>
      <c r="G36" s="111">
        <v>0.461</v>
      </c>
      <c r="H36" s="114" t="s">
        <v>280</v>
      </c>
      <c r="I36" s="112">
        <f t="shared" si="1"/>
        <v>1.721041215</v>
      </c>
      <c r="J36" s="82">
        <f t="shared" si="2"/>
        <v>0.3675063776</v>
      </c>
    </row>
    <row r="37">
      <c r="A37" s="101">
        <v>44650.0</v>
      </c>
      <c r="B37" s="111">
        <v>2009.0</v>
      </c>
      <c r="C37" s="111">
        <v>3.0</v>
      </c>
      <c r="D37" s="110" t="s">
        <v>227</v>
      </c>
      <c r="E37" s="111">
        <v>0.0</v>
      </c>
      <c r="F37" s="111">
        <v>0.0784</v>
      </c>
      <c r="G37" s="111">
        <v>0.026</v>
      </c>
      <c r="H37" s="114" t="s">
        <v>280</v>
      </c>
      <c r="I37" s="112">
        <f t="shared" si="1"/>
        <v>2.015384615</v>
      </c>
      <c r="J37" s="82">
        <f t="shared" si="2"/>
        <v>0.3316326531</v>
      </c>
    </row>
    <row r="38">
      <c r="A38" s="101">
        <v>44650.0</v>
      </c>
      <c r="B38" s="111">
        <v>2301.0</v>
      </c>
      <c r="C38" s="111">
        <v>1.0</v>
      </c>
      <c r="D38" s="110" t="s">
        <v>228</v>
      </c>
      <c r="E38" s="110" t="s">
        <v>58</v>
      </c>
      <c r="F38" s="111">
        <v>1.6583</v>
      </c>
      <c r="G38" s="111">
        <v>0.941</v>
      </c>
      <c r="H38" s="114" t="s">
        <v>280</v>
      </c>
      <c r="I38" s="112">
        <f t="shared" si="1"/>
        <v>0.7622741764</v>
      </c>
      <c r="J38" s="82">
        <f t="shared" si="2"/>
        <v>0.5674485919</v>
      </c>
    </row>
    <row r="39">
      <c r="A39" s="101">
        <v>44650.0</v>
      </c>
      <c r="B39" s="111">
        <v>2301.0</v>
      </c>
      <c r="C39" s="111">
        <v>1.0</v>
      </c>
      <c r="D39" s="110" t="s">
        <v>227</v>
      </c>
      <c r="E39" s="110" t="s">
        <v>58</v>
      </c>
      <c r="F39" s="111">
        <v>0.0985</v>
      </c>
      <c r="G39" s="111">
        <v>0.05</v>
      </c>
      <c r="H39" s="114" t="s">
        <v>280</v>
      </c>
      <c r="I39" s="112">
        <f t="shared" si="1"/>
        <v>0.97</v>
      </c>
      <c r="J39" s="82">
        <f t="shared" si="2"/>
        <v>0.5076142132</v>
      </c>
    </row>
    <row r="40">
      <c r="A40" s="101">
        <v>44650.0</v>
      </c>
      <c r="B40" s="111">
        <v>2301.0</v>
      </c>
      <c r="C40" s="111">
        <v>2.0</v>
      </c>
      <c r="D40" s="110" t="s">
        <v>228</v>
      </c>
      <c r="E40" s="110" t="s">
        <v>58</v>
      </c>
      <c r="F40" s="111">
        <v>1.2179</v>
      </c>
      <c r="G40" s="111">
        <v>0.678</v>
      </c>
      <c r="H40" s="114" t="s">
        <v>280</v>
      </c>
      <c r="I40" s="112">
        <f t="shared" si="1"/>
        <v>0.7963126844</v>
      </c>
      <c r="J40" s="82">
        <f t="shared" si="2"/>
        <v>0.556695952</v>
      </c>
    </row>
    <row r="41">
      <c r="A41" s="101">
        <v>44650.0</v>
      </c>
      <c r="B41" s="111">
        <v>2301.0</v>
      </c>
      <c r="C41" s="111">
        <v>2.0</v>
      </c>
      <c r="D41" s="110" t="s">
        <v>227</v>
      </c>
      <c r="E41" s="110" t="s">
        <v>58</v>
      </c>
      <c r="F41" s="111">
        <v>0.1217</v>
      </c>
      <c r="G41" s="111">
        <v>0.06</v>
      </c>
      <c r="H41" s="114" t="s">
        <v>280</v>
      </c>
      <c r="I41" s="112">
        <f t="shared" si="1"/>
        <v>1.028333333</v>
      </c>
      <c r="J41" s="82">
        <f t="shared" si="2"/>
        <v>0.4930156122</v>
      </c>
    </row>
    <row r="42">
      <c r="A42" s="101">
        <v>44650.0</v>
      </c>
      <c r="B42" s="111">
        <v>2301.0</v>
      </c>
      <c r="C42" s="111">
        <v>3.0</v>
      </c>
      <c r="D42" s="110" t="s">
        <v>228</v>
      </c>
      <c r="E42" s="110" t="s">
        <v>58</v>
      </c>
      <c r="F42" s="111">
        <v>1.4681</v>
      </c>
      <c r="G42" s="111">
        <v>0.824</v>
      </c>
      <c r="H42" s="114" t="s">
        <v>280</v>
      </c>
      <c r="I42" s="112">
        <f t="shared" si="1"/>
        <v>0.7816747573</v>
      </c>
      <c r="J42" s="82">
        <f t="shared" si="2"/>
        <v>0.5612696683</v>
      </c>
    </row>
    <row r="43">
      <c r="A43" s="101">
        <v>44650.0</v>
      </c>
      <c r="B43" s="111">
        <v>2301.0</v>
      </c>
      <c r="C43" s="111">
        <v>3.0</v>
      </c>
      <c r="D43" s="110" t="s">
        <v>227</v>
      </c>
      <c r="E43" s="110" t="s">
        <v>58</v>
      </c>
      <c r="F43" s="111">
        <v>0.1074</v>
      </c>
      <c r="G43" s="111">
        <v>0.055</v>
      </c>
      <c r="H43" s="114" t="s">
        <v>280</v>
      </c>
      <c r="I43" s="112">
        <f t="shared" si="1"/>
        <v>0.9527272727</v>
      </c>
      <c r="J43" s="82">
        <f t="shared" si="2"/>
        <v>0.5121042831</v>
      </c>
    </row>
    <row r="44">
      <c r="A44" s="101">
        <v>44650.0</v>
      </c>
      <c r="B44" s="111">
        <v>2331.0</v>
      </c>
      <c r="C44" s="111">
        <v>1.0</v>
      </c>
      <c r="D44" s="110" t="s">
        <v>228</v>
      </c>
      <c r="E44" s="110" t="s">
        <v>58</v>
      </c>
      <c r="F44" s="111">
        <v>1.5339</v>
      </c>
      <c r="G44" s="111">
        <v>0.902</v>
      </c>
      <c r="H44" s="114" t="s">
        <v>280</v>
      </c>
      <c r="I44" s="112">
        <f t="shared" si="1"/>
        <v>0.7005543237</v>
      </c>
      <c r="J44" s="82">
        <f t="shared" si="2"/>
        <v>0.5880435491</v>
      </c>
    </row>
    <row r="45">
      <c r="A45" s="101">
        <v>44650.0</v>
      </c>
      <c r="B45" s="111">
        <v>2331.0</v>
      </c>
      <c r="C45" s="111">
        <v>1.0</v>
      </c>
      <c r="D45" s="110" t="s">
        <v>227</v>
      </c>
      <c r="E45" s="111">
        <v>1.0</v>
      </c>
      <c r="F45" s="111">
        <v>0.2848</v>
      </c>
      <c r="G45" s="111">
        <v>0.157</v>
      </c>
      <c r="H45" s="114" t="s">
        <v>280</v>
      </c>
      <c r="I45" s="112">
        <f t="shared" si="1"/>
        <v>0.8140127389</v>
      </c>
      <c r="J45" s="82">
        <f t="shared" si="2"/>
        <v>0.5512640449</v>
      </c>
    </row>
    <row r="46">
      <c r="A46" s="101">
        <v>44650.0</v>
      </c>
      <c r="B46" s="111">
        <v>2331.0</v>
      </c>
      <c r="C46" s="111">
        <v>2.0</v>
      </c>
      <c r="D46" s="110" t="s">
        <v>228</v>
      </c>
      <c r="E46" s="110" t="s">
        <v>58</v>
      </c>
      <c r="F46" s="111">
        <v>2.9236</v>
      </c>
      <c r="G46" s="111">
        <v>1.712</v>
      </c>
      <c r="H46" s="114" t="s">
        <v>280</v>
      </c>
      <c r="I46" s="112">
        <f t="shared" si="1"/>
        <v>0.7077102804</v>
      </c>
      <c r="J46" s="82">
        <f t="shared" si="2"/>
        <v>0.5855794226</v>
      </c>
    </row>
    <row r="47">
      <c r="A47" s="101">
        <v>44650.0</v>
      </c>
      <c r="B47" s="111">
        <v>2331.0</v>
      </c>
      <c r="C47" s="111">
        <v>2.0</v>
      </c>
      <c r="D47" s="110" t="s">
        <v>227</v>
      </c>
      <c r="E47" s="110" t="s">
        <v>58</v>
      </c>
      <c r="F47" s="111">
        <v>0.3717</v>
      </c>
      <c r="G47" s="111">
        <v>0.203</v>
      </c>
      <c r="H47" s="114" t="s">
        <v>280</v>
      </c>
      <c r="I47" s="112">
        <f t="shared" si="1"/>
        <v>0.8310344828</v>
      </c>
      <c r="J47" s="82">
        <f t="shared" si="2"/>
        <v>0.5461393597</v>
      </c>
    </row>
    <row r="48">
      <c r="A48" s="101">
        <v>44650.0</v>
      </c>
      <c r="B48" s="111">
        <v>2331.0</v>
      </c>
      <c r="C48" s="111">
        <v>3.0</v>
      </c>
      <c r="D48" s="110" t="s">
        <v>228</v>
      </c>
      <c r="E48" s="110" t="s">
        <v>58</v>
      </c>
      <c r="F48" s="111">
        <v>0.9921</v>
      </c>
      <c r="G48" s="111">
        <v>0.554</v>
      </c>
      <c r="H48" s="114" t="s">
        <v>280</v>
      </c>
      <c r="I48" s="112">
        <f t="shared" si="1"/>
        <v>0.7907942238</v>
      </c>
      <c r="J48" s="82">
        <f t="shared" si="2"/>
        <v>0.5584114505</v>
      </c>
    </row>
    <row r="49">
      <c r="A49" s="101">
        <v>44650.0</v>
      </c>
      <c r="B49" s="111">
        <v>2331.0</v>
      </c>
      <c r="C49" s="111">
        <v>3.0</v>
      </c>
      <c r="D49" s="110" t="s">
        <v>227</v>
      </c>
      <c r="E49" s="110" t="s">
        <v>58</v>
      </c>
      <c r="F49" s="111">
        <v>0.169</v>
      </c>
      <c r="G49" s="111">
        <v>0.089</v>
      </c>
      <c r="H49" s="114" t="s">
        <v>280</v>
      </c>
      <c r="I49" s="112">
        <f t="shared" si="1"/>
        <v>0.8988764045</v>
      </c>
      <c r="J49" s="82">
        <f t="shared" si="2"/>
        <v>0.5266272189</v>
      </c>
    </row>
    <row r="50">
      <c r="A50" s="101">
        <v>44650.0</v>
      </c>
      <c r="B50" s="111">
        <v>2343.0</v>
      </c>
      <c r="C50" s="111">
        <v>1.0</v>
      </c>
      <c r="D50" s="110" t="s">
        <v>227</v>
      </c>
      <c r="E50" s="111">
        <v>1.0</v>
      </c>
      <c r="F50" s="111">
        <v>0.0834</v>
      </c>
      <c r="G50" s="111">
        <v>0.038</v>
      </c>
      <c r="H50" s="114" t="s">
        <v>280</v>
      </c>
      <c r="I50" s="112">
        <f t="shared" si="1"/>
        <v>1.194736842</v>
      </c>
      <c r="J50" s="82">
        <f t="shared" si="2"/>
        <v>0.4556354916</v>
      </c>
    </row>
    <row r="51">
      <c r="A51" s="101">
        <v>44650.0</v>
      </c>
      <c r="B51" s="111">
        <v>2343.0</v>
      </c>
      <c r="C51" s="111">
        <v>1.0</v>
      </c>
      <c r="D51" s="110" t="s">
        <v>228</v>
      </c>
      <c r="E51" s="110" t="s">
        <v>58</v>
      </c>
      <c r="F51" s="111">
        <v>0.7177</v>
      </c>
      <c r="G51" s="111">
        <v>0.287</v>
      </c>
      <c r="H51" s="114" t="s">
        <v>280</v>
      </c>
      <c r="I51" s="112">
        <f t="shared" si="1"/>
        <v>1.500696864</v>
      </c>
      <c r="J51" s="82">
        <f t="shared" si="2"/>
        <v>0.3998885328</v>
      </c>
    </row>
    <row r="52">
      <c r="A52" s="101">
        <v>44650.0</v>
      </c>
      <c r="B52" s="111">
        <v>2343.0</v>
      </c>
      <c r="C52" s="111">
        <v>1.0</v>
      </c>
      <c r="D52" s="110" t="s">
        <v>227</v>
      </c>
      <c r="E52" s="111">
        <v>0.0</v>
      </c>
      <c r="F52" s="111">
        <v>0.0565</v>
      </c>
      <c r="G52" s="111">
        <v>0.021</v>
      </c>
      <c r="H52" s="114" t="s">
        <v>280</v>
      </c>
      <c r="I52" s="112">
        <f t="shared" si="1"/>
        <v>1.69047619</v>
      </c>
      <c r="J52" s="82">
        <f t="shared" si="2"/>
        <v>0.3716814159</v>
      </c>
    </row>
    <row r="53">
      <c r="A53" s="101">
        <v>44650.0</v>
      </c>
      <c r="B53" s="111">
        <v>2343.0</v>
      </c>
      <c r="C53" s="111">
        <v>2.0</v>
      </c>
      <c r="D53" s="110" t="s">
        <v>227</v>
      </c>
      <c r="E53" s="111">
        <v>1.0</v>
      </c>
      <c r="F53" s="111">
        <v>0.2028</v>
      </c>
      <c r="G53" s="111">
        <v>0.089</v>
      </c>
      <c r="H53" s="114" t="s">
        <v>280</v>
      </c>
      <c r="I53" s="112">
        <f t="shared" si="1"/>
        <v>1.278651685</v>
      </c>
      <c r="J53" s="82">
        <f t="shared" si="2"/>
        <v>0.4388560158</v>
      </c>
    </row>
    <row r="54">
      <c r="A54" s="101">
        <v>44650.0</v>
      </c>
      <c r="B54" s="111">
        <v>2343.0</v>
      </c>
      <c r="C54" s="111">
        <v>2.0</v>
      </c>
      <c r="D54" s="110" t="s">
        <v>228</v>
      </c>
      <c r="E54" s="110" t="s">
        <v>58</v>
      </c>
      <c r="F54" s="111">
        <v>1.4125</v>
      </c>
      <c r="G54" s="111">
        <v>0.529</v>
      </c>
      <c r="H54" s="114" t="s">
        <v>280</v>
      </c>
      <c r="I54" s="112">
        <f t="shared" si="1"/>
        <v>1.670132325</v>
      </c>
      <c r="J54" s="82">
        <f t="shared" si="2"/>
        <v>0.3745132743</v>
      </c>
    </row>
    <row r="55">
      <c r="A55" s="101">
        <v>44650.0</v>
      </c>
      <c r="B55" s="111">
        <v>2343.0</v>
      </c>
      <c r="C55" s="111">
        <v>2.0</v>
      </c>
      <c r="D55" s="110" t="s">
        <v>227</v>
      </c>
      <c r="E55" s="111">
        <v>0.0</v>
      </c>
      <c r="F55" s="111">
        <v>0.1298</v>
      </c>
      <c r="G55" s="111">
        <v>0.044</v>
      </c>
      <c r="H55" s="114" t="s">
        <v>280</v>
      </c>
      <c r="I55" s="112">
        <f t="shared" si="1"/>
        <v>1.95</v>
      </c>
      <c r="J55" s="82">
        <f t="shared" si="2"/>
        <v>0.3389830508</v>
      </c>
    </row>
    <row r="56">
      <c r="A56" s="101">
        <v>44650.0</v>
      </c>
      <c r="B56" s="111">
        <v>2343.0</v>
      </c>
      <c r="C56" s="111">
        <v>3.0</v>
      </c>
      <c r="D56" s="110" t="s">
        <v>227</v>
      </c>
      <c r="E56" s="111">
        <v>1.0</v>
      </c>
      <c r="F56" s="111">
        <v>0.1293</v>
      </c>
      <c r="G56" s="111">
        <v>0.058</v>
      </c>
      <c r="H56" s="114" t="s">
        <v>280</v>
      </c>
      <c r="I56" s="112">
        <f t="shared" si="1"/>
        <v>1.229310345</v>
      </c>
      <c r="J56" s="82">
        <f t="shared" si="2"/>
        <v>0.4485692189</v>
      </c>
    </row>
    <row r="57">
      <c r="A57" s="101">
        <v>44650.0</v>
      </c>
      <c r="B57" s="111">
        <v>2343.0</v>
      </c>
      <c r="C57" s="111">
        <v>3.0</v>
      </c>
      <c r="D57" s="110" t="s">
        <v>228</v>
      </c>
      <c r="E57" s="110" t="s">
        <v>58</v>
      </c>
      <c r="F57" s="111">
        <v>0.3604</v>
      </c>
      <c r="G57" s="111">
        <v>0.126</v>
      </c>
      <c r="H57" s="114" t="s">
        <v>280</v>
      </c>
      <c r="I57" s="112">
        <f t="shared" si="1"/>
        <v>1.86031746</v>
      </c>
      <c r="J57" s="82">
        <f t="shared" si="2"/>
        <v>0.3496115427</v>
      </c>
    </row>
    <row r="58">
      <c r="A58" s="101">
        <v>44650.0</v>
      </c>
      <c r="B58" s="111">
        <v>2343.0</v>
      </c>
      <c r="C58" s="111">
        <v>3.0</v>
      </c>
      <c r="D58" s="110" t="s">
        <v>227</v>
      </c>
      <c r="E58" s="111">
        <v>0.0</v>
      </c>
      <c r="F58" s="111">
        <v>0.0382</v>
      </c>
      <c r="G58" s="111">
        <v>0.013</v>
      </c>
      <c r="H58" s="114" t="s">
        <v>280</v>
      </c>
      <c r="I58" s="112">
        <f t="shared" si="1"/>
        <v>1.938461538</v>
      </c>
      <c r="J58" s="82">
        <f t="shared" si="2"/>
        <v>0.3403141361</v>
      </c>
    </row>
    <row r="59">
      <c r="A59" s="101">
        <v>44650.0</v>
      </c>
      <c r="B59" s="111">
        <v>2345.0</v>
      </c>
      <c r="C59" s="111">
        <v>1.0</v>
      </c>
      <c r="D59" s="110" t="s">
        <v>228</v>
      </c>
      <c r="E59" s="110" t="s">
        <v>58</v>
      </c>
      <c r="F59" s="111">
        <v>2.1683</v>
      </c>
      <c r="G59" s="111">
        <v>1.205</v>
      </c>
      <c r="H59" s="114" t="s">
        <v>280</v>
      </c>
      <c r="I59" s="112">
        <f t="shared" si="1"/>
        <v>0.7994190871</v>
      </c>
      <c r="J59" s="82">
        <f t="shared" si="2"/>
        <v>0.5557349075</v>
      </c>
    </row>
    <row r="60">
      <c r="A60" s="101">
        <v>44650.0</v>
      </c>
      <c r="B60" s="111">
        <v>2345.0</v>
      </c>
      <c r="C60" s="111">
        <v>1.0</v>
      </c>
      <c r="D60" s="110" t="s">
        <v>227</v>
      </c>
      <c r="E60" s="110" t="s">
        <v>58</v>
      </c>
      <c r="F60" s="111">
        <v>0.3408</v>
      </c>
      <c r="G60" s="111">
        <v>0.182</v>
      </c>
      <c r="H60" s="114" t="s">
        <v>280</v>
      </c>
      <c r="I60" s="112">
        <f t="shared" si="1"/>
        <v>0.8725274725</v>
      </c>
      <c r="J60" s="82">
        <f t="shared" si="2"/>
        <v>0.5340375587</v>
      </c>
    </row>
    <row r="61">
      <c r="A61" s="101">
        <v>44650.0</v>
      </c>
      <c r="B61" s="111">
        <v>2345.0</v>
      </c>
      <c r="C61" s="111">
        <v>2.0</v>
      </c>
      <c r="D61" s="110" t="s">
        <v>227</v>
      </c>
      <c r="E61" s="110" t="s">
        <v>58</v>
      </c>
      <c r="F61" s="111">
        <v>0.5154</v>
      </c>
      <c r="G61" s="111">
        <v>0.269</v>
      </c>
      <c r="H61" s="114" t="s">
        <v>280</v>
      </c>
      <c r="I61" s="112">
        <f t="shared" si="1"/>
        <v>0.9159851301</v>
      </c>
      <c r="J61" s="82">
        <f t="shared" si="2"/>
        <v>0.5219247187</v>
      </c>
    </row>
    <row r="62">
      <c r="A62" s="101">
        <v>44650.0</v>
      </c>
      <c r="B62" s="111">
        <v>2345.0</v>
      </c>
      <c r="C62" s="111">
        <v>3.0</v>
      </c>
      <c r="D62" s="110" t="s">
        <v>228</v>
      </c>
      <c r="E62" s="110" t="s">
        <v>58</v>
      </c>
      <c r="F62" s="111">
        <v>1.72</v>
      </c>
      <c r="G62" s="111">
        <v>0.955</v>
      </c>
      <c r="H62" s="114" t="s">
        <v>280</v>
      </c>
      <c r="I62" s="112">
        <f t="shared" si="1"/>
        <v>0.8010471204</v>
      </c>
      <c r="J62" s="82">
        <f t="shared" si="2"/>
        <v>0.5552325581</v>
      </c>
    </row>
    <row r="63">
      <c r="A63" s="101">
        <v>44650.0</v>
      </c>
      <c r="B63" s="111">
        <v>2345.0</v>
      </c>
      <c r="C63" s="111">
        <v>3.0</v>
      </c>
      <c r="D63" s="110" t="s">
        <v>227</v>
      </c>
      <c r="E63" s="110" t="s">
        <v>58</v>
      </c>
      <c r="F63" s="111">
        <v>0.2855</v>
      </c>
      <c r="G63" s="111">
        <v>0.152</v>
      </c>
      <c r="H63" s="114" t="s">
        <v>280</v>
      </c>
      <c r="I63" s="112">
        <f t="shared" si="1"/>
        <v>0.8782894737</v>
      </c>
      <c r="J63" s="82">
        <f t="shared" si="2"/>
        <v>0.5323992995</v>
      </c>
    </row>
    <row r="64">
      <c r="A64" s="101">
        <v>44650.0</v>
      </c>
      <c r="B64" s="111">
        <v>2346.0</v>
      </c>
      <c r="C64" s="111">
        <v>1.0</v>
      </c>
      <c r="D64" s="110" t="s">
        <v>227</v>
      </c>
      <c r="E64" s="111">
        <v>1.0</v>
      </c>
      <c r="F64" s="111">
        <v>0.5421</v>
      </c>
      <c r="G64" s="111">
        <v>0.256</v>
      </c>
      <c r="H64" s="114" t="s">
        <v>280</v>
      </c>
      <c r="I64" s="112">
        <f t="shared" si="1"/>
        <v>1.117578125</v>
      </c>
      <c r="J64" s="82">
        <f t="shared" si="2"/>
        <v>0.4722375945</v>
      </c>
    </row>
    <row r="65">
      <c r="A65" s="101">
        <v>44650.0</v>
      </c>
      <c r="B65" s="111">
        <v>2346.0</v>
      </c>
      <c r="C65" s="111">
        <v>1.0</v>
      </c>
      <c r="D65" s="110" t="s">
        <v>227</v>
      </c>
      <c r="E65" s="111">
        <v>0.0</v>
      </c>
      <c r="F65" s="111">
        <v>0.0333</v>
      </c>
      <c r="G65" s="111">
        <v>0.012</v>
      </c>
      <c r="H65" s="114" t="s">
        <v>280</v>
      </c>
      <c r="I65" s="112">
        <f t="shared" si="1"/>
        <v>1.775</v>
      </c>
      <c r="J65" s="82">
        <f t="shared" si="2"/>
        <v>0.3603603604</v>
      </c>
    </row>
    <row r="66">
      <c r="A66" s="101">
        <v>44650.0</v>
      </c>
      <c r="B66" s="111">
        <v>2346.0</v>
      </c>
      <c r="C66" s="111">
        <v>1.0</v>
      </c>
      <c r="D66" s="110" t="s">
        <v>228</v>
      </c>
      <c r="E66" s="110" t="s">
        <v>58</v>
      </c>
      <c r="F66" s="111">
        <v>0.5932</v>
      </c>
      <c r="G66" s="111">
        <v>0.205</v>
      </c>
      <c r="H66" s="114" t="s">
        <v>280</v>
      </c>
      <c r="I66" s="112">
        <f t="shared" si="1"/>
        <v>1.893658537</v>
      </c>
      <c r="J66" s="82">
        <f t="shared" si="2"/>
        <v>0.3455832771</v>
      </c>
    </row>
    <row r="67">
      <c r="A67" s="101">
        <v>44650.0</v>
      </c>
      <c r="B67" s="111">
        <v>2346.0</v>
      </c>
      <c r="C67" s="111">
        <v>2.0</v>
      </c>
      <c r="D67" s="110" t="s">
        <v>227</v>
      </c>
      <c r="E67" s="111">
        <v>1.0</v>
      </c>
      <c r="F67" s="111">
        <v>0.3374</v>
      </c>
      <c r="G67" s="111">
        <v>0.159</v>
      </c>
      <c r="H67" s="114" t="s">
        <v>280</v>
      </c>
      <c r="I67" s="112">
        <f t="shared" si="1"/>
        <v>1.122012579</v>
      </c>
      <c r="J67" s="82">
        <f t="shared" si="2"/>
        <v>0.471250741</v>
      </c>
    </row>
    <row r="68">
      <c r="A68" s="101">
        <v>44650.0</v>
      </c>
      <c r="B68" s="111">
        <v>2346.0</v>
      </c>
      <c r="C68" s="111">
        <v>2.0</v>
      </c>
      <c r="D68" s="110" t="s">
        <v>227</v>
      </c>
      <c r="E68" s="111">
        <v>0.0</v>
      </c>
      <c r="F68" s="111">
        <v>0.026</v>
      </c>
      <c r="G68" s="111">
        <v>0.01</v>
      </c>
      <c r="H68" s="114" t="s">
        <v>280</v>
      </c>
      <c r="I68" s="112">
        <f t="shared" si="1"/>
        <v>1.6</v>
      </c>
      <c r="J68" s="82">
        <f t="shared" si="2"/>
        <v>0.3846153846</v>
      </c>
    </row>
    <row r="69">
      <c r="A69" s="101">
        <v>44650.0</v>
      </c>
      <c r="B69" s="111">
        <v>2346.0</v>
      </c>
      <c r="C69" s="111">
        <v>2.0</v>
      </c>
      <c r="D69" s="110" t="s">
        <v>228</v>
      </c>
      <c r="E69" s="110" t="s">
        <v>58</v>
      </c>
      <c r="F69" s="111">
        <v>0.2559</v>
      </c>
      <c r="G69" s="111">
        <v>0.092</v>
      </c>
      <c r="H69" s="114" t="s">
        <v>280</v>
      </c>
      <c r="I69" s="112">
        <f t="shared" si="1"/>
        <v>1.781521739</v>
      </c>
      <c r="J69" s="82">
        <f t="shared" si="2"/>
        <v>0.3595154357</v>
      </c>
    </row>
    <row r="70">
      <c r="A70" s="101">
        <v>44650.0</v>
      </c>
      <c r="B70" s="111">
        <v>2346.0</v>
      </c>
      <c r="C70" s="111">
        <v>3.0</v>
      </c>
      <c r="D70" s="110" t="s">
        <v>227</v>
      </c>
      <c r="E70" s="111">
        <v>1.0</v>
      </c>
      <c r="F70" s="111">
        <v>0.1199</v>
      </c>
      <c r="G70" s="111">
        <v>0.057</v>
      </c>
      <c r="H70" s="114" t="s">
        <v>280</v>
      </c>
      <c r="I70" s="112">
        <f t="shared" si="1"/>
        <v>1.103508772</v>
      </c>
      <c r="J70" s="82">
        <f t="shared" si="2"/>
        <v>0.4753961635</v>
      </c>
    </row>
    <row r="71">
      <c r="A71" s="101">
        <v>44650.0</v>
      </c>
      <c r="B71" s="111">
        <v>2346.0</v>
      </c>
      <c r="C71" s="111">
        <v>3.0</v>
      </c>
      <c r="D71" s="110" t="s">
        <v>227</v>
      </c>
      <c r="E71" s="111">
        <v>0.0</v>
      </c>
      <c r="F71" s="111">
        <v>0.0059</v>
      </c>
      <c r="G71" s="111">
        <v>0.002</v>
      </c>
      <c r="H71" s="114" t="s">
        <v>280</v>
      </c>
      <c r="I71" s="112">
        <f t="shared" si="1"/>
        <v>1.95</v>
      </c>
      <c r="J71" s="82">
        <f t="shared" si="2"/>
        <v>0.3389830508</v>
      </c>
    </row>
    <row r="72">
      <c r="A72" s="101">
        <v>44650.0</v>
      </c>
      <c r="B72" s="111">
        <v>2346.0</v>
      </c>
      <c r="C72" s="111">
        <v>3.0</v>
      </c>
      <c r="D72" s="110" t="s">
        <v>228</v>
      </c>
      <c r="E72" s="110" t="s">
        <v>58</v>
      </c>
      <c r="F72" s="111">
        <v>0.1828</v>
      </c>
      <c r="G72" s="111">
        <v>0.061</v>
      </c>
      <c r="H72" s="114" t="s">
        <v>280</v>
      </c>
      <c r="I72" s="112">
        <f t="shared" si="1"/>
        <v>1.996721311</v>
      </c>
      <c r="J72" s="82">
        <f t="shared" si="2"/>
        <v>0.3336980306</v>
      </c>
    </row>
    <row r="73">
      <c r="A73" s="101">
        <v>44650.0</v>
      </c>
      <c r="B73" s="111">
        <v>2347.0</v>
      </c>
      <c r="C73" s="111">
        <v>1.0</v>
      </c>
      <c r="D73" s="110" t="s">
        <v>227</v>
      </c>
      <c r="E73" s="111">
        <v>1.0</v>
      </c>
      <c r="F73" s="111">
        <v>0.1628</v>
      </c>
      <c r="G73" s="111">
        <v>0.067</v>
      </c>
      <c r="H73" s="114" t="s">
        <v>280</v>
      </c>
      <c r="I73" s="112">
        <f t="shared" si="1"/>
        <v>1.429850746</v>
      </c>
      <c r="J73" s="82">
        <f t="shared" si="2"/>
        <v>0.4115479115</v>
      </c>
    </row>
    <row r="74">
      <c r="A74" s="101">
        <v>44650.0</v>
      </c>
      <c r="B74" s="111">
        <v>2347.0</v>
      </c>
      <c r="C74" s="111">
        <v>1.0</v>
      </c>
      <c r="D74" s="110" t="s">
        <v>228</v>
      </c>
      <c r="E74" s="110" t="s">
        <v>58</v>
      </c>
      <c r="F74" s="111">
        <v>1.6727</v>
      </c>
      <c r="G74" s="111">
        <v>0.572</v>
      </c>
      <c r="H74" s="114" t="s">
        <v>280</v>
      </c>
      <c r="I74" s="112">
        <f t="shared" si="1"/>
        <v>1.924300699</v>
      </c>
      <c r="J74" s="82">
        <f t="shared" si="2"/>
        <v>0.3419620972</v>
      </c>
    </row>
    <row r="75">
      <c r="A75" s="101">
        <v>44650.0</v>
      </c>
      <c r="B75" s="111">
        <v>2347.0</v>
      </c>
      <c r="C75" s="111">
        <v>1.0</v>
      </c>
      <c r="D75" s="110" t="s">
        <v>227</v>
      </c>
      <c r="E75" s="111">
        <v>0.0</v>
      </c>
      <c r="F75" s="111">
        <v>0.1625</v>
      </c>
      <c r="G75" s="111">
        <v>0.051</v>
      </c>
      <c r="H75" s="114" t="s">
        <v>280</v>
      </c>
      <c r="I75" s="112">
        <f t="shared" si="1"/>
        <v>2.18627451</v>
      </c>
      <c r="J75" s="82">
        <f t="shared" si="2"/>
        <v>0.3138461538</v>
      </c>
    </row>
    <row r="76">
      <c r="A76" s="101">
        <v>44650.0</v>
      </c>
      <c r="B76" s="111">
        <v>2347.0</v>
      </c>
      <c r="C76" s="111">
        <v>2.0</v>
      </c>
      <c r="D76" s="110" t="s">
        <v>227</v>
      </c>
      <c r="E76" s="111">
        <v>1.0</v>
      </c>
      <c r="F76" s="111">
        <v>0.0663</v>
      </c>
      <c r="G76" s="111">
        <v>0.028</v>
      </c>
      <c r="H76" s="114" t="s">
        <v>280</v>
      </c>
      <c r="I76" s="112">
        <f t="shared" si="1"/>
        <v>1.367857143</v>
      </c>
      <c r="J76" s="82">
        <f t="shared" si="2"/>
        <v>0.4223227753</v>
      </c>
    </row>
    <row r="77">
      <c r="A77" s="101">
        <v>44650.0</v>
      </c>
      <c r="B77" s="111">
        <v>2347.0</v>
      </c>
      <c r="C77" s="111">
        <v>2.0</v>
      </c>
      <c r="D77" s="110" t="s">
        <v>227</v>
      </c>
      <c r="E77" s="111">
        <v>0.0</v>
      </c>
      <c r="F77" s="111">
        <v>0.0291</v>
      </c>
      <c r="G77" s="111">
        <v>0.009</v>
      </c>
      <c r="H77" s="114" t="s">
        <v>280</v>
      </c>
      <c r="I77" s="112">
        <f t="shared" si="1"/>
        <v>2.233333333</v>
      </c>
      <c r="J77" s="82">
        <f t="shared" si="2"/>
        <v>0.3092783505</v>
      </c>
    </row>
    <row r="78">
      <c r="A78" s="101">
        <v>44650.0</v>
      </c>
      <c r="B78" s="111">
        <v>2347.0</v>
      </c>
      <c r="C78" s="111">
        <v>2.0</v>
      </c>
      <c r="D78" s="110" t="s">
        <v>228</v>
      </c>
      <c r="E78" s="110" t="s">
        <v>58</v>
      </c>
      <c r="F78" s="111">
        <v>0.4425</v>
      </c>
      <c r="G78" s="111">
        <v>0.133</v>
      </c>
      <c r="H78" s="114" t="s">
        <v>280</v>
      </c>
      <c r="I78" s="112">
        <f t="shared" si="1"/>
        <v>2.327067669</v>
      </c>
      <c r="J78" s="82">
        <f t="shared" si="2"/>
        <v>0.3005649718</v>
      </c>
    </row>
    <row r="79">
      <c r="A79" s="101">
        <v>44650.0</v>
      </c>
      <c r="B79" s="111">
        <v>2347.0</v>
      </c>
      <c r="C79" s="111">
        <v>3.0</v>
      </c>
      <c r="D79" s="110" t="s">
        <v>227</v>
      </c>
      <c r="E79" s="111">
        <v>1.0</v>
      </c>
      <c r="F79" s="111">
        <v>0.232</v>
      </c>
      <c r="G79" s="111">
        <v>0.095</v>
      </c>
      <c r="H79" s="114" t="s">
        <v>280</v>
      </c>
      <c r="I79" s="112">
        <f t="shared" si="1"/>
        <v>1.442105263</v>
      </c>
      <c r="J79" s="82">
        <f t="shared" si="2"/>
        <v>0.4094827586</v>
      </c>
    </row>
    <row r="80">
      <c r="A80" s="101">
        <v>44650.0</v>
      </c>
      <c r="B80" s="111">
        <v>2347.0</v>
      </c>
      <c r="C80" s="111">
        <v>3.0</v>
      </c>
      <c r="D80" s="110" t="s">
        <v>228</v>
      </c>
      <c r="E80" s="110" t="s">
        <v>58</v>
      </c>
      <c r="F80" s="111">
        <v>1.1916</v>
      </c>
      <c r="G80" s="111">
        <v>0.397</v>
      </c>
      <c r="H80" s="114" t="s">
        <v>280</v>
      </c>
      <c r="I80" s="112">
        <f t="shared" si="1"/>
        <v>2.001511335</v>
      </c>
      <c r="J80" s="82">
        <f t="shared" si="2"/>
        <v>0.3331654918</v>
      </c>
    </row>
    <row r="81">
      <c r="A81" s="101">
        <v>44650.0</v>
      </c>
      <c r="B81" s="111">
        <v>2347.0</v>
      </c>
      <c r="C81" s="111">
        <v>3.0</v>
      </c>
      <c r="D81" s="110" t="s">
        <v>227</v>
      </c>
      <c r="E81" s="111">
        <v>0.0</v>
      </c>
      <c r="F81" s="111">
        <v>0.1659</v>
      </c>
      <c r="G81" s="111">
        <v>0.051</v>
      </c>
      <c r="H81" s="114" t="s">
        <v>280</v>
      </c>
      <c r="I81" s="112">
        <f t="shared" si="1"/>
        <v>2.252941176</v>
      </c>
      <c r="J81" s="82">
        <f t="shared" si="2"/>
        <v>0.3074141049</v>
      </c>
    </row>
    <row r="82">
      <c r="A82" s="101">
        <v>44650.0</v>
      </c>
      <c r="B82" s="111">
        <v>2352.0</v>
      </c>
      <c r="C82" s="111">
        <v>1.0</v>
      </c>
      <c r="D82" s="110" t="s">
        <v>228</v>
      </c>
      <c r="E82" s="110" t="s">
        <v>58</v>
      </c>
      <c r="F82" s="111">
        <v>0.5258</v>
      </c>
      <c r="G82" s="111">
        <v>0.323</v>
      </c>
      <c r="H82" s="114" t="s">
        <v>280</v>
      </c>
      <c r="I82" s="112">
        <f t="shared" si="1"/>
        <v>0.6278637771</v>
      </c>
      <c r="J82" s="82">
        <f t="shared" si="2"/>
        <v>0.614302016</v>
      </c>
    </row>
    <row r="83">
      <c r="A83" s="101">
        <v>44650.0</v>
      </c>
      <c r="B83" s="111">
        <v>2352.0</v>
      </c>
      <c r="C83" s="111">
        <v>1.0</v>
      </c>
      <c r="D83" s="110" t="s">
        <v>227</v>
      </c>
      <c r="E83" s="110" t="s">
        <v>58</v>
      </c>
      <c r="F83" s="111">
        <v>0.3123</v>
      </c>
      <c r="G83" s="111">
        <v>0.174</v>
      </c>
      <c r="H83" s="114" t="s">
        <v>280</v>
      </c>
      <c r="I83" s="112">
        <f t="shared" si="1"/>
        <v>0.7948275862</v>
      </c>
      <c r="J83" s="82">
        <f t="shared" si="2"/>
        <v>0.5571565802</v>
      </c>
    </row>
    <row r="84">
      <c r="A84" s="101">
        <v>44650.0</v>
      </c>
      <c r="B84" s="111">
        <v>2352.0</v>
      </c>
      <c r="C84" s="111">
        <v>2.0</v>
      </c>
      <c r="D84" s="110" t="s">
        <v>228</v>
      </c>
      <c r="E84" s="110" t="s">
        <v>58</v>
      </c>
      <c r="F84" s="111">
        <v>0.8877</v>
      </c>
      <c r="G84" s="111">
        <v>0.562</v>
      </c>
      <c r="H84" s="114" t="s">
        <v>280</v>
      </c>
      <c r="I84" s="112">
        <f t="shared" si="1"/>
        <v>0.5795373665</v>
      </c>
      <c r="J84" s="82">
        <f t="shared" si="2"/>
        <v>0.6330967669</v>
      </c>
    </row>
    <row r="85">
      <c r="A85" s="101">
        <v>44650.0</v>
      </c>
      <c r="B85" s="111">
        <v>2352.0</v>
      </c>
      <c r="C85" s="111">
        <v>2.0</v>
      </c>
      <c r="D85" s="110" t="s">
        <v>227</v>
      </c>
      <c r="E85" s="110" t="s">
        <v>58</v>
      </c>
      <c r="F85" s="111">
        <v>0.4619</v>
      </c>
      <c r="G85" s="111">
        <v>0.27</v>
      </c>
      <c r="H85" s="114" t="s">
        <v>280</v>
      </c>
      <c r="I85" s="112">
        <f t="shared" si="1"/>
        <v>0.7107407407</v>
      </c>
      <c r="J85" s="82">
        <f t="shared" si="2"/>
        <v>0.5845421087</v>
      </c>
    </row>
    <row r="86">
      <c r="A86" s="101">
        <v>44650.0</v>
      </c>
      <c r="B86" s="111">
        <v>2352.0</v>
      </c>
      <c r="C86" s="111">
        <v>3.0</v>
      </c>
      <c r="D86" s="110" t="s">
        <v>228</v>
      </c>
      <c r="E86" s="110" t="s">
        <v>58</v>
      </c>
      <c r="F86" s="111">
        <v>0.6782</v>
      </c>
      <c r="G86" s="111">
        <v>0.437</v>
      </c>
      <c r="H86" s="114" t="s">
        <v>280</v>
      </c>
      <c r="I86" s="112">
        <f t="shared" si="1"/>
        <v>0.5519450801</v>
      </c>
      <c r="J86" s="82">
        <f t="shared" si="2"/>
        <v>0.6443526983</v>
      </c>
    </row>
    <row r="87">
      <c r="A87" s="101">
        <v>44650.0</v>
      </c>
      <c r="B87" s="111">
        <v>2352.0</v>
      </c>
      <c r="C87" s="111">
        <v>3.0</v>
      </c>
      <c r="D87" s="110" t="s">
        <v>227</v>
      </c>
      <c r="E87" s="110" t="s">
        <v>58</v>
      </c>
      <c r="F87" s="111">
        <v>0.2042</v>
      </c>
      <c r="G87" s="111">
        <v>0.113</v>
      </c>
      <c r="H87" s="114" t="s">
        <v>280</v>
      </c>
      <c r="I87" s="112">
        <f t="shared" si="1"/>
        <v>0.807079646</v>
      </c>
      <c r="J87" s="82">
        <f t="shared" si="2"/>
        <v>0.5533790402</v>
      </c>
    </row>
    <row r="88">
      <c r="A88" s="101">
        <v>44650.0</v>
      </c>
      <c r="B88" s="111">
        <v>2354.0</v>
      </c>
      <c r="C88" s="111">
        <v>1.0</v>
      </c>
      <c r="D88" s="110" t="s">
        <v>228</v>
      </c>
      <c r="E88" s="110" t="s">
        <v>58</v>
      </c>
      <c r="F88" s="111">
        <v>2.6446</v>
      </c>
      <c r="G88" s="111">
        <v>1.545</v>
      </c>
      <c r="H88" s="114" t="s">
        <v>280</v>
      </c>
      <c r="I88" s="112">
        <f t="shared" si="1"/>
        <v>0.7117152104</v>
      </c>
      <c r="J88" s="82">
        <f t="shared" si="2"/>
        <v>0.5842093322</v>
      </c>
    </row>
    <row r="89">
      <c r="A89" s="101">
        <v>44650.0</v>
      </c>
      <c r="B89" s="111">
        <v>2354.0</v>
      </c>
      <c r="C89" s="111">
        <v>1.0</v>
      </c>
      <c r="D89" s="110" t="s">
        <v>227</v>
      </c>
      <c r="E89" s="110" t="s">
        <v>58</v>
      </c>
      <c r="F89" s="111">
        <v>0.3465</v>
      </c>
      <c r="G89" s="111">
        <v>0.181</v>
      </c>
      <c r="H89" s="114" t="s">
        <v>280</v>
      </c>
      <c r="I89" s="112">
        <f t="shared" si="1"/>
        <v>0.9143646409</v>
      </c>
      <c r="J89" s="82">
        <f t="shared" si="2"/>
        <v>0.5223665224</v>
      </c>
    </row>
    <row r="90">
      <c r="A90" s="101">
        <v>44650.0</v>
      </c>
      <c r="B90" s="111">
        <v>2354.0</v>
      </c>
      <c r="C90" s="111">
        <v>2.0</v>
      </c>
      <c r="D90" s="110" t="s">
        <v>228</v>
      </c>
      <c r="E90" s="110" t="s">
        <v>58</v>
      </c>
      <c r="F90" s="111">
        <v>3.0135</v>
      </c>
      <c r="G90" s="111">
        <v>1.735</v>
      </c>
      <c r="H90" s="114" t="s">
        <v>280</v>
      </c>
      <c r="I90" s="112">
        <f t="shared" si="1"/>
        <v>0.7368876081</v>
      </c>
      <c r="J90" s="82">
        <f t="shared" si="2"/>
        <v>0.5757424921</v>
      </c>
    </row>
    <row r="91">
      <c r="A91" s="101">
        <v>44650.0</v>
      </c>
      <c r="B91" s="111">
        <v>2354.0</v>
      </c>
      <c r="C91" s="111">
        <v>2.0</v>
      </c>
      <c r="D91" s="110" t="s">
        <v>227</v>
      </c>
      <c r="E91" s="111">
        <v>1.0</v>
      </c>
      <c r="F91" s="111">
        <v>0.4271</v>
      </c>
      <c r="G91" s="111">
        <v>0.213</v>
      </c>
      <c r="H91" s="114" t="s">
        <v>280</v>
      </c>
      <c r="I91" s="112">
        <f t="shared" si="1"/>
        <v>1.005164319</v>
      </c>
      <c r="J91" s="82">
        <f t="shared" si="2"/>
        <v>0.4987122454</v>
      </c>
    </row>
    <row r="92">
      <c r="A92" s="101">
        <v>44650.0</v>
      </c>
      <c r="B92" s="111">
        <v>2354.0</v>
      </c>
      <c r="C92" s="111">
        <v>2.0</v>
      </c>
      <c r="D92" s="110" t="s">
        <v>227</v>
      </c>
      <c r="E92" s="111">
        <v>0.0</v>
      </c>
      <c r="F92" s="111">
        <v>0.0268</v>
      </c>
      <c r="G92" s="111">
        <v>0.007</v>
      </c>
      <c r="H92" s="114" t="s">
        <v>280</v>
      </c>
      <c r="I92" s="112">
        <f t="shared" si="1"/>
        <v>2.828571429</v>
      </c>
      <c r="J92" s="82">
        <f t="shared" si="2"/>
        <v>0.2611940299</v>
      </c>
    </row>
    <row r="93">
      <c r="A93" s="101">
        <v>44650.0</v>
      </c>
      <c r="B93" s="111">
        <v>2354.0</v>
      </c>
      <c r="C93" s="111">
        <v>3.0</v>
      </c>
      <c r="D93" s="110" t="s">
        <v>228</v>
      </c>
      <c r="E93" s="110" t="s">
        <v>58</v>
      </c>
      <c r="F93" s="111">
        <v>1.3947</v>
      </c>
      <c r="G93" s="111">
        <v>0.831</v>
      </c>
      <c r="H93" s="114" t="s">
        <v>280</v>
      </c>
      <c r="I93" s="112">
        <f t="shared" si="1"/>
        <v>0.6783393502</v>
      </c>
      <c r="J93" s="82">
        <f t="shared" si="2"/>
        <v>0.5958270596</v>
      </c>
    </row>
    <row r="94">
      <c r="A94" s="101">
        <v>44650.0</v>
      </c>
      <c r="B94" s="111">
        <v>2354.0</v>
      </c>
      <c r="C94" s="111">
        <v>3.0</v>
      </c>
      <c r="D94" s="110" t="s">
        <v>227</v>
      </c>
      <c r="E94" s="110" t="s">
        <v>58</v>
      </c>
      <c r="F94" s="111">
        <v>0.1783</v>
      </c>
      <c r="G94" s="111">
        <v>0.09</v>
      </c>
      <c r="H94" s="114" t="s">
        <v>280</v>
      </c>
      <c r="I94" s="112">
        <f t="shared" si="1"/>
        <v>0.9811111111</v>
      </c>
      <c r="J94" s="82">
        <f t="shared" si="2"/>
        <v>0.5047672462</v>
      </c>
    </row>
    <row r="95">
      <c r="A95" s="101">
        <v>44650.0</v>
      </c>
      <c r="B95" s="111">
        <v>2360.0</v>
      </c>
      <c r="C95" s="111">
        <v>1.0</v>
      </c>
      <c r="D95" s="110" t="s">
        <v>227</v>
      </c>
      <c r="E95" s="111">
        <v>1.0</v>
      </c>
      <c r="F95" s="111">
        <v>0.2376</v>
      </c>
      <c r="G95" s="111">
        <v>0.108</v>
      </c>
      <c r="H95" s="114" t="s">
        <v>280</v>
      </c>
      <c r="I95" s="112">
        <f t="shared" si="1"/>
        <v>1.2</v>
      </c>
      <c r="J95" s="82">
        <f t="shared" si="2"/>
        <v>0.4545454545</v>
      </c>
    </row>
    <row r="96">
      <c r="A96" s="101">
        <v>44650.0</v>
      </c>
      <c r="B96" s="111">
        <v>2360.0</v>
      </c>
      <c r="C96" s="111">
        <v>1.0</v>
      </c>
      <c r="D96" s="110" t="s">
        <v>228</v>
      </c>
      <c r="E96" s="110" t="s">
        <v>58</v>
      </c>
      <c r="F96" s="111">
        <v>1.0328</v>
      </c>
      <c r="G96" s="111">
        <v>0.437</v>
      </c>
      <c r="H96" s="114" t="s">
        <v>280</v>
      </c>
      <c r="I96" s="112">
        <f t="shared" si="1"/>
        <v>1.363386728</v>
      </c>
      <c r="J96" s="82">
        <f t="shared" si="2"/>
        <v>0.4231216112</v>
      </c>
    </row>
    <row r="97">
      <c r="A97" s="101">
        <v>44650.0</v>
      </c>
      <c r="B97" s="111">
        <v>2360.0</v>
      </c>
      <c r="C97" s="111">
        <v>2.0</v>
      </c>
      <c r="D97" s="110" t="s">
        <v>227</v>
      </c>
      <c r="E97" s="111">
        <v>1.0</v>
      </c>
      <c r="F97" s="111">
        <v>0.3279</v>
      </c>
      <c r="G97" s="111">
        <v>0.141</v>
      </c>
      <c r="H97" s="114" t="s">
        <v>280</v>
      </c>
      <c r="I97" s="112">
        <f t="shared" si="1"/>
        <v>1.325531915</v>
      </c>
      <c r="J97" s="82">
        <f t="shared" si="2"/>
        <v>0.4300091491</v>
      </c>
    </row>
    <row r="98">
      <c r="A98" s="101">
        <v>44650.0</v>
      </c>
      <c r="B98" s="111">
        <v>2360.0</v>
      </c>
      <c r="C98" s="111">
        <v>2.0</v>
      </c>
      <c r="D98" s="110" t="s">
        <v>228</v>
      </c>
      <c r="E98" s="110" t="s">
        <v>58</v>
      </c>
      <c r="F98" s="111">
        <v>0.9288</v>
      </c>
      <c r="G98" s="111">
        <v>0.393</v>
      </c>
      <c r="H98" s="114" t="s">
        <v>280</v>
      </c>
      <c r="I98" s="112">
        <f t="shared" si="1"/>
        <v>1.363358779</v>
      </c>
      <c r="J98" s="82">
        <f t="shared" si="2"/>
        <v>0.423126615</v>
      </c>
    </row>
    <row r="99">
      <c r="A99" s="101">
        <v>44650.0</v>
      </c>
      <c r="B99" s="111">
        <v>2360.0</v>
      </c>
      <c r="C99" s="111">
        <v>2.0</v>
      </c>
      <c r="D99" s="110" t="s">
        <v>227</v>
      </c>
      <c r="E99" s="111">
        <v>0.0</v>
      </c>
      <c r="F99" s="111">
        <v>0.097</v>
      </c>
      <c r="G99" s="111">
        <v>0.031</v>
      </c>
      <c r="H99" s="114" t="s">
        <v>280</v>
      </c>
      <c r="I99" s="112">
        <f t="shared" si="1"/>
        <v>2.129032258</v>
      </c>
      <c r="J99" s="82">
        <f t="shared" si="2"/>
        <v>0.3195876289</v>
      </c>
    </row>
    <row r="100">
      <c r="A100" s="101">
        <v>44650.0</v>
      </c>
      <c r="B100" s="111">
        <v>2360.0</v>
      </c>
      <c r="C100" s="111">
        <v>3.0</v>
      </c>
      <c r="D100" s="110" t="s">
        <v>228</v>
      </c>
      <c r="E100" s="110" t="s">
        <v>58</v>
      </c>
      <c r="F100" s="111">
        <v>1.2668</v>
      </c>
      <c r="G100" s="111">
        <v>0.557</v>
      </c>
      <c r="H100" s="114" t="s">
        <v>280</v>
      </c>
      <c r="I100" s="112">
        <f t="shared" si="1"/>
        <v>1.27432675</v>
      </c>
      <c r="J100" s="82">
        <f t="shared" si="2"/>
        <v>0.4396905589</v>
      </c>
    </row>
    <row r="101">
      <c r="A101" s="101">
        <v>44650.0</v>
      </c>
      <c r="B101" s="111">
        <v>2360.0</v>
      </c>
      <c r="C101" s="111">
        <v>3.0</v>
      </c>
      <c r="D101" s="110" t="s">
        <v>227</v>
      </c>
      <c r="E101" s="111">
        <v>1.0</v>
      </c>
      <c r="F101" s="111">
        <v>0.217</v>
      </c>
      <c r="G101" s="111">
        <v>0.093</v>
      </c>
      <c r="H101" s="114" t="s">
        <v>280</v>
      </c>
      <c r="I101" s="112">
        <f t="shared" si="1"/>
        <v>1.333333333</v>
      </c>
      <c r="J101" s="82">
        <f t="shared" si="2"/>
        <v>0.4285714286</v>
      </c>
    </row>
    <row r="102">
      <c r="A102" s="101">
        <v>44650.0</v>
      </c>
      <c r="B102" s="111">
        <v>2360.0</v>
      </c>
      <c r="C102" s="111">
        <v>3.0</v>
      </c>
      <c r="D102" s="110" t="s">
        <v>227</v>
      </c>
      <c r="E102" s="111">
        <v>0.0</v>
      </c>
      <c r="F102" s="111">
        <v>0.1854</v>
      </c>
      <c r="G102" s="111">
        <v>0.075</v>
      </c>
      <c r="H102" s="114" t="s">
        <v>280</v>
      </c>
      <c r="I102" s="112">
        <f t="shared" si="1"/>
        <v>1.472</v>
      </c>
      <c r="J102" s="82">
        <f t="shared" si="2"/>
        <v>0.4045307443</v>
      </c>
    </row>
    <row r="103">
      <c r="A103" s="101">
        <v>44650.0</v>
      </c>
      <c r="B103" s="111">
        <v>2361.0</v>
      </c>
      <c r="C103" s="111">
        <v>1.0</v>
      </c>
      <c r="D103" s="110" t="s">
        <v>227</v>
      </c>
      <c r="E103" s="111">
        <v>0.0</v>
      </c>
      <c r="F103" s="110" t="s">
        <v>58</v>
      </c>
      <c r="G103" s="111">
        <v>0.028</v>
      </c>
      <c r="H103" s="114" t="s">
        <v>280</v>
      </c>
      <c r="I103" s="113" t="str">
        <f t="shared" si="1"/>
        <v>#VALUE!</v>
      </c>
      <c r="J103" s="82" t="str">
        <f t="shared" si="2"/>
        <v>#VALUE!</v>
      </c>
    </row>
    <row r="104">
      <c r="A104" s="101">
        <v>44650.0</v>
      </c>
      <c r="B104" s="111">
        <v>2364.0</v>
      </c>
      <c r="C104" s="111">
        <v>1.0</v>
      </c>
      <c r="D104" s="110" t="s">
        <v>227</v>
      </c>
      <c r="E104" s="111">
        <v>1.0</v>
      </c>
      <c r="F104" s="111">
        <v>0.0484</v>
      </c>
      <c r="G104" s="111">
        <v>0.023</v>
      </c>
      <c r="H104" s="114" t="s">
        <v>280</v>
      </c>
      <c r="I104" s="112">
        <f t="shared" si="1"/>
        <v>1.104347826</v>
      </c>
      <c r="J104" s="82">
        <f t="shared" si="2"/>
        <v>0.4752066116</v>
      </c>
    </row>
    <row r="105">
      <c r="A105" s="101">
        <v>44650.0</v>
      </c>
      <c r="B105" s="111">
        <v>2364.0</v>
      </c>
      <c r="C105" s="111">
        <v>1.0</v>
      </c>
      <c r="D105" s="110" t="s">
        <v>228</v>
      </c>
      <c r="E105" s="110" t="s">
        <v>58</v>
      </c>
      <c r="F105" s="111">
        <v>0.4231</v>
      </c>
      <c r="G105" s="111">
        <v>0.181</v>
      </c>
      <c r="H105" s="114" t="s">
        <v>280</v>
      </c>
      <c r="I105" s="112">
        <f t="shared" si="1"/>
        <v>1.337569061</v>
      </c>
      <c r="J105" s="82">
        <f t="shared" si="2"/>
        <v>0.4277948476</v>
      </c>
    </row>
    <row r="106">
      <c r="A106" s="101">
        <v>44650.0</v>
      </c>
      <c r="B106" s="111">
        <v>2364.0</v>
      </c>
      <c r="C106" s="111">
        <v>1.0</v>
      </c>
      <c r="D106" s="110" t="s">
        <v>227</v>
      </c>
      <c r="E106" s="111">
        <v>0.0</v>
      </c>
      <c r="F106" s="111">
        <v>0.0311</v>
      </c>
      <c r="G106" s="111">
        <v>0.013</v>
      </c>
      <c r="H106" s="114" t="s">
        <v>280</v>
      </c>
      <c r="I106" s="112">
        <f t="shared" si="1"/>
        <v>1.392307692</v>
      </c>
      <c r="J106" s="82">
        <f t="shared" si="2"/>
        <v>0.4180064309</v>
      </c>
    </row>
    <row r="107">
      <c r="A107" s="101">
        <v>44650.0</v>
      </c>
      <c r="B107" s="111">
        <v>2364.0</v>
      </c>
      <c r="C107" s="111">
        <v>2.0</v>
      </c>
      <c r="D107" s="110" t="s">
        <v>228</v>
      </c>
      <c r="E107" s="110" t="s">
        <v>58</v>
      </c>
      <c r="F107" s="111">
        <v>1.1874</v>
      </c>
      <c r="G107" s="111">
        <v>0.522</v>
      </c>
      <c r="H107" s="114" t="s">
        <v>280</v>
      </c>
      <c r="I107" s="112">
        <f t="shared" si="1"/>
        <v>1.274712644</v>
      </c>
      <c r="J107" s="82">
        <f t="shared" si="2"/>
        <v>0.4396159677</v>
      </c>
    </row>
    <row r="108">
      <c r="A108" s="101">
        <v>44650.0</v>
      </c>
      <c r="B108" s="111">
        <v>2364.0</v>
      </c>
      <c r="C108" s="111">
        <v>2.0</v>
      </c>
      <c r="D108" s="110" t="s">
        <v>227</v>
      </c>
      <c r="E108" s="111">
        <v>1.0</v>
      </c>
      <c r="F108" s="111">
        <v>0.2924</v>
      </c>
      <c r="G108" s="111">
        <v>0.128</v>
      </c>
      <c r="H108" s="114" t="s">
        <v>280</v>
      </c>
      <c r="I108" s="112">
        <f t="shared" si="1"/>
        <v>1.284375</v>
      </c>
      <c r="J108" s="82">
        <f t="shared" si="2"/>
        <v>0.4377564979</v>
      </c>
    </row>
    <row r="109">
      <c r="A109" s="101">
        <v>44650.0</v>
      </c>
      <c r="B109" s="111">
        <v>2364.0</v>
      </c>
      <c r="C109" s="111">
        <v>2.0</v>
      </c>
      <c r="D109" s="110" t="s">
        <v>227</v>
      </c>
      <c r="E109" s="111">
        <v>0.0</v>
      </c>
      <c r="F109" s="111">
        <v>0.0592</v>
      </c>
      <c r="G109" s="111">
        <v>0.023</v>
      </c>
      <c r="H109" s="114" t="s">
        <v>280</v>
      </c>
      <c r="I109" s="112">
        <f t="shared" si="1"/>
        <v>1.573913043</v>
      </c>
      <c r="J109" s="82">
        <f t="shared" si="2"/>
        <v>0.3885135135</v>
      </c>
    </row>
    <row r="110">
      <c r="A110" s="101">
        <v>44650.0</v>
      </c>
      <c r="B110" s="111">
        <v>2364.0</v>
      </c>
      <c r="C110" s="111">
        <v>3.0</v>
      </c>
      <c r="D110" s="110" t="s">
        <v>227</v>
      </c>
      <c r="E110" s="111">
        <v>1.0</v>
      </c>
      <c r="F110" s="111">
        <v>0.1532</v>
      </c>
      <c r="G110" s="111">
        <v>0.064</v>
      </c>
      <c r="H110" s="114" t="s">
        <v>280</v>
      </c>
      <c r="I110" s="112">
        <f t="shared" si="1"/>
        <v>1.39375</v>
      </c>
      <c r="J110" s="82">
        <f t="shared" si="2"/>
        <v>0.4177545692</v>
      </c>
    </row>
    <row r="111">
      <c r="A111" s="101">
        <v>44650.0</v>
      </c>
      <c r="B111" s="111">
        <v>2364.0</v>
      </c>
      <c r="C111" s="111">
        <v>3.0</v>
      </c>
      <c r="D111" s="110" t="s">
        <v>228</v>
      </c>
      <c r="E111" s="110" t="s">
        <v>58</v>
      </c>
      <c r="F111" s="111">
        <v>0.9958</v>
      </c>
      <c r="G111" s="111">
        <v>0.359</v>
      </c>
      <c r="H111" s="114" t="s">
        <v>280</v>
      </c>
      <c r="I111" s="112">
        <f t="shared" si="1"/>
        <v>1.773816156</v>
      </c>
      <c r="J111" s="82">
        <f t="shared" si="2"/>
        <v>0.3605141595</v>
      </c>
    </row>
    <row r="112">
      <c r="A112" s="101">
        <v>44650.0</v>
      </c>
      <c r="B112" s="111">
        <v>2364.0</v>
      </c>
      <c r="C112" s="111">
        <v>3.0</v>
      </c>
      <c r="D112" s="110" t="s">
        <v>227</v>
      </c>
      <c r="E112" s="111">
        <v>0.0</v>
      </c>
      <c r="F112" s="111">
        <v>0.077</v>
      </c>
      <c r="G112" s="111">
        <v>0.025</v>
      </c>
      <c r="H112" s="114" t="s">
        <v>280</v>
      </c>
      <c r="I112" s="112">
        <f t="shared" si="1"/>
        <v>2.08</v>
      </c>
      <c r="J112" s="82">
        <f t="shared" si="2"/>
        <v>0.3246753247</v>
      </c>
    </row>
    <row r="113">
      <c r="A113" s="101">
        <v>44650.0</v>
      </c>
      <c r="B113" s="111">
        <v>2367.0</v>
      </c>
      <c r="C113" s="111">
        <v>1.0</v>
      </c>
      <c r="D113" s="110" t="s">
        <v>227</v>
      </c>
      <c r="E113" s="111">
        <v>1.0</v>
      </c>
      <c r="F113" s="111">
        <v>0.0903</v>
      </c>
      <c r="G113" s="111">
        <v>0.04</v>
      </c>
      <c r="H113" s="114" t="s">
        <v>280</v>
      </c>
      <c r="I113" s="112">
        <f t="shared" si="1"/>
        <v>1.2575</v>
      </c>
      <c r="J113" s="82">
        <f t="shared" si="2"/>
        <v>0.4429678848</v>
      </c>
    </row>
    <row r="114">
      <c r="A114" s="101">
        <v>44650.0</v>
      </c>
      <c r="B114" s="111">
        <v>2367.0</v>
      </c>
      <c r="C114" s="111">
        <v>1.0</v>
      </c>
      <c r="D114" s="110" t="s">
        <v>227</v>
      </c>
      <c r="E114" s="111">
        <v>1.0</v>
      </c>
      <c r="F114" s="111">
        <v>0.2168</v>
      </c>
      <c r="G114" s="111">
        <v>0.095</v>
      </c>
      <c r="H114" s="114" t="s">
        <v>280</v>
      </c>
      <c r="I114" s="112">
        <f t="shared" si="1"/>
        <v>1.282105263</v>
      </c>
      <c r="J114" s="82">
        <f t="shared" si="2"/>
        <v>0.4381918819</v>
      </c>
    </row>
    <row r="115">
      <c r="A115" s="101">
        <v>44650.0</v>
      </c>
      <c r="B115" s="111">
        <v>2367.0</v>
      </c>
      <c r="C115" s="111">
        <v>1.0</v>
      </c>
      <c r="D115" s="110" t="s">
        <v>228</v>
      </c>
      <c r="E115" s="110" t="s">
        <v>58</v>
      </c>
      <c r="F115" s="112">
        <f>0.161+1.5393</f>
        <v>1.7003</v>
      </c>
      <c r="G115" s="111">
        <v>0.666</v>
      </c>
      <c r="H115" s="114" t="s">
        <v>280</v>
      </c>
      <c r="I115" s="112">
        <f t="shared" si="1"/>
        <v>1.553003003</v>
      </c>
      <c r="J115" s="82">
        <f t="shared" si="2"/>
        <v>0.3916955831</v>
      </c>
    </row>
    <row r="116">
      <c r="A116" s="101">
        <v>44650.0</v>
      </c>
      <c r="B116" s="111">
        <v>2367.0</v>
      </c>
      <c r="C116" s="111">
        <v>1.0</v>
      </c>
      <c r="D116" s="110" t="s">
        <v>228</v>
      </c>
      <c r="E116" s="110" t="s">
        <v>58</v>
      </c>
      <c r="F116" s="111">
        <v>0.9452</v>
      </c>
      <c r="G116" s="111">
        <v>0.335</v>
      </c>
      <c r="H116" s="114" t="s">
        <v>280</v>
      </c>
      <c r="I116" s="112">
        <f t="shared" si="1"/>
        <v>1.821492537</v>
      </c>
      <c r="J116" s="82">
        <f t="shared" si="2"/>
        <v>0.3544223445</v>
      </c>
    </row>
    <row r="117">
      <c r="A117" s="101">
        <v>44650.0</v>
      </c>
      <c r="B117" s="111">
        <v>2367.0</v>
      </c>
      <c r="C117" s="111">
        <v>1.0</v>
      </c>
      <c r="D117" s="110" t="s">
        <v>227</v>
      </c>
      <c r="E117" s="111">
        <v>0.0</v>
      </c>
      <c r="F117" s="111">
        <v>0.1001</v>
      </c>
      <c r="G117" s="111">
        <v>0.032</v>
      </c>
      <c r="H117" s="114" t="s">
        <v>280</v>
      </c>
      <c r="I117" s="112">
        <f t="shared" si="1"/>
        <v>2.128125</v>
      </c>
      <c r="J117" s="82">
        <f t="shared" si="2"/>
        <v>0.3196803197</v>
      </c>
    </row>
    <row r="118">
      <c r="A118" s="101">
        <v>44650.0</v>
      </c>
      <c r="B118" s="111">
        <v>2367.0</v>
      </c>
      <c r="C118" s="111">
        <v>1.0</v>
      </c>
      <c r="D118" s="110" t="s">
        <v>227</v>
      </c>
      <c r="E118" s="111">
        <v>0.0</v>
      </c>
      <c r="F118" s="111">
        <v>0.1228</v>
      </c>
      <c r="G118" s="111">
        <v>0.038</v>
      </c>
      <c r="H118" s="114" t="s">
        <v>280</v>
      </c>
      <c r="I118" s="112">
        <f t="shared" si="1"/>
        <v>2.231578947</v>
      </c>
      <c r="J118" s="82">
        <f t="shared" si="2"/>
        <v>0.3094462541</v>
      </c>
    </row>
    <row r="119">
      <c r="A119" s="101">
        <v>44650.0</v>
      </c>
      <c r="B119" s="111">
        <v>2367.0</v>
      </c>
      <c r="C119" s="111">
        <v>3.0</v>
      </c>
      <c r="D119" s="110" t="s">
        <v>227</v>
      </c>
      <c r="E119" s="111">
        <v>1.0</v>
      </c>
      <c r="F119" s="111">
        <v>0.3833</v>
      </c>
      <c r="G119" s="111">
        <v>0.195</v>
      </c>
      <c r="H119" s="114" t="s">
        <v>280</v>
      </c>
      <c r="I119" s="112">
        <f t="shared" si="1"/>
        <v>0.9656410256</v>
      </c>
      <c r="J119" s="82">
        <f t="shared" si="2"/>
        <v>0.5087398904</v>
      </c>
    </row>
    <row r="120">
      <c r="A120" s="101">
        <v>44650.0</v>
      </c>
      <c r="B120" s="111">
        <v>2367.0</v>
      </c>
      <c r="C120" s="111">
        <v>3.0</v>
      </c>
      <c r="D120" s="110" t="s">
        <v>228</v>
      </c>
      <c r="E120" s="110" t="s">
        <v>58</v>
      </c>
      <c r="F120" s="111">
        <v>0.7471</v>
      </c>
      <c r="G120" s="111">
        <v>0.281</v>
      </c>
      <c r="H120" s="114" t="s">
        <v>280</v>
      </c>
      <c r="I120" s="112">
        <f t="shared" si="1"/>
        <v>1.658718861</v>
      </c>
      <c r="J120" s="82">
        <f t="shared" si="2"/>
        <v>0.3761210012</v>
      </c>
    </row>
    <row r="121">
      <c r="A121" s="101">
        <v>44650.0</v>
      </c>
      <c r="B121" s="111">
        <v>2367.0</v>
      </c>
      <c r="C121" s="111">
        <v>3.0</v>
      </c>
      <c r="D121" s="110" t="s">
        <v>227</v>
      </c>
      <c r="E121" s="111">
        <v>0.0</v>
      </c>
      <c r="F121" s="111">
        <v>0.0503</v>
      </c>
      <c r="G121" s="111">
        <v>0.014</v>
      </c>
      <c r="H121" s="114" t="s">
        <v>280</v>
      </c>
      <c r="I121" s="112">
        <f t="shared" si="1"/>
        <v>2.592857143</v>
      </c>
      <c r="J121" s="82">
        <f t="shared" si="2"/>
        <v>0.2783300199</v>
      </c>
    </row>
    <row r="122">
      <c r="A122" s="101">
        <v>44650.0</v>
      </c>
      <c r="B122" s="111">
        <v>2369.0</v>
      </c>
      <c r="C122" s="111">
        <v>1.0</v>
      </c>
      <c r="D122" s="110" t="s">
        <v>227</v>
      </c>
      <c r="E122" s="111">
        <v>1.0</v>
      </c>
      <c r="F122" s="111">
        <v>0.1645</v>
      </c>
      <c r="G122" s="111">
        <v>0.075</v>
      </c>
      <c r="H122" s="114" t="s">
        <v>280</v>
      </c>
      <c r="I122" s="112">
        <f t="shared" si="1"/>
        <v>1.193333333</v>
      </c>
      <c r="J122" s="82">
        <f t="shared" si="2"/>
        <v>0.4559270517</v>
      </c>
    </row>
    <row r="123">
      <c r="A123" s="101">
        <v>44650.0</v>
      </c>
      <c r="B123" s="111">
        <v>2369.0</v>
      </c>
      <c r="C123" s="111">
        <v>1.0</v>
      </c>
      <c r="D123" s="110" t="s">
        <v>228</v>
      </c>
      <c r="E123" s="110" t="s">
        <v>58</v>
      </c>
      <c r="F123" s="111">
        <v>0.97</v>
      </c>
      <c r="G123" s="111">
        <v>0.386</v>
      </c>
      <c r="H123" s="114" t="s">
        <v>280</v>
      </c>
      <c r="I123" s="112">
        <f t="shared" si="1"/>
        <v>1.512953368</v>
      </c>
      <c r="J123" s="82">
        <f t="shared" si="2"/>
        <v>0.3979381443</v>
      </c>
    </row>
    <row r="124">
      <c r="A124" s="101">
        <v>44650.0</v>
      </c>
      <c r="B124" s="111">
        <v>2369.0</v>
      </c>
      <c r="C124" s="111">
        <v>1.0</v>
      </c>
      <c r="D124" s="110" t="s">
        <v>227</v>
      </c>
      <c r="E124" s="111">
        <v>0.0</v>
      </c>
      <c r="F124" s="111">
        <v>0.0541</v>
      </c>
      <c r="G124" s="111">
        <v>0.021</v>
      </c>
      <c r="H124" s="114" t="s">
        <v>280</v>
      </c>
      <c r="I124" s="112">
        <f t="shared" si="1"/>
        <v>1.576190476</v>
      </c>
      <c r="J124" s="82">
        <f t="shared" si="2"/>
        <v>0.3881700555</v>
      </c>
    </row>
    <row r="125">
      <c r="A125" s="101">
        <v>44650.0</v>
      </c>
      <c r="B125" s="111">
        <v>2369.0</v>
      </c>
      <c r="C125" s="111">
        <v>2.0</v>
      </c>
      <c r="D125" s="110" t="s">
        <v>227</v>
      </c>
      <c r="E125" s="111">
        <v>1.0</v>
      </c>
      <c r="F125" s="111">
        <v>0.0616</v>
      </c>
      <c r="G125" s="111">
        <v>0.03</v>
      </c>
      <c r="H125" s="114" t="s">
        <v>280</v>
      </c>
      <c r="I125" s="112">
        <f t="shared" si="1"/>
        <v>1.053333333</v>
      </c>
      <c r="J125" s="82">
        <f t="shared" si="2"/>
        <v>0.487012987</v>
      </c>
    </row>
    <row r="126">
      <c r="A126" s="101">
        <v>44650.0</v>
      </c>
      <c r="B126" s="111">
        <v>2369.0</v>
      </c>
      <c r="C126" s="111">
        <v>2.0</v>
      </c>
      <c r="D126" s="110" t="s">
        <v>228</v>
      </c>
      <c r="E126" s="110" t="s">
        <v>58</v>
      </c>
      <c r="F126" s="111">
        <v>0.482</v>
      </c>
      <c r="G126" s="111">
        <v>0.202</v>
      </c>
      <c r="H126" s="114" t="s">
        <v>280</v>
      </c>
      <c r="I126" s="112">
        <f t="shared" si="1"/>
        <v>1.386138614</v>
      </c>
      <c r="J126" s="82">
        <f t="shared" si="2"/>
        <v>0.4190871369</v>
      </c>
    </row>
    <row r="127">
      <c r="A127" s="101">
        <v>44650.0</v>
      </c>
      <c r="B127" s="111">
        <v>2369.0</v>
      </c>
      <c r="C127" s="111">
        <v>2.0</v>
      </c>
      <c r="D127" s="110" t="s">
        <v>227</v>
      </c>
      <c r="E127" s="111">
        <v>0.0</v>
      </c>
      <c r="F127" s="111">
        <v>0.0184</v>
      </c>
      <c r="G127" s="111">
        <v>0.007</v>
      </c>
      <c r="H127" s="114" t="s">
        <v>280</v>
      </c>
      <c r="I127" s="112">
        <f t="shared" si="1"/>
        <v>1.628571429</v>
      </c>
      <c r="J127" s="82">
        <f t="shared" si="2"/>
        <v>0.3804347826</v>
      </c>
    </row>
    <row r="128">
      <c r="A128" s="101">
        <v>44650.0</v>
      </c>
      <c r="B128" s="111">
        <v>2369.0</v>
      </c>
      <c r="C128" s="111">
        <v>3.0</v>
      </c>
      <c r="D128" s="110" t="s">
        <v>227</v>
      </c>
      <c r="E128" s="111">
        <v>1.0</v>
      </c>
      <c r="F128" s="111">
        <v>0.1551</v>
      </c>
      <c r="G128" s="111">
        <v>0.068</v>
      </c>
      <c r="H128" s="114" t="s">
        <v>280</v>
      </c>
      <c r="I128" s="112">
        <f t="shared" si="1"/>
        <v>1.280882353</v>
      </c>
      <c r="J128" s="82">
        <f t="shared" si="2"/>
        <v>0.4384268214</v>
      </c>
    </row>
    <row r="129">
      <c r="A129" s="101">
        <v>44650.0</v>
      </c>
      <c r="B129" s="111">
        <v>2369.0</v>
      </c>
      <c r="C129" s="111">
        <v>3.0</v>
      </c>
      <c r="D129" s="110" t="s">
        <v>228</v>
      </c>
      <c r="E129" s="110" t="s">
        <v>58</v>
      </c>
      <c r="F129" s="111">
        <v>0.4499</v>
      </c>
      <c r="G129" s="111">
        <v>0.172</v>
      </c>
      <c r="H129" s="114" t="s">
        <v>280</v>
      </c>
      <c r="I129" s="112">
        <f t="shared" si="1"/>
        <v>1.615697674</v>
      </c>
      <c r="J129" s="82">
        <f t="shared" si="2"/>
        <v>0.3823071794</v>
      </c>
    </row>
    <row r="130">
      <c r="A130" s="101">
        <v>44650.0</v>
      </c>
      <c r="B130" s="111">
        <v>2369.0</v>
      </c>
      <c r="C130" s="111">
        <v>3.0</v>
      </c>
      <c r="D130" s="110" t="s">
        <v>227</v>
      </c>
      <c r="E130" s="111">
        <v>0.0</v>
      </c>
      <c r="F130" s="111">
        <v>0.0177</v>
      </c>
      <c r="G130" s="111">
        <v>0.006</v>
      </c>
      <c r="H130" s="114" t="s">
        <v>280</v>
      </c>
      <c r="I130" s="112">
        <f t="shared" si="1"/>
        <v>1.95</v>
      </c>
      <c r="J130" s="82">
        <f t="shared" si="2"/>
        <v>0.3389830508</v>
      </c>
    </row>
    <row r="131">
      <c r="A131" s="101">
        <v>44650.0</v>
      </c>
      <c r="B131" s="111">
        <v>2370.0</v>
      </c>
      <c r="C131" s="111">
        <v>1.0</v>
      </c>
      <c r="D131" s="110" t="s">
        <v>227</v>
      </c>
      <c r="E131" s="111">
        <v>1.0</v>
      </c>
      <c r="F131" s="111">
        <v>0.1045</v>
      </c>
      <c r="G131" s="111">
        <v>0.042</v>
      </c>
      <c r="H131" s="114" t="s">
        <v>280</v>
      </c>
      <c r="I131" s="112">
        <f t="shared" si="1"/>
        <v>1.488095238</v>
      </c>
      <c r="J131" s="82">
        <f t="shared" si="2"/>
        <v>0.4019138756</v>
      </c>
    </row>
    <row r="132">
      <c r="A132" s="101">
        <v>44650.0</v>
      </c>
      <c r="B132" s="111">
        <v>2370.0</v>
      </c>
      <c r="C132" s="111">
        <v>1.0</v>
      </c>
      <c r="D132" s="110" t="s">
        <v>228</v>
      </c>
      <c r="E132" s="110" t="s">
        <v>58</v>
      </c>
      <c r="F132" s="111">
        <v>0.3183</v>
      </c>
      <c r="G132" s="111">
        <v>0.088</v>
      </c>
      <c r="H132" s="114" t="s">
        <v>280</v>
      </c>
      <c r="I132" s="112">
        <f t="shared" si="1"/>
        <v>2.617045455</v>
      </c>
      <c r="J132" s="82">
        <f t="shared" si="2"/>
        <v>0.2764687402</v>
      </c>
    </row>
    <row r="133">
      <c r="A133" s="101">
        <v>44650.0</v>
      </c>
      <c r="B133" s="111">
        <v>2370.0</v>
      </c>
      <c r="C133" s="111">
        <v>1.0</v>
      </c>
      <c r="D133" s="110" t="s">
        <v>227</v>
      </c>
      <c r="E133" s="111">
        <v>0.0</v>
      </c>
      <c r="F133" s="111">
        <v>0.0234</v>
      </c>
      <c r="G133" s="111">
        <v>0.006</v>
      </c>
      <c r="H133" s="114" t="s">
        <v>280</v>
      </c>
      <c r="I133" s="112">
        <f t="shared" si="1"/>
        <v>2.9</v>
      </c>
      <c r="J133" s="82">
        <f t="shared" si="2"/>
        <v>0.2564102564</v>
      </c>
    </row>
    <row r="134">
      <c r="A134" s="101">
        <v>44650.0</v>
      </c>
      <c r="B134" s="111">
        <v>2370.0</v>
      </c>
      <c r="C134" s="111">
        <v>2.0</v>
      </c>
      <c r="D134" s="110" t="s">
        <v>227</v>
      </c>
      <c r="E134" s="111">
        <v>1.0</v>
      </c>
      <c r="F134" s="111">
        <v>0.0766</v>
      </c>
      <c r="G134" s="111">
        <v>0.032</v>
      </c>
      <c r="H134" s="114" t="s">
        <v>280</v>
      </c>
      <c r="I134" s="112">
        <f t="shared" si="1"/>
        <v>1.39375</v>
      </c>
      <c r="J134" s="82">
        <f t="shared" si="2"/>
        <v>0.4177545692</v>
      </c>
    </row>
    <row r="135">
      <c r="A135" s="101">
        <v>44650.0</v>
      </c>
      <c r="B135" s="111">
        <v>2370.0</v>
      </c>
      <c r="C135" s="111">
        <v>2.0</v>
      </c>
      <c r="D135" s="110" t="s">
        <v>228</v>
      </c>
      <c r="E135" s="110" t="s">
        <v>58</v>
      </c>
      <c r="F135" s="111">
        <v>0.2022</v>
      </c>
      <c r="G135" s="111">
        <v>0.057</v>
      </c>
      <c r="H135" s="114" t="s">
        <v>280</v>
      </c>
      <c r="I135" s="112">
        <f t="shared" si="1"/>
        <v>2.547368421</v>
      </c>
      <c r="J135" s="82">
        <f t="shared" si="2"/>
        <v>0.2818991098</v>
      </c>
    </row>
    <row r="136">
      <c r="A136" s="101">
        <v>44650.0</v>
      </c>
      <c r="B136" s="111">
        <v>2370.0</v>
      </c>
      <c r="C136" s="111">
        <v>2.0</v>
      </c>
      <c r="D136" s="110" t="s">
        <v>227</v>
      </c>
      <c r="E136" s="111">
        <v>0.0</v>
      </c>
      <c r="F136" s="111">
        <v>0.0588</v>
      </c>
      <c r="G136" s="111">
        <v>0.014</v>
      </c>
      <c r="H136" s="114" t="s">
        <v>280</v>
      </c>
      <c r="I136" s="112">
        <f t="shared" si="1"/>
        <v>3.2</v>
      </c>
      <c r="J136" s="82">
        <f t="shared" si="2"/>
        <v>0.2380952381</v>
      </c>
    </row>
    <row r="137">
      <c r="A137" s="101">
        <v>44650.0</v>
      </c>
      <c r="B137" s="111">
        <v>2370.0</v>
      </c>
      <c r="C137" s="111">
        <v>3.0</v>
      </c>
      <c r="D137" s="110" t="s">
        <v>227</v>
      </c>
      <c r="E137" s="111">
        <v>1.0</v>
      </c>
      <c r="F137" s="111">
        <v>0.1739</v>
      </c>
      <c r="G137" s="111">
        <v>0.072</v>
      </c>
      <c r="H137" s="114" t="s">
        <v>280</v>
      </c>
      <c r="I137" s="112">
        <f t="shared" si="1"/>
        <v>1.415277778</v>
      </c>
      <c r="J137" s="82">
        <f t="shared" si="2"/>
        <v>0.4140310523</v>
      </c>
    </row>
    <row r="138">
      <c r="A138" s="101">
        <v>44650.0</v>
      </c>
      <c r="B138" s="111">
        <v>2370.0</v>
      </c>
      <c r="C138" s="111">
        <v>3.0</v>
      </c>
      <c r="D138" s="110" t="s">
        <v>227</v>
      </c>
      <c r="E138" s="111">
        <v>0.0</v>
      </c>
      <c r="F138" s="111">
        <v>0.0306</v>
      </c>
      <c r="G138" s="111">
        <v>0.009</v>
      </c>
      <c r="H138" s="114" t="s">
        <v>280</v>
      </c>
      <c r="I138" s="112">
        <f t="shared" si="1"/>
        <v>2.4</v>
      </c>
      <c r="J138" s="82">
        <f t="shared" si="2"/>
        <v>0.2941176471</v>
      </c>
    </row>
    <row r="139">
      <c r="A139" s="101">
        <v>44650.0</v>
      </c>
      <c r="B139" s="111">
        <v>2370.0</v>
      </c>
      <c r="C139" s="111">
        <v>3.0</v>
      </c>
      <c r="D139" s="110" t="s">
        <v>228</v>
      </c>
      <c r="E139" s="110" t="s">
        <v>58</v>
      </c>
      <c r="F139" s="111">
        <v>0.5121</v>
      </c>
      <c r="G139" s="111">
        <v>0.15</v>
      </c>
      <c r="H139" s="114" t="s">
        <v>280</v>
      </c>
      <c r="I139" s="112">
        <f t="shared" si="1"/>
        <v>2.414</v>
      </c>
      <c r="J139" s="82">
        <f t="shared" si="2"/>
        <v>0.2929115407</v>
      </c>
    </row>
    <row r="140">
      <c r="A140" s="101">
        <v>44650.0</v>
      </c>
      <c r="B140" s="111">
        <v>2371.0</v>
      </c>
      <c r="C140" s="111">
        <v>1.0</v>
      </c>
      <c r="D140" s="110" t="s">
        <v>227</v>
      </c>
      <c r="E140" s="111">
        <v>1.0</v>
      </c>
      <c r="F140" s="111">
        <v>0.1912</v>
      </c>
      <c r="G140" s="111">
        <v>0.083</v>
      </c>
      <c r="H140" s="114" t="s">
        <v>280</v>
      </c>
      <c r="I140" s="112">
        <f t="shared" si="1"/>
        <v>1.303614458</v>
      </c>
      <c r="J140" s="82">
        <f t="shared" si="2"/>
        <v>0.4341004184</v>
      </c>
    </row>
    <row r="141">
      <c r="A141" s="101">
        <v>44650.0</v>
      </c>
      <c r="B141" s="111">
        <v>2371.0</v>
      </c>
      <c r="C141" s="111">
        <v>1.0</v>
      </c>
      <c r="D141" s="110" t="s">
        <v>228</v>
      </c>
      <c r="E141" s="110" t="s">
        <v>58</v>
      </c>
      <c r="F141" s="111">
        <v>0.8268</v>
      </c>
      <c r="G141" s="111">
        <v>0.236</v>
      </c>
      <c r="H141" s="114" t="s">
        <v>280</v>
      </c>
      <c r="I141" s="112">
        <f t="shared" si="1"/>
        <v>2.503389831</v>
      </c>
      <c r="J141" s="82">
        <f t="shared" si="2"/>
        <v>0.2854378326</v>
      </c>
    </row>
    <row r="142">
      <c r="A142" s="101">
        <v>44650.0</v>
      </c>
      <c r="B142" s="111">
        <v>2371.0</v>
      </c>
      <c r="C142" s="111">
        <v>1.0</v>
      </c>
      <c r="D142" s="110" t="s">
        <v>227</v>
      </c>
      <c r="E142" s="111">
        <v>0.0</v>
      </c>
      <c r="F142" s="111">
        <v>0.0681</v>
      </c>
      <c r="G142" s="111">
        <v>0.019</v>
      </c>
      <c r="H142" s="114" t="s">
        <v>280</v>
      </c>
      <c r="I142" s="112">
        <f t="shared" si="1"/>
        <v>2.584210526</v>
      </c>
      <c r="J142" s="82">
        <f t="shared" si="2"/>
        <v>0.2790014684</v>
      </c>
    </row>
    <row r="143">
      <c r="A143" s="101">
        <v>44650.0</v>
      </c>
      <c r="B143" s="111">
        <v>2371.0</v>
      </c>
      <c r="C143" s="111">
        <v>2.0</v>
      </c>
      <c r="D143" s="110" t="s">
        <v>227</v>
      </c>
      <c r="E143" s="110" t="s">
        <v>58</v>
      </c>
      <c r="F143" s="111">
        <v>0.1912</v>
      </c>
      <c r="G143" s="111">
        <v>0.09</v>
      </c>
      <c r="H143" s="114" t="s">
        <v>280</v>
      </c>
      <c r="I143" s="112">
        <f t="shared" si="1"/>
        <v>1.124444444</v>
      </c>
      <c r="J143" s="82">
        <f t="shared" si="2"/>
        <v>0.4707112971</v>
      </c>
    </row>
    <row r="144">
      <c r="A144" s="101">
        <v>44650.0</v>
      </c>
      <c r="B144" s="111">
        <v>2371.0</v>
      </c>
      <c r="C144" s="111">
        <v>2.0</v>
      </c>
      <c r="D144" s="110" t="s">
        <v>228</v>
      </c>
      <c r="E144" s="110" t="s">
        <v>58</v>
      </c>
      <c r="F144" s="111">
        <v>0.7536</v>
      </c>
      <c r="G144" s="111">
        <v>0.203</v>
      </c>
      <c r="H144" s="114" t="s">
        <v>280</v>
      </c>
      <c r="I144" s="112">
        <f t="shared" si="1"/>
        <v>2.712315271</v>
      </c>
      <c r="J144" s="82">
        <f t="shared" si="2"/>
        <v>0.269373673</v>
      </c>
    </row>
    <row r="145">
      <c r="A145" s="101">
        <v>44650.0</v>
      </c>
      <c r="B145" s="111">
        <v>2371.0</v>
      </c>
      <c r="C145" s="111">
        <v>3.0</v>
      </c>
      <c r="D145" s="110" t="s">
        <v>227</v>
      </c>
      <c r="E145" s="111">
        <v>1.0</v>
      </c>
      <c r="F145" s="111">
        <v>0.6085</v>
      </c>
      <c r="G145" s="111">
        <v>0.28</v>
      </c>
      <c r="H145" s="114" t="s">
        <v>280</v>
      </c>
      <c r="I145" s="112">
        <f t="shared" si="1"/>
        <v>1.173214286</v>
      </c>
      <c r="J145" s="82">
        <f t="shared" si="2"/>
        <v>0.4601479047</v>
      </c>
    </row>
    <row r="146">
      <c r="A146" s="101">
        <v>44650.0</v>
      </c>
      <c r="B146" s="111">
        <v>2371.0</v>
      </c>
      <c r="C146" s="111">
        <v>3.0</v>
      </c>
      <c r="D146" s="110" t="s">
        <v>227</v>
      </c>
      <c r="E146" s="111">
        <v>0.0</v>
      </c>
      <c r="F146" s="111">
        <v>0.0968</v>
      </c>
      <c r="G146" s="111">
        <v>0.028</v>
      </c>
      <c r="H146" s="114" t="s">
        <v>280</v>
      </c>
      <c r="I146" s="112">
        <f t="shared" si="1"/>
        <v>2.457142857</v>
      </c>
      <c r="J146" s="82">
        <f t="shared" si="2"/>
        <v>0.2892561983</v>
      </c>
    </row>
    <row r="147">
      <c r="A147" s="101">
        <v>44650.0</v>
      </c>
      <c r="B147" s="111">
        <v>2371.0</v>
      </c>
      <c r="C147" s="111">
        <v>3.0</v>
      </c>
      <c r="D147" s="110" t="s">
        <v>228</v>
      </c>
      <c r="E147" s="110" t="s">
        <v>58</v>
      </c>
      <c r="F147" s="111">
        <v>1.3643</v>
      </c>
      <c r="G147" s="111">
        <v>0.381</v>
      </c>
      <c r="H147" s="114" t="s">
        <v>280</v>
      </c>
      <c r="I147" s="112">
        <f t="shared" si="1"/>
        <v>2.580839895</v>
      </c>
      <c r="J147" s="82">
        <f t="shared" si="2"/>
        <v>0.2792640915</v>
      </c>
    </row>
    <row r="148">
      <c r="A148" s="101">
        <v>44650.0</v>
      </c>
      <c r="B148" s="111">
        <v>2372.0</v>
      </c>
      <c r="C148" s="111">
        <v>1.0</v>
      </c>
      <c r="D148" s="110" t="s">
        <v>227</v>
      </c>
      <c r="E148" s="111">
        <v>1.0</v>
      </c>
      <c r="F148" s="111">
        <v>0.1216</v>
      </c>
      <c r="G148" s="111">
        <v>0.055</v>
      </c>
      <c r="H148" s="114" t="s">
        <v>280</v>
      </c>
      <c r="I148" s="112">
        <f t="shared" si="1"/>
        <v>1.210909091</v>
      </c>
      <c r="J148" s="82">
        <f t="shared" si="2"/>
        <v>0.4523026316</v>
      </c>
    </row>
    <row r="149">
      <c r="A149" s="101">
        <v>44650.0</v>
      </c>
      <c r="B149" s="111">
        <v>2372.0</v>
      </c>
      <c r="C149" s="111">
        <v>1.0</v>
      </c>
      <c r="D149" s="110" t="s">
        <v>228</v>
      </c>
      <c r="E149" s="110" t="s">
        <v>58</v>
      </c>
      <c r="F149" s="111">
        <v>0.7638</v>
      </c>
      <c r="G149" s="111">
        <v>0.257</v>
      </c>
      <c r="H149" s="114" t="s">
        <v>280</v>
      </c>
      <c r="I149" s="112">
        <f t="shared" si="1"/>
        <v>1.971984436</v>
      </c>
      <c r="J149" s="82">
        <f t="shared" si="2"/>
        <v>0.3364755172</v>
      </c>
    </row>
    <row r="150">
      <c r="A150" s="101">
        <v>44650.0</v>
      </c>
      <c r="B150" s="111">
        <v>2372.0</v>
      </c>
      <c r="C150" s="111">
        <v>1.0</v>
      </c>
      <c r="D150" s="110" t="s">
        <v>227</v>
      </c>
      <c r="E150" s="111">
        <v>0.0</v>
      </c>
      <c r="F150" s="111">
        <v>0.0622</v>
      </c>
      <c r="G150" s="111">
        <v>0.019</v>
      </c>
      <c r="H150" s="114" t="s">
        <v>280</v>
      </c>
      <c r="I150" s="112">
        <f t="shared" si="1"/>
        <v>2.273684211</v>
      </c>
      <c r="J150" s="82">
        <f t="shared" si="2"/>
        <v>0.3054662379</v>
      </c>
    </row>
    <row r="151">
      <c r="A151" s="101">
        <v>44650.0</v>
      </c>
      <c r="B151" s="111">
        <v>2372.0</v>
      </c>
      <c r="C151" s="111">
        <v>2.0</v>
      </c>
      <c r="D151" s="110" t="s">
        <v>227</v>
      </c>
      <c r="E151" s="111">
        <v>1.0</v>
      </c>
      <c r="F151" s="111">
        <v>0.1145</v>
      </c>
      <c r="G151" s="111">
        <v>0.05</v>
      </c>
      <c r="H151" s="114" t="s">
        <v>280</v>
      </c>
      <c r="I151" s="112">
        <f t="shared" si="1"/>
        <v>1.29</v>
      </c>
      <c r="J151" s="82">
        <f t="shared" si="2"/>
        <v>0.4366812227</v>
      </c>
    </row>
    <row r="152">
      <c r="A152" s="101">
        <v>44650.0</v>
      </c>
      <c r="B152" s="111">
        <v>2372.0</v>
      </c>
      <c r="C152" s="111">
        <v>2.0</v>
      </c>
      <c r="D152" s="110" t="s">
        <v>228</v>
      </c>
      <c r="E152" s="110" t="s">
        <v>58</v>
      </c>
      <c r="F152" s="111">
        <v>0.8885</v>
      </c>
      <c r="G152" s="111">
        <v>0.292</v>
      </c>
      <c r="H152" s="114" t="s">
        <v>280</v>
      </c>
      <c r="I152" s="112">
        <f t="shared" si="1"/>
        <v>2.042808219</v>
      </c>
      <c r="J152" s="82">
        <f t="shared" si="2"/>
        <v>0.3286437817</v>
      </c>
    </row>
    <row r="153">
      <c r="A153" s="101">
        <v>44650.0</v>
      </c>
      <c r="B153" s="111">
        <v>2372.0</v>
      </c>
      <c r="C153" s="111">
        <v>2.0</v>
      </c>
      <c r="D153" s="110" t="s">
        <v>227</v>
      </c>
      <c r="E153" s="111">
        <v>0.0</v>
      </c>
      <c r="F153" s="111">
        <v>0.0717</v>
      </c>
      <c r="G153" s="111">
        <v>0.021</v>
      </c>
      <c r="H153" s="114" t="s">
        <v>280</v>
      </c>
      <c r="I153" s="112">
        <f t="shared" si="1"/>
        <v>2.414285714</v>
      </c>
      <c r="J153" s="82">
        <f t="shared" si="2"/>
        <v>0.2928870293</v>
      </c>
    </row>
    <row r="154">
      <c r="A154" s="101">
        <v>44650.0</v>
      </c>
      <c r="B154" s="111">
        <v>2372.0</v>
      </c>
      <c r="C154" s="111">
        <v>3.0</v>
      </c>
      <c r="D154" s="110" t="s">
        <v>227</v>
      </c>
      <c r="E154" s="111">
        <v>1.0</v>
      </c>
      <c r="F154" s="111">
        <v>0.2386</v>
      </c>
      <c r="G154" s="111">
        <v>0.1</v>
      </c>
      <c r="H154" s="114" t="s">
        <v>280</v>
      </c>
      <c r="I154" s="112">
        <f t="shared" si="1"/>
        <v>1.386</v>
      </c>
      <c r="J154" s="82">
        <f t="shared" si="2"/>
        <v>0.4191114837</v>
      </c>
    </row>
    <row r="155">
      <c r="A155" s="101">
        <v>44650.0</v>
      </c>
      <c r="B155" s="111">
        <v>2372.0</v>
      </c>
      <c r="C155" s="111">
        <v>3.0</v>
      </c>
      <c r="D155" s="110" t="s">
        <v>228</v>
      </c>
      <c r="E155" s="110" t="s">
        <v>58</v>
      </c>
      <c r="F155" s="111">
        <v>1.5595</v>
      </c>
      <c r="G155" s="111">
        <v>0.424</v>
      </c>
      <c r="H155" s="114" t="s">
        <v>280</v>
      </c>
      <c r="I155" s="112">
        <f t="shared" si="1"/>
        <v>2.678066038</v>
      </c>
      <c r="J155" s="82">
        <f t="shared" si="2"/>
        <v>0.2718820135</v>
      </c>
    </row>
    <row r="156">
      <c r="A156" s="101">
        <v>44650.0</v>
      </c>
      <c r="B156" s="111">
        <v>2372.0</v>
      </c>
      <c r="C156" s="111">
        <v>3.0</v>
      </c>
      <c r="D156" s="110" t="s">
        <v>227</v>
      </c>
      <c r="E156" s="111">
        <v>0.0</v>
      </c>
      <c r="F156" s="111">
        <v>0.192</v>
      </c>
      <c r="G156" s="111">
        <v>0.052</v>
      </c>
      <c r="H156" s="114" t="s">
        <v>280</v>
      </c>
      <c r="I156" s="112">
        <f t="shared" si="1"/>
        <v>2.692307692</v>
      </c>
      <c r="J156" s="82">
        <f t="shared" si="2"/>
        <v>0.2708333333</v>
      </c>
    </row>
    <row r="157">
      <c r="A157" s="101">
        <v>44650.0</v>
      </c>
      <c r="B157" s="111">
        <v>2375.0</v>
      </c>
      <c r="C157" s="111">
        <v>1.0</v>
      </c>
      <c r="D157" s="110" t="s">
        <v>227</v>
      </c>
      <c r="E157" s="111">
        <v>1.0</v>
      </c>
      <c r="F157" s="111">
        <v>0.0662</v>
      </c>
      <c r="G157" s="111">
        <v>0.029</v>
      </c>
      <c r="H157" s="114" t="s">
        <v>280</v>
      </c>
      <c r="I157" s="112">
        <f t="shared" si="1"/>
        <v>1.282758621</v>
      </c>
      <c r="J157" s="82">
        <f t="shared" si="2"/>
        <v>0.4380664653</v>
      </c>
    </row>
    <row r="158">
      <c r="A158" s="101">
        <v>44650.0</v>
      </c>
      <c r="B158" s="111">
        <v>2375.0</v>
      </c>
      <c r="C158" s="111">
        <v>1.0</v>
      </c>
      <c r="D158" s="110" t="s">
        <v>227</v>
      </c>
      <c r="E158" s="111">
        <v>0.0</v>
      </c>
      <c r="F158" s="111">
        <v>0.0457</v>
      </c>
      <c r="G158" s="111">
        <v>0.014</v>
      </c>
      <c r="H158" s="114" t="s">
        <v>280</v>
      </c>
      <c r="I158" s="112">
        <f t="shared" si="1"/>
        <v>2.264285714</v>
      </c>
      <c r="J158" s="82">
        <f t="shared" si="2"/>
        <v>0.306345733</v>
      </c>
    </row>
    <row r="159">
      <c r="A159" s="101">
        <v>44650.0</v>
      </c>
      <c r="B159" s="111">
        <v>2375.0</v>
      </c>
      <c r="C159" s="111">
        <v>1.0</v>
      </c>
      <c r="D159" s="110" t="s">
        <v>228</v>
      </c>
      <c r="E159" s="110" t="s">
        <v>58</v>
      </c>
      <c r="F159" s="111">
        <v>0.4871</v>
      </c>
      <c r="G159" s="111">
        <v>0.145</v>
      </c>
      <c r="H159" s="114" t="s">
        <v>280</v>
      </c>
      <c r="I159" s="112">
        <f t="shared" si="1"/>
        <v>2.359310345</v>
      </c>
      <c r="J159" s="82">
        <f t="shared" si="2"/>
        <v>0.2976801478</v>
      </c>
    </row>
    <row r="160">
      <c r="A160" s="101">
        <v>44650.0</v>
      </c>
      <c r="B160" s="111">
        <v>2375.0</v>
      </c>
      <c r="C160" s="111">
        <v>2.0</v>
      </c>
      <c r="D160" s="110" t="s">
        <v>227</v>
      </c>
      <c r="E160" s="111">
        <v>1.0</v>
      </c>
      <c r="F160" s="111">
        <v>0.1027</v>
      </c>
      <c r="G160" s="111">
        <v>0.045</v>
      </c>
      <c r="H160" s="114" t="s">
        <v>280</v>
      </c>
      <c r="I160" s="112">
        <f t="shared" si="1"/>
        <v>1.282222222</v>
      </c>
      <c r="J160" s="82">
        <f t="shared" si="2"/>
        <v>0.4381694255</v>
      </c>
    </row>
    <row r="161">
      <c r="A161" s="101">
        <v>44650.0</v>
      </c>
      <c r="B161" s="111">
        <v>2375.0</v>
      </c>
      <c r="C161" s="111">
        <v>2.0</v>
      </c>
      <c r="D161" s="110" t="s">
        <v>227</v>
      </c>
      <c r="E161" s="111">
        <v>0.0</v>
      </c>
      <c r="F161" s="111">
        <v>0.0451</v>
      </c>
      <c r="G161" s="111">
        <v>0.014</v>
      </c>
      <c r="H161" s="114" t="s">
        <v>280</v>
      </c>
      <c r="I161" s="112">
        <f t="shared" si="1"/>
        <v>2.221428571</v>
      </c>
      <c r="J161" s="82">
        <f t="shared" si="2"/>
        <v>0.310421286</v>
      </c>
    </row>
    <row r="162">
      <c r="A162" s="101">
        <v>44650.0</v>
      </c>
      <c r="B162" s="111">
        <v>2375.0</v>
      </c>
      <c r="C162" s="111">
        <v>2.0</v>
      </c>
      <c r="D162" s="110" t="s">
        <v>228</v>
      </c>
      <c r="E162" s="110" t="s">
        <v>58</v>
      </c>
      <c r="F162" s="111">
        <v>0.4551</v>
      </c>
      <c r="G162" s="111">
        <v>0.132</v>
      </c>
      <c r="H162" s="114" t="s">
        <v>280</v>
      </c>
      <c r="I162" s="112">
        <f t="shared" si="1"/>
        <v>2.447727273</v>
      </c>
      <c r="J162" s="82">
        <f t="shared" si="2"/>
        <v>0.2900461437</v>
      </c>
    </row>
    <row r="163">
      <c r="A163" s="101">
        <v>44650.0</v>
      </c>
      <c r="B163" s="111">
        <v>2375.0</v>
      </c>
      <c r="C163" s="111">
        <v>3.0</v>
      </c>
      <c r="D163" s="110" t="s">
        <v>227</v>
      </c>
      <c r="E163" s="110" t="s">
        <v>58</v>
      </c>
      <c r="F163" s="111">
        <v>0.0748</v>
      </c>
      <c r="G163" s="111">
        <v>0.025</v>
      </c>
      <c r="H163" s="114" t="s">
        <v>280</v>
      </c>
      <c r="I163" s="112">
        <f t="shared" si="1"/>
        <v>1.992</v>
      </c>
      <c r="J163" s="82">
        <f t="shared" si="2"/>
        <v>0.3342245989</v>
      </c>
    </row>
    <row r="164">
      <c r="A164" s="101">
        <v>44650.0</v>
      </c>
      <c r="B164" s="111">
        <v>2375.0</v>
      </c>
      <c r="C164" s="111">
        <v>3.0</v>
      </c>
      <c r="D164" s="110" t="s">
        <v>228</v>
      </c>
      <c r="E164" s="110" t="s">
        <v>58</v>
      </c>
      <c r="F164" s="111">
        <v>0.7933</v>
      </c>
      <c r="G164" s="111">
        <v>0.235</v>
      </c>
      <c r="H164" s="114" t="s">
        <v>280</v>
      </c>
      <c r="I164" s="112">
        <f t="shared" si="1"/>
        <v>2.375744681</v>
      </c>
      <c r="J164" s="82">
        <f t="shared" si="2"/>
        <v>0.2962309341</v>
      </c>
    </row>
    <row r="165">
      <c r="A165" s="101">
        <v>44650.0</v>
      </c>
      <c r="B165" s="111">
        <v>2376.0</v>
      </c>
      <c r="C165" s="111">
        <v>1.0</v>
      </c>
      <c r="D165" s="110" t="s">
        <v>228</v>
      </c>
      <c r="E165" s="110" t="s">
        <v>58</v>
      </c>
      <c r="F165" s="111">
        <v>3.3447</v>
      </c>
      <c r="G165" s="111">
        <v>1.933</v>
      </c>
      <c r="H165" s="114" t="s">
        <v>280</v>
      </c>
      <c r="I165" s="112">
        <f t="shared" si="1"/>
        <v>0.7303155717</v>
      </c>
      <c r="J165" s="82">
        <f t="shared" si="2"/>
        <v>0.5779292612</v>
      </c>
    </row>
    <row r="166">
      <c r="A166" s="101">
        <v>44650.0</v>
      </c>
      <c r="B166" s="111">
        <v>2376.0</v>
      </c>
      <c r="C166" s="111">
        <v>1.0</v>
      </c>
      <c r="D166" s="110" t="s">
        <v>227</v>
      </c>
      <c r="E166" s="110" t="s">
        <v>58</v>
      </c>
      <c r="F166" s="111">
        <v>0.3454</v>
      </c>
      <c r="G166" s="111">
        <v>0.183</v>
      </c>
      <c r="H166" s="114" t="s">
        <v>280</v>
      </c>
      <c r="I166" s="112">
        <f t="shared" si="1"/>
        <v>0.887431694</v>
      </c>
      <c r="J166" s="82">
        <f t="shared" si="2"/>
        <v>0.529820498</v>
      </c>
    </row>
    <row r="167">
      <c r="A167" s="101">
        <v>44650.0</v>
      </c>
      <c r="B167" s="111">
        <v>2376.0</v>
      </c>
      <c r="C167" s="111">
        <v>2.0</v>
      </c>
      <c r="D167" s="110" t="s">
        <v>228</v>
      </c>
      <c r="E167" s="110" t="s">
        <v>58</v>
      </c>
      <c r="F167" s="111">
        <v>0.6154</v>
      </c>
      <c r="G167" s="111">
        <v>0.359</v>
      </c>
      <c r="H167" s="114" t="s">
        <v>280</v>
      </c>
      <c r="I167" s="112">
        <f t="shared" si="1"/>
        <v>0.7142061281</v>
      </c>
      <c r="J167" s="82">
        <f t="shared" si="2"/>
        <v>0.583360416</v>
      </c>
    </row>
    <row r="168">
      <c r="A168" s="101">
        <v>44650.0</v>
      </c>
      <c r="B168" s="111">
        <v>2376.0</v>
      </c>
      <c r="C168" s="111">
        <v>2.0</v>
      </c>
      <c r="D168" s="110" t="s">
        <v>227</v>
      </c>
      <c r="E168" s="110" t="s">
        <v>58</v>
      </c>
      <c r="F168" s="111">
        <v>0.1322</v>
      </c>
      <c r="G168" s="111">
        <v>0.07</v>
      </c>
      <c r="H168" s="114" t="s">
        <v>280</v>
      </c>
      <c r="I168" s="112">
        <f t="shared" si="1"/>
        <v>0.8885714286</v>
      </c>
      <c r="J168" s="82">
        <f t="shared" si="2"/>
        <v>0.5295007564</v>
      </c>
    </row>
    <row r="169">
      <c r="A169" s="101">
        <v>44650.0</v>
      </c>
      <c r="B169" s="111">
        <v>2376.0</v>
      </c>
      <c r="C169" s="111">
        <v>3.0</v>
      </c>
      <c r="D169" s="110" t="s">
        <v>228</v>
      </c>
      <c r="E169" s="110" t="s">
        <v>58</v>
      </c>
      <c r="F169" s="111">
        <v>1.4186</v>
      </c>
      <c r="G169" s="111">
        <v>0.807</v>
      </c>
      <c r="H169" s="114" t="s">
        <v>280</v>
      </c>
      <c r="I169" s="112">
        <f t="shared" si="1"/>
        <v>0.7578686493</v>
      </c>
      <c r="J169" s="82">
        <f t="shared" si="2"/>
        <v>0.5688707176</v>
      </c>
    </row>
    <row r="170">
      <c r="A170" s="101">
        <v>44650.0</v>
      </c>
      <c r="B170" s="111">
        <v>2376.0</v>
      </c>
      <c r="C170" s="111">
        <v>3.0</v>
      </c>
      <c r="D170" s="110" t="s">
        <v>227</v>
      </c>
      <c r="E170" s="110" t="s">
        <v>58</v>
      </c>
      <c r="F170" s="111">
        <v>0.2343</v>
      </c>
      <c r="G170" s="111">
        <v>0.121</v>
      </c>
      <c r="H170" s="114" t="s">
        <v>280</v>
      </c>
      <c r="I170" s="112">
        <f t="shared" si="1"/>
        <v>0.9363636364</v>
      </c>
      <c r="J170" s="82">
        <f t="shared" si="2"/>
        <v>0.5164319249</v>
      </c>
    </row>
    <row r="171">
      <c r="A171" s="101">
        <v>44650.0</v>
      </c>
      <c r="B171" s="111">
        <v>2377.0</v>
      </c>
      <c r="C171" s="111">
        <v>1.0</v>
      </c>
      <c r="D171" s="110" t="s">
        <v>228</v>
      </c>
      <c r="E171" s="110" t="s">
        <v>58</v>
      </c>
      <c r="F171" s="111">
        <v>0.9263</v>
      </c>
      <c r="G171" s="111">
        <v>0.523</v>
      </c>
      <c r="H171" s="114" t="s">
        <v>280</v>
      </c>
      <c r="I171" s="112">
        <f t="shared" si="1"/>
        <v>0.7711281071</v>
      </c>
      <c r="J171" s="82">
        <f t="shared" si="2"/>
        <v>0.5646118968</v>
      </c>
    </row>
    <row r="172">
      <c r="A172" s="101">
        <v>44650.0</v>
      </c>
      <c r="B172" s="111">
        <v>2377.0</v>
      </c>
      <c r="C172" s="111">
        <v>1.0</v>
      </c>
      <c r="D172" s="110" t="s">
        <v>227</v>
      </c>
      <c r="E172" s="110" t="s">
        <v>58</v>
      </c>
      <c r="F172" s="111">
        <v>0.4339</v>
      </c>
      <c r="G172" s="111">
        <v>0.193</v>
      </c>
      <c r="H172" s="114" t="s">
        <v>280</v>
      </c>
      <c r="I172" s="112">
        <f t="shared" si="1"/>
        <v>1.248186528</v>
      </c>
      <c r="J172" s="82">
        <f t="shared" si="2"/>
        <v>0.44480295</v>
      </c>
    </row>
    <row r="173">
      <c r="A173" s="101">
        <v>44650.0</v>
      </c>
      <c r="B173" s="111">
        <v>2377.0</v>
      </c>
      <c r="C173" s="111">
        <v>2.0</v>
      </c>
      <c r="D173" s="110" t="s">
        <v>228</v>
      </c>
      <c r="E173" s="110" t="s">
        <v>58</v>
      </c>
      <c r="F173" s="111">
        <v>0.6756</v>
      </c>
      <c r="G173" s="111">
        <v>0.392</v>
      </c>
      <c r="H173" s="114" t="s">
        <v>280</v>
      </c>
      <c r="I173" s="112">
        <f t="shared" si="1"/>
        <v>0.7234693878</v>
      </c>
      <c r="J173" s="82">
        <f t="shared" si="2"/>
        <v>0.5802249852</v>
      </c>
    </row>
    <row r="174">
      <c r="A174" s="101">
        <v>44650.0</v>
      </c>
      <c r="B174" s="111">
        <v>2377.0</v>
      </c>
      <c r="C174" s="111">
        <v>2.0</v>
      </c>
      <c r="D174" s="110" t="s">
        <v>227</v>
      </c>
      <c r="E174" s="110" t="s">
        <v>58</v>
      </c>
      <c r="F174" s="111">
        <v>0.205</v>
      </c>
      <c r="G174" s="111">
        <v>0.102</v>
      </c>
      <c r="H174" s="114" t="s">
        <v>280</v>
      </c>
      <c r="I174" s="112">
        <f t="shared" si="1"/>
        <v>1.009803922</v>
      </c>
      <c r="J174" s="82">
        <f t="shared" si="2"/>
        <v>0.4975609756</v>
      </c>
    </row>
    <row r="175">
      <c r="A175" s="101">
        <v>44650.0</v>
      </c>
      <c r="B175" s="111">
        <v>2377.0</v>
      </c>
      <c r="C175" s="111">
        <v>3.0</v>
      </c>
      <c r="D175" s="110" t="s">
        <v>228</v>
      </c>
      <c r="E175" s="110" t="s">
        <v>58</v>
      </c>
      <c r="F175" s="111">
        <v>1.7253</v>
      </c>
      <c r="G175" s="111">
        <v>0.991</v>
      </c>
      <c r="H175" s="114" t="s">
        <v>280</v>
      </c>
      <c r="I175" s="112">
        <f t="shared" si="1"/>
        <v>0.7409687185</v>
      </c>
      <c r="J175" s="82">
        <f t="shared" si="2"/>
        <v>0.5743928592</v>
      </c>
    </row>
    <row r="176">
      <c r="A176" s="101">
        <v>44650.0</v>
      </c>
      <c r="B176" s="111">
        <v>2377.0</v>
      </c>
      <c r="C176" s="111">
        <v>3.0</v>
      </c>
      <c r="D176" s="110" t="s">
        <v>227</v>
      </c>
      <c r="E176" s="110" t="s">
        <v>58</v>
      </c>
      <c r="F176" s="111">
        <v>0.439</v>
      </c>
      <c r="G176" s="111">
        <v>0.226</v>
      </c>
      <c r="H176" s="114" t="s">
        <v>280</v>
      </c>
      <c r="I176" s="112">
        <f t="shared" si="1"/>
        <v>0.9424778761</v>
      </c>
      <c r="J176" s="82">
        <f t="shared" si="2"/>
        <v>0.5148063781</v>
      </c>
    </row>
    <row r="177">
      <c r="A177" s="101">
        <v>44650.0</v>
      </c>
      <c r="B177" s="111">
        <v>2378.0</v>
      </c>
      <c r="C177" s="111">
        <v>1.0</v>
      </c>
      <c r="D177" s="110" t="s">
        <v>227</v>
      </c>
      <c r="E177" s="111">
        <v>1.0</v>
      </c>
      <c r="F177" s="111">
        <v>0.3643</v>
      </c>
      <c r="G177" s="111">
        <v>0.173</v>
      </c>
      <c r="H177" s="114" t="s">
        <v>280</v>
      </c>
      <c r="I177" s="112">
        <f t="shared" si="1"/>
        <v>1.105780347</v>
      </c>
      <c r="J177" s="82">
        <f t="shared" si="2"/>
        <v>0.4748833379</v>
      </c>
    </row>
    <row r="178">
      <c r="A178" s="101">
        <v>44650.0</v>
      </c>
      <c r="B178" s="111">
        <v>2378.0</v>
      </c>
      <c r="C178" s="111">
        <v>1.0</v>
      </c>
      <c r="D178" s="110" t="s">
        <v>228</v>
      </c>
      <c r="E178" s="110" t="s">
        <v>58</v>
      </c>
      <c r="F178" s="111">
        <v>0.9152</v>
      </c>
      <c r="G178" s="111">
        <v>0.417</v>
      </c>
      <c r="H178" s="114" t="s">
        <v>280</v>
      </c>
      <c r="I178" s="112">
        <f t="shared" si="1"/>
        <v>1.194724221</v>
      </c>
      <c r="J178" s="82">
        <f t="shared" si="2"/>
        <v>0.4556381119</v>
      </c>
    </row>
    <row r="179">
      <c r="A179" s="101">
        <v>44650.0</v>
      </c>
      <c r="B179" s="111">
        <v>2378.0</v>
      </c>
      <c r="C179" s="111">
        <v>1.0</v>
      </c>
      <c r="D179" s="110" t="s">
        <v>227</v>
      </c>
      <c r="E179" s="111">
        <v>0.0</v>
      </c>
      <c r="F179" s="111">
        <v>0.157</v>
      </c>
      <c r="G179" s="111">
        <v>0.063</v>
      </c>
      <c r="H179" s="114" t="s">
        <v>280</v>
      </c>
      <c r="I179" s="112">
        <f t="shared" si="1"/>
        <v>1.492063492</v>
      </c>
      <c r="J179" s="82">
        <f t="shared" si="2"/>
        <v>0.4012738854</v>
      </c>
    </row>
    <row r="180">
      <c r="A180" s="101">
        <v>44650.0</v>
      </c>
      <c r="B180" s="111">
        <v>2378.0</v>
      </c>
      <c r="C180" s="111">
        <v>2.0</v>
      </c>
      <c r="D180" s="110" t="s">
        <v>228</v>
      </c>
      <c r="E180" s="110" t="s">
        <v>58</v>
      </c>
      <c r="F180" s="111">
        <v>1.1207</v>
      </c>
      <c r="G180" s="111">
        <v>0.525</v>
      </c>
      <c r="H180" s="114" t="s">
        <v>280</v>
      </c>
      <c r="I180" s="112">
        <f t="shared" si="1"/>
        <v>1.134666667</v>
      </c>
      <c r="J180" s="82">
        <f t="shared" si="2"/>
        <v>0.4684572142</v>
      </c>
    </row>
    <row r="181">
      <c r="A181" s="101">
        <v>44650.0</v>
      </c>
      <c r="B181" s="111">
        <v>2378.0</v>
      </c>
      <c r="C181" s="111">
        <v>2.0</v>
      </c>
      <c r="D181" s="110" t="s">
        <v>227</v>
      </c>
      <c r="E181" s="111">
        <v>1.0</v>
      </c>
      <c r="F181" s="111">
        <v>0.1451</v>
      </c>
      <c r="G181" s="111">
        <v>0.063</v>
      </c>
      <c r="H181" s="114" t="s">
        <v>280</v>
      </c>
      <c r="I181" s="112">
        <f t="shared" si="1"/>
        <v>1.303174603</v>
      </c>
      <c r="J181" s="82">
        <f t="shared" si="2"/>
        <v>0.4341833218</v>
      </c>
    </row>
    <row r="182">
      <c r="A182" s="101">
        <v>44650.0</v>
      </c>
      <c r="B182" s="111">
        <v>2378.0</v>
      </c>
      <c r="C182" s="111">
        <v>2.0</v>
      </c>
      <c r="D182" s="110" t="s">
        <v>227</v>
      </c>
      <c r="E182" s="111">
        <v>0.0</v>
      </c>
      <c r="F182" s="111">
        <v>0.3245</v>
      </c>
      <c r="G182" s="111">
        <v>0.127</v>
      </c>
      <c r="H182" s="114" t="s">
        <v>280</v>
      </c>
      <c r="I182" s="112">
        <f t="shared" si="1"/>
        <v>1.55511811</v>
      </c>
      <c r="J182" s="82">
        <f t="shared" si="2"/>
        <v>0.3913713405</v>
      </c>
    </row>
    <row r="183">
      <c r="A183" s="101">
        <v>44650.0</v>
      </c>
      <c r="B183" s="111">
        <v>2378.0</v>
      </c>
      <c r="C183" s="111">
        <v>3.0</v>
      </c>
      <c r="D183" s="110" t="s">
        <v>228</v>
      </c>
      <c r="E183" s="110" t="s">
        <v>58</v>
      </c>
      <c r="F183" s="111">
        <v>0.273</v>
      </c>
      <c r="G183" s="111">
        <v>0.126</v>
      </c>
      <c r="H183" s="114" t="s">
        <v>280</v>
      </c>
      <c r="I183" s="112">
        <f t="shared" si="1"/>
        <v>1.166666667</v>
      </c>
      <c r="J183" s="82">
        <f t="shared" si="2"/>
        <v>0.4615384615</v>
      </c>
    </row>
    <row r="184">
      <c r="A184" s="101">
        <v>44650.0</v>
      </c>
      <c r="B184" s="111">
        <v>2378.0</v>
      </c>
      <c r="C184" s="111">
        <v>3.0</v>
      </c>
      <c r="D184" s="110" t="s">
        <v>227</v>
      </c>
      <c r="E184" s="111">
        <v>1.0</v>
      </c>
      <c r="F184" s="111">
        <v>0.3135</v>
      </c>
      <c r="G184" s="111">
        <v>0.141</v>
      </c>
      <c r="H184" s="114" t="s">
        <v>280</v>
      </c>
      <c r="I184" s="112">
        <f t="shared" si="1"/>
        <v>1.223404255</v>
      </c>
      <c r="J184" s="82">
        <f t="shared" si="2"/>
        <v>0.4497607656</v>
      </c>
    </row>
    <row r="185">
      <c r="A185" s="101">
        <v>44650.0</v>
      </c>
      <c r="B185" s="111">
        <v>2378.0</v>
      </c>
      <c r="C185" s="111">
        <v>3.0</v>
      </c>
      <c r="D185" s="110" t="s">
        <v>227</v>
      </c>
      <c r="E185" s="111">
        <v>0.0</v>
      </c>
      <c r="F185" s="111">
        <v>0.043</v>
      </c>
      <c r="G185" s="111">
        <v>0.015</v>
      </c>
      <c r="H185" s="114" t="s">
        <v>280</v>
      </c>
      <c r="I185" s="112">
        <f t="shared" si="1"/>
        <v>1.866666667</v>
      </c>
      <c r="J185" s="82">
        <f t="shared" si="2"/>
        <v>0.3488372093</v>
      </c>
    </row>
    <row r="186">
      <c r="A186" s="101">
        <v>44650.0</v>
      </c>
      <c r="B186" s="111">
        <v>2379.0</v>
      </c>
      <c r="C186" s="111">
        <v>1.0</v>
      </c>
      <c r="D186" s="110" t="s">
        <v>227</v>
      </c>
      <c r="E186" s="111">
        <v>1.0</v>
      </c>
      <c r="F186" s="111">
        <v>0.1385</v>
      </c>
      <c r="G186" s="111">
        <v>0.069</v>
      </c>
      <c r="H186" s="114" t="s">
        <v>280</v>
      </c>
      <c r="I186" s="112">
        <f t="shared" si="1"/>
        <v>1.007246377</v>
      </c>
      <c r="J186" s="82">
        <f t="shared" si="2"/>
        <v>0.4981949458</v>
      </c>
    </row>
    <row r="187">
      <c r="A187" s="101">
        <v>44650.0</v>
      </c>
      <c r="B187" s="111">
        <v>2379.0</v>
      </c>
      <c r="C187" s="111">
        <v>1.0</v>
      </c>
      <c r="D187" s="110" t="s">
        <v>228</v>
      </c>
      <c r="E187" s="110" t="s">
        <v>58</v>
      </c>
      <c r="F187" s="111">
        <v>0.2175</v>
      </c>
      <c r="G187" s="111">
        <v>0.101</v>
      </c>
      <c r="H187" s="114" t="s">
        <v>280</v>
      </c>
      <c r="I187" s="112">
        <f t="shared" si="1"/>
        <v>1.153465347</v>
      </c>
      <c r="J187" s="82">
        <f t="shared" si="2"/>
        <v>0.4643678161</v>
      </c>
    </row>
    <row r="188">
      <c r="A188" s="101">
        <v>44650.0</v>
      </c>
      <c r="B188" s="111">
        <v>2379.0</v>
      </c>
      <c r="C188" s="111">
        <v>1.0</v>
      </c>
      <c r="D188" s="110" t="s">
        <v>227</v>
      </c>
      <c r="E188" s="111">
        <v>0.0</v>
      </c>
      <c r="F188" s="111">
        <v>0.0181</v>
      </c>
      <c r="G188" s="111">
        <v>0.007</v>
      </c>
      <c r="H188" s="114" t="s">
        <v>280</v>
      </c>
      <c r="I188" s="112">
        <f t="shared" si="1"/>
        <v>1.585714286</v>
      </c>
      <c r="J188" s="82">
        <f t="shared" si="2"/>
        <v>0.3867403315</v>
      </c>
    </row>
    <row r="189">
      <c r="A189" s="101">
        <v>44650.0</v>
      </c>
      <c r="B189" s="111">
        <v>2379.0</v>
      </c>
      <c r="C189" s="111">
        <v>2.0</v>
      </c>
      <c r="D189" s="110" t="s">
        <v>227</v>
      </c>
      <c r="E189" s="111">
        <v>1.0</v>
      </c>
      <c r="F189" s="111">
        <v>0.2988</v>
      </c>
      <c r="G189" s="111">
        <v>0.146</v>
      </c>
      <c r="H189" s="114" t="s">
        <v>280</v>
      </c>
      <c r="I189" s="112">
        <f t="shared" si="1"/>
        <v>1.046575342</v>
      </c>
      <c r="J189" s="82">
        <f t="shared" si="2"/>
        <v>0.4886211513</v>
      </c>
    </row>
    <row r="190">
      <c r="A190" s="101">
        <v>44650.0</v>
      </c>
      <c r="B190" s="111">
        <v>2379.0</v>
      </c>
      <c r="C190" s="111">
        <v>2.0</v>
      </c>
      <c r="D190" s="110" t="s">
        <v>228</v>
      </c>
      <c r="E190" s="110" t="s">
        <v>58</v>
      </c>
      <c r="F190" s="111">
        <v>0.4687</v>
      </c>
      <c r="G190" s="111">
        <v>0.212</v>
      </c>
      <c r="H190" s="114" t="s">
        <v>280</v>
      </c>
      <c r="I190" s="112">
        <f t="shared" si="1"/>
        <v>1.210849057</v>
      </c>
      <c r="J190" s="82">
        <f t="shared" si="2"/>
        <v>0.4523149136</v>
      </c>
    </row>
    <row r="191">
      <c r="A191" s="101">
        <v>44650.0</v>
      </c>
      <c r="B191" s="111">
        <v>2379.0</v>
      </c>
      <c r="C191" s="111">
        <v>2.0</v>
      </c>
      <c r="D191" s="110" t="s">
        <v>227</v>
      </c>
      <c r="E191" s="111">
        <v>0.0</v>
      </c>
      <c r="F191" s="111">
        <v>0.0257</v>
      </c>
      <c r="G191" s="111">
        <v>0.01</v>
      </c>
      <c r="H191" s="114" t="s">
        <v>280</v>
      </c>
      <c r="I191" s="112">
        <f t="shared" si="1"/>
        <v>1.57</v>
      </c>
      <c r="J191" s="82">
        <f t="shared" si="2"/>
        <v>0.3891050584</v>
      </c>
    </row>
    <row r="192">
      <c r="A192" s="101">
        <v>44650.0</v>
      </c>
      <c r="B192" s="111">
        <v>2379.0</v>
      </c>
      <c r="C192" s="111">
        <v>3.0</v>
      </c>
      <c r="D192" s="110" t="s">
        <v>227</v>
      </c>
      <c r="E192" s="111">
        <v>1.0</v>
      </c>
      <c r="F192" s="111">
        <v>0.2668</v>
      </c>
      <c r="G192" s="111">
        <v>0.126</v>
      </c>
      <c r="H192" s="114" t="s">
        <v>280</v>
      </c>
      <c r="I192" s="112">
        <f t="shared" si="1"/>
        <v>1.117460317</v>
      </c>
      <c r="J192" s="82">
        <f t="shared" si="2"/>
        <v>0.4722638681</v>
      </c>
    </row>
    <row r="193">
      <c r="A193" s="101">
        <v>44650.0</v>
      </c>
      <c r="B193" s="111">
        <v>2379.0</v>
      </c>
      <c r="C193" s="111">
        <v>3.0</v>
      </c>
      <c r="D193" s="110" t="s">
        <v>228</v>
      </c>
      <c r="E193" s="110" t="s">
        <v>58</v>
      </c>
      <c r="F193" s="111">
        <v>0.5076</v>
      </c>
      <c r="G193" s="111">
        <v>0.23</v>
      </c>
      <c r="H193" s="114" t="s">
        <v>280</v>
      </c>
      <c r="I193" s="112">
        <f t="shared" si="1"/>
        <v>1.206956522</v>
      </c>
      <c r="J193" s="82">
        <f t="shared" si="2"/>
        <v>0.4531126872</v>
      </c>
    </row>
    <row r="194">
      <c r="A194" s="101">
        <v>44650.0</v>
      </c>
      <c r="B194" s="111">
        <v>2379.0</v>
      </c>
      <c r="C194" s="111">
        <v>3.0</v>
      </c>
      <c r="D194" s="110" t="s">
        <v>227</v>
      </c>
      <c r="E194" s="111">
        <v>0.0</v>
      </c>
      <c r="F194" s="111">
        <v>0.0279</v>
      </c>
      <c r="G194" s="111">
        <v>0.011</v>
      </c>
      <c r="H194" s="114" t="s">
        <v>280</v>
      </c>
      <c r="I194" s="112">
        <f t="shared" si="1"/>
        <v>1.536363636</v>
      </c>
      <c r="J194" s="82">
        <f t="shared" si="2"/>
        <v>0.394265233</v>
      </c>
    </row>
    <row r="195">
      <c r="A195" s="101">
        <v>44650.0</v>
      </c>
      <c r="B195" s="111">
        <v>2380.0</v>
      </c>
      <c r="C195" s="111">
        <v>1.0</v>
      </c>
      <c r="D195" s="110" t="s">
        <v>228</v>
      </c>
      <c r="E195" s="110" t="s">
        <v>58</v>
      </c>
      <c r="F195" s="111">
        <v>0.7421</v>
      </c>
      <c r="G195" s="111">
        <v>0.43</v>
      </c>
      <c r="H195" s="114" t="s">
        <v>280</v>
      </c>
      <c r="I195" s="112">
        <f t="shared" si="1"/>
        <v>0.7258139535</v>
      </c>
      <c r="J195" s="82">
        <f t="shared" si="2"/>
        <v>0.5794367336</v>
      </c>
    </row>
    <row r="196">
      <c r="A196" s="101">
        <v>44650.0</v>
      </c>
      <c r="B196" s="111">
        <v>2380.0</v>
      </c>
      <c r="C196" s="111">
        <v>1.0</v>
      </c>
      <c r="D196" s="110" t="s">
        <v>227</v>
      </c>
      <c r="E196" s="110" t="s">
        <v>58</v>
      </c>
      <c r="F196" s="111">
        <v>0.2038</v>
      </c>
      <c r="G196" s="111">
        <v>0.109</v>
      </c>
      <c r="H196" s="114" t="s">
        <v>280</v>
      </c>
      <c r="I196" s="112">
        <f t="shared" si="1"/>
        <v>0.8697247706</v>
      </c>
      <c r="J196" s="82">
        <f t="shared" si="2"/>
        <v>0.5348380765</v>
      </c>
    </row>
    <row r="197">
      <c r="A197" s="101">
        <v>44650.0</v>
      </c>
      <c r="B197" s="111">
        <v>2380.0</v>
      </c>
      <c r="C197" s="111">
        <v>2.0</v>
      </c>
      <c r="D197" s="110" t="s">
        <v>228</v>
      </c>
      <c r="E197" s="110" t="s">
        <v>58</v>
      </c>
      <c r="F197" s="111">
        <v>2.6938</v>
      </c>
      <c r="G197" s="111">
        <v>1.56</v>
      </c>
      <c r="H197" s="114" t="s">
        <v>280</v>
      </c>
      <c r="I197" s="112">
        <f t="shared" si="1"/>
        <v>0.7267948718</v>
      </c>
      <c r="J197" s="82">
        <f t="shared" si="2"/>
        <v>0.5791075804</v>
      </c>
    </row>
    <row r="198">
      <c r="A198" s="101">
        <v>44650.0</v>
      </c>
      <c r="B198" s="111">
        <v>2380.0</v>
      </c>
      <c r="C198" s="111">
        <v>2.0</v>
      </c>
      <c r="D198" s="110" t="s">
        <v>227</v>
      </c>
      <c r="E198" s="110" t="s">
        <v>58</v>
      </c>
      <c r="F198" s="111">
        <v>0.7461</v>
      </c>
      <c r="G198" s="111">
        <v>0.392</v>
      </c>
      <c r="H198" s="114" t="s">
        <v>280</v>
      </c>
      <c r="I198" s="112">
        <f t="shared" si="1"/>
        <v>0.9033163265</v>
      </c>
      <c r="J198" s="82">
        <f t="shared" si="2"/>
        <v>0.5253987401</v>
      </c>
    </row>
    <row r="199">
      <c r="A199" s="101">
        <v>44650.0</v>
      </c>
      <c r="B199" s="111">
        <v>2380.0</v>
      </c>
      <c r="C199" s="111">
        <v>3.0</v>
      </c>
      <c r="D199" s="110" t="s">
        <v>228</v>
      </c>
      <c r="E199" s="110" t="s">
        <v>58</v>
      </c>
      <c r="F199" s="111">
        <v>2.1783</v>
      </c>
      <c r="G199" s="111">
        <v>1.252</v>
      </c>
      <c r="H199" s="114" t="s">
        <v>280</v>
      </c>
      <c r="I199" s="112">
        <f t="shared" si="1"/>
        <v>0.73985623</v>
      </c>
      <c r="J199" s="82">
        <f t="shared" si="2"/>
        <v>0.574760134</v>
      </c>
    </row>
    <row r="200">
      <c r="A200" s="101">
        <v>44650.0</v>
      </c>
      <c r="B200" s="111">
        <v>2380.0</v>
      </c>
      <c r="C200" s="111">
        <v>3.0</v>
      </c>
      <c r="D200" s="110" t="s">
        <v>227</v>
      </c>
      <c r="E200" s="111">
        <v>1.0</v>
      </c>
      <c r="F200" s="111">
        <v>0.5144</v>
      </c>
      <c r="G200" s="111">
        <v>0.265</v>
      </c>
      <c r="H200" s="114" t="s">
        <v>280</v>
      </c>
      <c r="I200" s="112">
        <f t="shared" si="1"/>
        <v>0.9411320755</v>
      </c>
      <c r="J200" s="82">
        <f t="shared" si="2"/>
        <v>0.515163297</v>
      </c>
    </row>
    <row r="201">
      <c r="A201" s="101">
        <v>44662.0</v>
      </c>
      <c r="B201" s="111">
        <v>2085.0</v>
      </c>
      <c r="C201" s="111">
        <v>1.0</v>
      </c>
      <c r="D201" s="110" t="s">
        <v>227</v>
      </c>
      <c r="E201" s="111">
        <v>1.0</v>
      </c>
      <c r="F201" s="111">
        <v>0.6453</v>
      </c>
      <c r="G201" s="111">
        <v>0.321</v>
      </c>
      <c r="H201" s="110" t="s">
        <v>276</v>
      </c>
      <c r="I201" s="112">
        <f t="shared" si="1"/>
        <v>1.010280374</v>
      </c>
      <c r="J201" s="82">
        <f t="shared" si="2"/>
        <v>0.4974430497</v>
      </c>
    </row>
    <row r="202">
      <c r="A202" s="101">
        <v>44662.0</v>
      </c>
      <c r="B202" s="111">
        <v>2085.0</v>
      </c>
      <c r="C202" s="111">
        <v>1.0</v>
      </c>
      <c r="D202" s="110" t="s">
        <v>228</v>
      </c>
      <c r="E202" s="111">
        <v>0.0</v>
      </c>
      <c r="F202" s="111">
        <v>1.2853</v>
      </c>
      <c r="G202" s="111">
        <v>0.577</v>
      </c>
      <c r="H202" s="110" t="s">
        <v>276</v>
      </c>
      <c r="I202" s="112">
        <f t="shared" si="1"/>
        <v>1.227556326</v>
      </c>
      <c r="J202" s="82">
        <f t="shared" si="2"/>
        <v>0.4489224306</v>
      </c>
    </row>
    <row r="203">
      <c r="A203" s="101">
        <v>44662.0</v>
      </c>
      <c r="B203" s="111">
        <v>2085.0</v>
      </c>
      <c r="C203" s="111">
        <v>1.0</v>
      </c>
      <c r="D203" s="110" t="s">
        <v>227</v>
      </c>
      <c r="E203" s="111">
        <v>0.0</v>
      </c>
      <c r="F203" s="111">
        <v>0.2913</v>
      </c>
      <c r="G203" s="111">
        <v>0.123</v>
      </c>
      <c r="H203" s="110" t="s">
        <v>276</v>
      </c>
      <c r="I203" s="112">
        <f t="shared" si="1"/>
        <v>1.368292683</v>
      </c>
      <c r="J203" s="82">
        <f t="shared" si="2"/>
        <v>0.4222451081</v>
      </c>
    </row>
    <row r="204">
      <c r="A204" s="101">
        <v>44662.0</v>
      </c>
      <c r="B204" s="111">
        <v>2085.0</v>
      </c>
      <c r="C204" s="111">
        <v>2.0</v>
      </c>
      <c r="D204" s="110" t="s">
        <v>227</v>
      </c>
      <c r="E204" s="111">
        <v>1.0</v>
      </c>
      <c r="F204" s="111">
        <v>0.2936</v>
      </c>
      <c r="G204" s="111">
        <v>0.1338</v>
      </c>
      <c r="H204" s="110" t="s">
        <v>276</v>
      </c>
      <c r="I204" s="112">
        <f t="shared" si="1"/>
        <v>1.19431988</v>
      </c>
      <c r="J204" s="82">
        <f t="shared" si="2"/>
        <v>0.4557220708</v>
      </c>
    </row>
    <row r="205">
      <c r="A205" s="101">
        <v>44662.0</v>
      </c>
      <c r="B205" s="111">
        <v>2085.0</v>
      </c>
      <c r="C205" s="111">
        <v>2.0</v>
      </c>
      <c r="D205" s="110" t="s">
        <v>228</v>
      </c>
      <c r="E205" s="111">
        <v>0.0</v>
      </c>
      <c r="F205" s="111">
        <v>1.1492</v>
      </c>
      <c r="G205" s="111">
        <v>0.479</v>
      </c>
      <c r="H205" s="110" t="s">
        <v>276</v>
      </c>
      <c r="I205" s="112">
        <f t="shared" si="1"/>
        <v>1.399164927</v>
      </c>
      <c r="J205" s="82">
        <f t="shared" si="2"/>
        <v>0.4168116951</v>
      </c>
    </row>
    <row r="206">
      <c r="A206" s="101">
        <v>44662.0</v>
      </c>
      <c r="B206" s="111">
        <v>2085.0</v>
      </c>
      <c r="C206" s="111">
        <v>2.0</v>
      </c>
      <c r="D206" s="110" t="s">
        <v>227</v>
      </c>
      <c r="E206" s="111">
        <v>0.0</v>
      </c>
      <c r="F206" s="111">
        <v>0.3259</v>
      </c>
      <c r="G206" s="111">
        <v>0.1328</v>
      </c>
      <c r="H206" s="110" t="s">
        <v>276</v>
      </c>
      <c r="I206" s="112">
        <f t="shared" si="1"/>
        <v>1.454066265</v>
      </c>
      <c r="J206" s="82">
        <f t="shared" si="2"/>
        <v>0.4074869592</v>
      </c>
    </row>
    <row r="207">
      <c r="A207" s="101">
        <v>44662.0</v>
      </c>
      <c r="B207" s="111">
        <v>2086.0</v>
      </c>
      <c r="C207" s="111">
        <v>1.0</v>
      </c>
      <c r="D207" s="110" t="s">
        <v>227</v>
      </c>
      <c r="E207" s="111">
        <v>1.0</v>
      </c>
      <c r="F207" s="111">
        <v>0.1172</v>
      </c>
      <c r="G207" s="111">
        <v>0.054</v>
      </c>
      <c r="H207" s="110" t="s">
        <v>276</v>
      </c>
      <c r="I207" s="112">
        <f t="shared" si="1"/>
        <v>1.17037037</v>
      </c>
      <c r="J207" s="82">
        <f t="shared" si="2"/>
        <v>0.4607508532</v>
      </c>
    </row>
    <row r="208">
      <c r="A208" s="101">
        <v>44662.0</v>
      </c>
      <c r="B208" s="111">
        <v>2086.0</v>
      </c>
      <c r="C208" s="111">
        <v>1.0</v>
      </c>
      <c r="D208" s="110" t="s">
        <v>227</v>
      </c>
      <c r="E208" s="111">
        <v>0.0</v>
      </c>
      <c r="F208" s="111">
        <v>0.1356</v>
      </c>
      <c r="G208" s="111">
        <v>0.0565</v>
      </c>
      <c r="H208" s="110" t="s">
        <v>276</v>
      </c>
      <c r="I208" s="112">
        <f t="shared" si="1"/>
        <v>1.4</v>
      </c>
      <c r="J208" s="82">
        <f t="shared" si="2"/>
        <v>0.4166666667</v>
      </c>
    </row>
    <row r="209">
      <c r="A209" s="101">
        <v>44662.0</v>
      </c>
      <c r="B209" s="111">
        <v>2086.0</v>
      </c>
      <c r="C209" s="111">
        <v>2.0</v>
      </c>
      <c r="D209" s="110" t="s">
        <v>228</v>
      </c>
      <c r="E209" s="111">
        <v>0.0</v>
      </c>
      <c r="F209" s="111">
        <v>0.7003</v>
      </c>
      <c r="G209" s="111">
        <v>0.3109</v>
      </c>
      <c r="H209" s="110" t="s">
        <v>276</v>
      </c>
      <c r="I209" s="112">
        <f t="shared" si="1"/>
        <v>1.252492763</v>
      </c>
      <c r="J209" s="82">
        <f t="shared" si="2"/>
        <v>0.4439525917</v>
      </c>
    </row>
    <row r="210">
      <c r="A210" s="101">
        <v>44662.0</v>
      </c>
      <c r="B210" s="111">
        <v>2086.0</v>
      </c>
      <c r="C210" s="111">
        <v>2.0</v>
      </c>
      <c r="D210" s="110" t="s">
        <v>227</v>
      </c>
      <c r="E210" s="111">
        <v>0.0</v>
      </c>
      <c r="F210" s="111">
        <v>0.2299</v>
      </c>
      <c r="G210" s="111">
        <v>0.0865</v>
      </c>
      <c r="H210" s="110" t="s">
        <v>276</v>
      </c>
      <c r="I210" s="112">
        <f t="shared" si="1"/>
        <v>1.657803468</v>
      </c>
      <c r="J210" s="82">
        <f t="shared" si="2"/>
        <v>0.3762505437</v>
      </c>
    </row>
    <row r="211">
      <c r="A211" s="101">
        <v>44662.0</v>
      </c>
      <c r="B211" s="111">
        <v>2087.0</v>
      </c>
      <c r="C211" s="111">
        <v>1.0</v>
      </c>
      <c r="D211" s="110" t="s">
        <v>228</v>
      </c>
      <c r="E211" s="111">
        <v>0.0</v>
      </c>
      <c r="F211" s="111">
        <v>1.0511</v>
      </c>
      <c r="G211" s="111">
        <v>0.463</v>
      </c>
      <c r="H211" s="110" t="s">
        <v>276</v>
      </c>
      <c r="I211" s="112">
        <f t="shared" si="1"/>
        <v>1.270194384</v>
      </c>
      <c r="J211" s="82">
        <f t="shared" si="2"/>
        <v>0.4404909143</v>
      </c>
    </row>
    <row r="212">
      <c r="A212" s="101">
        <v>44662.0</v>
      </c>
      <c r="B212" s="111">
        <v>2087.0</v>
      </c>
      <c r="C212" s="111">
        <v>1.0</v>
      </c>
      <c r="D212" s="110" t="s">
        <v>227</v>
      </c>
      <c r="E212" s="111">
        <v>1.0</v>
      </c>
      <c r="F212" s="111">
        <v>0.146</v>
      </c>
      <c r="G212" s="111">
        <v>0.0624</v>
      </c>
      <c r="H212" s="110" t="s">
        <v>276</v>
      </c>
      <c r="I212" s="112">
        <f t="shared" si="1"/>
        <v>1.33974359</v>
      </c>
      <c r="J212" s="82">
        <f t="shared" si="2"/>
        <v>0.4273972603</v>
      </c>
    </row>
    <row r="213">
      <c r="A213" s="101">
        <v>44662.0</v>
      </c>
      <c r="B213" s="111">
        <v>2087.0</v>
      </c>
      <c r="C213" s="111">
        <v>1.0</v>
      </c>
      <c r="D213" s="110" t="s">
        <v>227</v>
      </c>
      <c r="E213" s="111">
        <v>0.0</v>
      </c>
      <c r="F213" s="111">
        <v>0.1963</v>
      </c>
      <c r="G213" s="111">
        <v>0.077</v>
      </c>
      <c r="H213" s="110" t="s">
        <v>276</v>
      </c>
      <c r="I213" s="112">
        <f t="shared" si="1"/>
        <v>1.549350649</v>
      </c>
      <c r="J213" s="82">
        <f t="shared" si="2"/>
        <v>0.3922567499</v>
      </c>
    </row>
    <row r="214">
      <c r="A214" s="101">
        <v>44662.0</v>
      </c>
      <c r="B214" s="111">
        <v>2088.0</v>
      </c>
      <c r="C214" s="111">
        <v>1.0</v>
      </c>
      <c r="D214" s="110" t="s">
        <v>228</v>
      </c>
      <c r="E214" s="111">
        <v>0.0</v>
      </c>
      <c r="F214" s="111">
        <v>0.3283</v>
      </c>
      <c r="G214" s="111">
        <v>0.154</v>
      </c>
      <c r="H214" s="110" t="s">
        <v>276</v>
      </c>
      <c r="I214" s="112">
        <f t="shared" si="1"/>
        <v>1.131818182</v>
      </c>
      <c r="J214" s="82">
        <f t="shared" si="2"/>
        <v>0.4690831557</v>
      </c>
    </row>
    <row r="215">
      <c r="A215" s="101">
        <v>44662.0</v>
      </c>
      <c r="B215" s="111">
        <v>2088.0</v>
      </c>
      <c r="C215" s="111">
        <v>1.0</v>
      </c>
      <c r="D215" s="110" t="s">
        <v>228</v>
      </c>
      <c r="E215" s="111">
        <v>0.0</v>
      </c>
      <c r="F215" s="111">
        <v>0.8273</v>
      </c>
      <c r="G215" s="111">
        <v>0.381</v>
      </c>
      <c r="H215" s="110" t="s">
        <v>276</v>
      </c>
      <c r="I215" s="112">
        <f t="shared" si="1"/>
        <v>1.171391076</v>
      </c>
      <c r="J215" s="82">
        <f t="shared" si="2"/>
        <v>0.4605342681</v>
      </c>
    </row>
    <row r="216">
      <c r="A216" s="101">
        <v>44662.0</v>
      </c>
      <c r="B216" s="111">
        <v>2088.0</v>
      </c>
      <c r="C216" s="111">
        <v>1.0</v>
      </c>
      <c r="D216" s="110" t="s">
        <v>227</v>
      </c>
      <c r="E216" s="111">
        <v>0.0</v>
      </c>
      <c r="F216" s="111">
        <v>0.123</v>
      </c>
      <c r="G216" s="111">
        <v>0.0487</v>
      </c>
      <c r="H216" s="110" t="s">
        <v>276</v>
      </c>
      <c r="I216" s="112">
        <f t="shared" si="1"/>
        <v>1.525667351</v>
      </c>
      <c r="J216" s="82">
        <f t="shared" si="2"/>
        <v>0.3959349593</v>
      </c>
    </row>
    <row r="217">
      <c r="A217" s="101">
        <v>44662.0</v>
      </c>
      <c r="B217" s="111">
        <v>2088.0</v>
      </c>
      <c r="C217" s="111">
        <v>1.0</v>
      </c>
      <c r="D217" s="110" t="s">
        <v>227</v>
      </c>
      <c r="E217" s="111">
        <v>0.0</v>
      </c>
      <c r="F217" s="111">
        <v>0.0411</v>
      </c>
      <c r="G217" s="111">
        <v>0.016</v>
      </c>
      <c r="H217" s="110" t="s">
        <v>276</v>
      </c>
      <c r="I217" s="112">
        <f t="shared" si="1"/>
        <v>1.56875</v>
      </c>
      <c r="J217" s="82">
        <f t="shared" si="2"/>
        <v>0.3892944039</v>
      </c>
    </row>
    <row r="218">
      <c r="A218" s="101">
        <v>44662.0</v>
      </c>
      <c r="B218" s="111">
        <v>2088.0</v>
      </c>
      <c r="C218" s="111">
        <v>2.0</v>
      </c>
      <c r="D218" s="110" t="s">
        <v>227</v>
      </c>
      <c r="E218" s="111">
        <v>1.0</v>
      </c>
      <c r="F218" s="111">
        <v>0.1795</v>
      </c>
      <c r="G218" s="111">
        <v>0.0867</v>
      </c>
      <c r="H218" s="110" t="s">
        <v>276</v>
      </c>
      <c r="I218" s="112">
        <f t="shared" si="1"/>
        <v>1.070357555</v>
      </c>
      <c r="J218" s="82">
        <f t="shared" si="2"/>
        <v>0.4830083565</v>
      </c>
    </row>
    <row r="219">
      <c r="A219" s="101">
        <v>44662.0</v>
      </c>
      <c r="B219" s="111">
        <v>2088.0</v>
      </c>
      <c r="C219" s="111">
        <v>2.0</v>
      </c>
      <c r="D219" s="110" t="s">
        <v>228</v>
      </c>
      <c r="E219" s="111">
        <v>0.0</v>
      </c>
      <c r="F219" s="111">
        <v>0.6404</v>
      </c>
      <c r="G219" s="111">
        <v>0.3</v>
      </c>
      <c r="H219" s="110" t="s">
        <v>276</v>
      </c>
      <c r="I219" s="112">
        <f t="shared" si="1"/>
        <v>1.134666667</v>
      </c>
      <c r="J219" s="82">
        <f t="shared" si="2"/>
        <v>0.4684572142</v>
      </c>
    </row>
    <row r="220">
      <c r="A220" s="101">
        <v>44662.0</v>
      </c>
      <c r="B220" s="111">
        <v>2088.0</v>
      </c>
      <c r="C220" s="111">
        <v>2.0</v>
      </c>
      <c r="D220" s="110" t="s">
        <v>227</v>
      </c>
      <c r="E220" s="111">
        <v>0.0</v>
      </c>
      <c r="F220" s="111">
        <v>0.0946</v>
      </c>
      <c r="G220" s="111">
        <v>0.036</v>
      </c>
      <c r="H220" s="110" t="s">
        <v>276</v>
      </c>
      <c r="I220" s="112">
        <f t="shared" si="1"/>
        <v>1.627777778</v>
      </c>
      <c r="J220" s="82">
        <f t="shared" si="2"/>
        <v>0.3805496829</v>
      </c>
    </row>
    <row r="221">
      <c r="A221" s="101">
        <v>44662.0</v>
      </c>
      <c r="B221" s="111">
        <v>2089.0</v>
      </c>
      <c r="C221" s="111">
        <v>1.0</v>
      </c>
      <c r="D221" s="110" t="s">
        <v>228</v>
      </c>
      <c r="E221" s="111">
        <v>0.0</v>
      </c>
      <c r="F221" s="111">
        <v>0.8061</v>
      </c>
      <c r="G221" s="111">
        <v>0.454</v>
      </c>
      <c r="H221" s="110" t="s">
        <v>276</v>
      </c>
      <c r="I221" s="112">
        <f t="shared" si="1"/>
        <v>0.7755506608</v>
      </c>
      <c r="J221" s="82">
        <f t="shared" si="2"/>
        <v>0.5632055576</v>
      </c>
    </row>
    <row r="222">
      <c r="A222" s="101">
        <v>44662.0</v>
      </c>
      <c r="B222" s="111">
        <v>2089.0</v>
      </c>
      <c r="C222" s="111">
        <v>1.0</v>
      </c>
      <c r="D222" s="110" t="s">
        <v>227</v>
      </c>
      <c r="E222" s="111">
        <v>1.0</v>
      </c>
      <c r="F222" s="111">
        <v>0.0301</v>
      </c>
      <c r="G222" s="111">
        <v>0.015</v>
      </c>
      <c r="H222" s="110" t="s">
        <v>276</v>
      </c>
      <c r="I222" s="112">
        <f t="shared" si="1"/>
        <v>1.006666667</v>
      </c>
      <c r="J222" s="82">
        <f t="shared" si="2"/>
        <v>0.4983388704</v>
      </c>
    </row>
    <row r="223">
      <c r="A223" s="101">
        <v>44662.0</v>
      </c>
      <c r="B223" s="111">
        <v>2089.0</v>
      </c>
      <c r="C223" s="111">
        <v>1.0</v>
      </c>
      <c r="D223" s="110" t="s">
        <v>228</v>
      </c>
      <c r="E223" s="111">
        <v>0.0</v>
      </c>
      <c r="F223" s="111">
        <v>1.2576</v>
      </c>
      <c r="G223" s="111">
        <v>0.519</v>
      </c>
      <c r="H223" s="110" t="s">
        <v>276</v>
      </c>
      <c r="I223" s="112">
        <f t="shared" si="1"/>
        <v>1.423121387</v>
      </c>
      <c r="J223" s="82">
        <f t="shared" si="2"/>
        <v>0.4126908397</v>
      </c>
    </row>
    <row r="224">
      <c r="A224" s="101">
        <v>44662.0</v>
      </c>
      <c r="B224" s="111">
        <v>2089.0</v>
      </c>
      <c r="C224" s="111">
        <v>2.0</v>
      </c>
      <c r="D224" s="110" t="s">
        <v>228</v>
      </c>
      <c r="E224" s="111">
        <v>1.0</v>
      </c>
      <c r="F224" s="111">
        <v>1.1891</v>
      </c>
      <c r="G224" s="111">
        <v>0.6065</v>
      </c>
      <c r="H224" s="110" t="s">
        <v>276</v>
      </c>
      <c r="I224" s="112">
        <f t="shared" si="1"/>
        <v>0.9605935697</v>
      </c>
      <c r="J224" s="82">
        <f t="shared" si="2"/>
        <v>0.5100496174</v>
      </c>
    </row>
    <row r="225">
      <c r="A225" s="101">
        <v>44662.0</v>
      </c>
      <c r="B225" s="111">
        <v>2089.0</v>
      </c>
      <c r="C225" s="111">
        <v>2.0</v>
      </c>
      <c r="D225" s="110" t="s">
        <v>227</v>
      </c>
      <c r="E225" s="111">
        <v>1.0</v>
      </c>
      <c r="F225" s="111">
        <v>0.4995</v>
      </c>
      <c r="G225" s="111">
        <v>0.2513</v>
      </c>
      <c r="H225" s="110" t="s">
        <v>276</v>
      </c>
      <c r="I225" s="112">
        <f t="shared" si="1"/>
        <v>0.9876641464</v>
      </c>
      <c r="J225" s="82">
        <f t="shared" si="2"/>
        <v>0.5031031031</v>
      </c>
    </row>
    <row r="226">
      <c r="A226" s="101">
        <v>44662.0</v>
      </c>
      <c r="B226" s="111">
        <v>2089.0</v>
      </c>
      <c r="C226" s="111">
        <v>2.0</v>
      </c>
      <c r="D226" s="110" t="s">
        <v>227</v>
      </c>
      <c r="E226" s="111">
        <v>0.0</v>
      </c>
      <c r="F226" s="111">
        <v>0.0582</v>
      </c>
      <c r="G226" s="111">
        <v>0.0194</v>
      </c>
      <c r="H226" s="110" t="s">
        <v>276</v>
      </c>
      <c r="I226" s="112">
        <f t="shared" si="1"/>
        <v>2</v>
      </c>
      <c r="J226" s="82">
        <f t="shared" si="2"/>
        <v>0.3333333333</v>
      </c>
    </row>
    <row r="227">
      <c r="A227" s="101">
        <v>44662.0</v>
      </c>
      <c r="B227" s="111">
        <v>2089.0</v>
      </c>
      <c r="C227" s="111">
        <v>2.0</v>
      </c>
      <c r="D227" s="110" t="s">
        <v>227</v>
      </c>
      <c r="E227" s="111">
        <v>0.0</v>
      </c>
      <c r="F227" s="111">
        <v>0.0426</v>
      </c>
      <c r="G227" s="111">
        <v>0.0133</v>
      </c>
      <c r="H227" s="110" t="s">
        <v>276</v>
      </c>
      <c r="I227" s="112">
        <f t="shared" si="1"/>
        <v>2.203007519</v>
      </c>
      <c r="J227" s="82">
        <f t="shared" si="2"/>
        <v>0.3122065728</v>
      </c>
    </row>
    <row r="228">
      <c r="A228" s="101">
        <v>44662.0</v>
      </c>
      <c r="B228" s="111">
        <v>2089.0</v>
      </c>
      <c r="C228" s="111">
        <v>2.0</v>
      </c>
      <c r="D228" s="110" t="s">
        <v>227</v>
      </c>
      <c r="E228" s="111">
        <v>0.0</v>
      </c>
      <c r="F228" s="111">
        <v>0.1051</v>
      </c>
      <c r="G228" s="111">
        <v>0.0131</v>
      </c>
      <c r="H228" s="110" t="s">
        <v>276</v>
      </c>
      <c r="I228" s="112">
        <f t="shared" si="1"/>
        <v>7.022900763</v>
      </c>
      <c r="J228" s="82">
        <f t="shared" si="2"/>
        <v>0.124643197</v>
      </c>
    </row>
    <row r="229">
      <c r="A229" s="101">
        <v>44662.0</v>
      </c>
      <c r="B229" s="111">
        <v>2090.0</v>
      </c>
      <c r="C229" s="111">
        <v>1.0</v>
      </c>
      <c r="D229" s="110" t="s">
        <v>227</v>
      </c>
      <c r="E229" s="111">
        <v>1.0</v>
      </c>
      <c r="F229" s="111">
        <v>0.3071</v>
      </c>
      <c r="G229" s="111">
        <v>0.143</v>
      </c>
      <c r="H229" s="110" t="s">
        <v>276</v>
      </c>
      <c r="I229" s="112">
        <f t="shared" si="1"/>
        <v>1.147552448</v>
      </c>
      <c r="J229" s="82">
        <f t="shared" si="2"/>
        <v>0.4656463693</v>
      </c>
    </row>
    <row r="230">
      <c r="A230" s="101">
        <v>44662.0</v>
      </c>
      <c r="B230" s="111">
        <v>2090.0</v>
      </c>
      <c r="C230" s="111">
        <v>1.0</v>
      </c>
      <c r="D230" s="110" t="s">
        <v>228</v>
      </c>
      <c r="E230" s="111">
        <v>0.0</v>
      </c>
      <c r="F230" s="111">
        <v>1.7516</v>
      </c>
      <c r="G230" s="111">
        <v>0.8078</v>
      </c>
      <c r="H230" s="110" t="s">
        <v>276</v>
      </c>
      <c r="I230" s="112">
        <f t="shared" si="1"/>
        <v>1.168358505</v>
      </c>
      <c r="J230" s="82">
        <f t="shared" si="2"/>
        <v>0.4611783512</v>
      </c>
    </row>
    <row r="231">
      <c r="A231" s="101">
        <v>44662.0</v>
      </c>
      <c r="B231" s="111">
        <v>2090.0</v>
      </c>
      <c r="C231" s="111">
        <v>1.0</v>
      </c>
      <c r="D231" s="110" t="s">
        <v>227</v>
      </c>
      <c r="E231" s="111">
        <v>0.0</v>
      </c>
      <c r="F231" s="111">
        <v>0.1856</v>
      </c>
      <c r="G231" s="111">
        <v>0.078</v>
      </c>
      <c r="H231" s="110" t="s">
        <v>276</v>
      </c>
      <c r="I231" s="112">
        <f t="shared" si="1"/>
        <v>1.379487179</v>
      </c>
      <c r="J231" s="82">
        <f t="shared" si="2"/>
        <v>0.4202586207</v>
      </c>
    </row>
    <row r="232">
      <c r="A232" s="101">
        <v>44662.0</v>
      </c>
      <c r="B232" s="111">
        <v>2091.0</v>
      </c>
      <c r="C232" s="111">
        <v>1.0</v>
      </c>
      <c r="D232" s="110" t="s">
        <v>228</v>
      </c>
      <c r="E232" s="111">
        <v>1.0</v>
      </c>
      <c r="F232" s="111">
        <v>2.8019</v>
      </c>
      <c r="G232" s="111">
        <v>1.6554</v>
      </c>
      <c r="H232" s="110" t="s">
        <v>276</v>
      </c>
      <c r="I232" s="112">
        <f t="shared" si="1"/>
        <v>0.6925818533</v>
      </c>
      <c r="J232" s="82">
        <f t="shared" si="2"/>
        <v>0.5908133766</v>
      </c>
    </row>
    <row r="233">
      <c r="A233" s="101">
        <v>44662.0</v>
      </c>
      <c r="B233" s="111">
        <v>2091.0</v>
      </c>
      <c r="C233" s="111">
        <v>1.0</v>
      </c>
      <c r="D233" s="110" t="s">
        <v>227</v>
      </c>
      <c r="E233" s="111">
        <v>0.0</v>
      </c>
      <c r="F233" s="111">
        <v>0.0623</v>
      </c>
      <c r="G233" s="111">
        <v>0.0214</v>
      </c>
      <c r="H233" s="110" t="s">
        <v>276</v>
      </c>
      <c r="I233" s="112">
        <f t="shared" si="1"/>
        <v>1.911214953</v>
      </c>
      <c r="J233" s="82">
        <f t="shared" si="2"/>
        <v>0.3434991974</v>
      </c>
    </row>
    <row r="234">
      <c r="A234" s="101">
        <v>44662.0</v>
      </c>
      <c r="B234" s="111">
        <v>2091.0</v>
      </c>
      <c r="C234" s="111">
        <v>2.0</v>
      </c>
      <c r="D234" s="110" t="s">
        <v>227</v>
      </c>
      <c r="E234" s="111">
        <v>1.0</v>
      </c>
      <c r="F234" s="111">
        <v>0.7317</v>
      </c>
      <c r="G234" s="111">
        <v>0.415</v>
      </c>
      <c r="H234" s="110" t="s">
        <v>276</v>
      </c>
      <c r="I234" s="112">
        <f t="shared" si="1"/>
        <v>0.7631325301</v>
      </c>
      <c r="J234" s="82">
        <f t="shared" si="2"/>
        <v>0.5671723384</v>
      </c>
    </row>
    <row r="235">
      <c r="A235" s="101">
        <v>44662.0</v>
      </c>
      <c r="B235" s="111">
        <v>2091.0</v>
      </c>
      <c r="C235" s="111">
        <v>2.0</v>
      </c>
      <c r="D235" s="110" t="s">
        <v>227</v>
      </c>
      <c r="E235" s="111">
        <v>1.0</v>
      </c>
      <c r="F235" s="111">
        <v>0.4009</v>
      </c>
      <c r="G235" s="111">
        <v>0.2138</v>
      </c>
      <c r="H235" s="110" t="s">
        <v>276</v>
      </c>
      <c r="I235" s="112">
        <f t="shared" si="1"/>
        <v>0.8751169317</v>
      </c>
      <c r="J235" s="82">
        <f t="shared" si="2"/>
        <v>0.5333000748</v>
      </c>
    </row>
    <row r="236">
      <c r="A236" s="101">
        <v>44662.0</v>
      </c>
      <c r="B236" s="111">
        <v>2092.0</v>
      </c>
      <c r="C236" s="111">
        <v>1.0</v>
      </c>
      <c r="D236" s="110" t="s">
        <v>228</v>
      </c>
      <c r="E236" s="111">
        <v>1.0</v>
      </c>
      <c r="F236" s="111">
        <v>3.8794</v>
      </c>
      <c r="G236" s="111">
        <v>2.108</v>
      </c>
      <c r="H236" s="110" t="s">
        <v>276</v>
      </c>
      <c r="I236" s="112">
        <f t="shared" si="1"/>
        <v>0.8403225806</v>
      </c>
      <c r="J236" s="82">
        <f t="shared" si="2"/>
        <v>0.5433829974</v>
      </c>
    </row>
    <row r="237">
      <c r="A237" s="101">
        <v>44662.0</v>
      </c>
      <c r="B237" s="111">
        <v>2092.0</v>
      </c>
      <c r="C237" s="111">
        <v>2.0</v>
      </c>
      <c r="D237" s="110" t="s">
        <v>227</v>
      </c>
      <c r="E237" s="111">
        <v>1.0</v>
      </c>
      <c r="F237" s="111">
        <v>0.8192</v>
      </c>
      <c r="G237" s="111">
        <v>0.424</v>
      </c>
      <c r="H237" s="110" t="s">
        <v>276</v>
      </c>
      <c r="I237" s="112">
        <f t="shared" si="1"/>
        <v>0.9320754717</v>
      </c>
      <c r="J237" s="82">
        <f t="shared" si="2"/>
        <v>0.517578125</v>
      </c>
    </row>
    <row r="238">
      <c r="A238" s="101">
        <v>44662.0</v>
      </c>
      <c r="B238" s="111">
        <v>2092.0</v>
      </c>
      <c r="C238" s="111">
        <v>2.0</v>
      </c>
      <c r="D238" s="110" t="s">
        <v>227</v>
      </c>
      <c r="E238" s="111">
        <v>0.0</v>
      </c>
      <c r="F238" s="111">
        <v>0.0816</v>
      </c>
      <c r="G238" s="111">
        <v>0.0283</v>
      </c>
      <c r="H238" s="110" t="s">
        <v>276</v>
      </c>
      <c r="I238" s="112">
        <f t="shared" si="1"/>
        <v>1.883392226</v>
      </c>
      <c r="J238" s="82">
        <f t="shared" si="2"/>
        <v>0.3468137255</v>
      </c>
    </row>
    <row r="239">
      <c r="A239" s="101">
        <v>44662.0</v>
      </c>
      <c r="B239" s="111">
        <v>2093.0</v>
      </c>
      <c r="C239" s="111">
        <v>1.0</v>
      </c>
      <c r="D239" s="110" t="s">
        <v>228</v>
      </c>
      <c r="E239" s="111">
        <v>1.0</v>
      </c>
      <c r="F239" s="111">
        <v>1.5895</v>
      </c>
      <c r="G239" s="111">
        <v>0.979</v>
      </c>
      <c r="H239" s="110" t="s">
        <v>276</v>
      </c>
      <c r="I239" s="112">
        <f t="shared" si="1"/>
        <v>0.6235955056</v>
      </c>
      <c r="J239" s="82">
        <f t="shared" si="2"/>
        <v>0.615916955</v>
      </c>
    </row>
    <row r="240">
      <c r="A240" s="101">
        <v>44662.0</v>
      </c>
      <c r="B240" s="111">
        <v>2093.0</v>
      </c>
      <c r="C240" s="111">
        <v>1.0</v>
      </c>
      <c r="D240" s="110" t="s">
        <v>227</v>
      </c>
      <c r="E240" s="111">
        <v>1.0</v>
      </c>
      <c r="F240" s="111">
        <v>0.1996</v>
      </c>
      <c r="G240" s="111">
        <v>0.1062</v>
      </c>
      <c r="H240" s="110" t="s">
        <v>276</v>
      </c>
      <c r="I240" s="112">
        <f t="shared" si="1"/>
        <v>0.879472693</v>
      </c>
      <c r="J240" s="82">
        <f t="shared" si="2"/>
        <v>0.5320641283</v>
      </c>
    </row>
    <row r="241">
      <c r="A241" s="101">
        <v>44662.0</v>
      </c>
      <c r="B241" s="111">
        <v>2093.0</v>
      </c>
      <c r="C241" s="111">
        <v>2.0</v>
      </c>
      <c r="D241" s="110" t="s">
        <v>228</v>
      </c>
      <c r="E241" s="111">
        <v>0.0</v>
      </c>
      <c r="F241" s="111">
        <v>1.0849</v>
      </c>
      <c r="G241" s="111">
        <v>0.648</v>
      </c>
      <c r="H241" s="110" t="s">
        <v>276</v>
      </c>
      <c r="I241" s="112">
        <f t="shared" si="1"/>
        <v>0.6742283951</v>
      </c>
      <c r="J241" s="82">
        <f t="shared" si="2"/>
        <v>0.5972900728</v>
      </c>
    </row>
    <row r="242">
      <c r="A242" s="101">
        <v>44662.0</v>
      </c>
      <c r="B242" s="111">
        <v>2093.0</v>
      </c>
      <c r="C242" s="111">
        <v>2.0</v>
      </c>
      <c r="D242" s="110" t="s">
        <v>227</v>
      </c>
      <c r="E242" s="111">
        <v>1.0</v>
      </c>
      <c r="F242" s="111">
        <v>0.1942</v>
      </c>
      <c r="G242" s="111">
        <v>0.0973</v>
      </c>
      <c r="H242" s="110" t="s">
        <v>276</v>
      </c>
      <c r="I242" s="112">
        <f t="shared" si="1"/>
        <v>0.9958890031</v>
      </c>
      <c r="J242" s="82">
        <f t="shared" si="2"/>
        <v>0.5010298661</v>
      </c>
    </row>
    <row r="243">
      <c r="A243" s="101">
        <v>44662.0</v>
      </c>
      <c r="B243" s="111">
        <v>2093.0</v>
      </c>
      <c r="C243" s="111">
        <v>2.0</v>
      </c>
      <c r="D243" s="110" t="s">
        <v>227</v>
      </c>
      <c r="E243" s="111">
        <v>0.0</v>
      </c>
      <c r="F243" s="111">
        <v>0.0953</v>
      </c>
      <c r="G243" s="111">
        <v>0.0329</v>
      </c>
      <c r="H243" s="110" t="s">
        <v>276</v>
      </c>
      <c r="I243" s="112">
        <f t="shared" si="1"/>
        <v>1.896656535</v>
      </c>
      <c r="J243" s="82">
        <f t="shared" si="2"/>
        <v>0.3452256034</v>
      </c>
    </row>
    <row r="244">
      <c r="A244" s="101">
        <v>44663.0</v>
      </c>
      <c r="B244" s="111">
        <v>2009.0</v>
      </c>
      <c r="C244" s="111">
        <v>1.0</v>
      </c>
      <c r="D244" s="110" t="s">
        <v>228</v>
      </c>
      <c r="E244" s="111">
        <v>0.0</v>
      </c>
      <c r="F244" s="111">
        <v>2.33</v>
      </c>
      <c r="G244" s="111">
        <v>1.015</v>
      </c>
      <c r="H244" s="110" t="s">
        <v>276</v>
      </c>
      <c r="I244" s="112">
        <f t="shared" si="1"/>
        <v>1.295566502</v>
      </c>
      <c r="J244" s="82">
        <f t="shared" si="2"/>
        <v>0.4356223176</v>
      </c>
      <c r="K244" s="66" t="s">
        <v>292</v>
      </c>
    </row>
    <row r="245">
      <c r="A245" s="101">
        <v>44663.0</v>
      </c>
      <c r="B245" s="111">
        <v>2009.0</v>
      </c>
      <c r="C245" s="111">
        <v>1.0</v>
      </c>
      <c r="D245" s="110" t="s">
        <v>227</v>
      </c>
      <c r="E245" s="111">
        <v>0.0</v>
      </c>
      <c r="F245" s="111">
        <v>0.259</v>
      </c>
      <c r="G245" s="111">
        <v>0.103</v>
      </c>
      <c r="H245" s="110" t="s">
        <v>276</v>
      </c>
      <c r="I245" s="112">
        <f t="shared" si="1"/>
        <v>1.514563107</v>
      </c>
      <c r="J245" s="82">
        <f t="shared" si="2"/>
        <v>0.3976833977</v>
      </c>
      <c r="K245" s="66" t="s">
        <v>292</v>
      </c>
    </row>
    <row r="246">
      <c r="A246" s="101">
        <v>44663.0</v>
      </c>
      <c r="B246" s="111">
        <v>2009.0</v>
      </c>
      <c r="C246" s="111">
        <v>2.0</v>
      </c>
      <c r="D246" s="110" t="s">
        <v>228</v>
      </c>
      <c r="E246" s="111">
        <v>0.0</v>
      </c>
      <c r="F246" s="111">
        <v>0.602</v>
      </c>
      <c r="G246" s="111">
        <v>0.254</v>
      </c>
      <c r="H246" s="110" t="s">
        <v>276</v>
      </c>
      <c r="I246" s="112">
        <f t="shared" si="1"/>
        <v>1.37007874</v>
      </c>
      <c r="J246" s="82">
        <f t="shared" si="2"/>
        <v>0.4219269103</v>
      </c>
      <c r="K246" s="66" t="s">
        <v>292</v>
      </c>
    </row>
    <row r="247">
      <c r="A247" s="101">
        <v>44663.0</v>
      </c>
      <c r="B247" s="111">
        <v>2009.0</v>
      </c>
      <c r="C247" s="111">
        <v>2.0</v>
      </c>
      <c r="D247" s="110" t="s">
        <v>227</v>
      </c>
      <c r="E247" s="111">
        <v>0.0</v>
      </c>
      <c r="F247" s="111">
        <v>0.065</v>
      </c>
      <c r="G247" s="111">
        <v>0.023</v>
      </c>
      <c r="H247" s="110" t="s">
        <v>276</v>
      </c>
      <c r="I247" s="112">
        <f t="shared" si="1"/>
        <v>1.826086957</v>
      </c>
      <c r="J247" s="82">
        <f t="shared" si="2"/>
        <v>0.3538461538</v>
      </c>
      <c r="K247" s="66" t="s">
        <v>292</v>
      </c>
    </row>
    <row r="248">
      <c r="A248" s="101">
        <v>44663.0</v>
      </c>
      <c r="B248" s="111">
        <v>2009.0</v>
      </c>
      <c r="C248" s="111">
        <v>3.0</v>
      </c>
      <c r="D248" s="110" t="s">
        <v>228</v>
      </c>
      <c r="E248" s="111">
        <v>0.0</v>
      </c>
      <c r="F248" s="111">
        <v>2.749</v>
      </c>
      <c r="G248" s="111">
        <v>1.176</v>
      </c>
      <c r="H248" s="110" t="s">
        <v>276</v>
      </c>
      <c r="I248" s="112">
        <f t="shared" si="1"/>
        <v>1.337585034</v>
      </c>
      <c r="J248" s="82">
        <f t="shared" si="2"/>
        <v>0.4277919243</v>
      </c>
      <c r="K248" s="66" t="s">
        <v>292</v>
      </c>
    </row>
    <row r="249">
      <c r="A249" s="101">
        <v>44663.0</v>
      </c>
      <c r="B249" s="111">
        <v>2009.0</v>
      </c>
      <c r="C249" s="111">
        <v>3.0</v>
      </c>
      <c r="D249" s="110" t="s">
        <v>227</v>
      </c>
      <c r="E249" s="111">
        <v>0.0</v>
      </c>
      <c r="F249" s="111">
        <v>0.325</v>
      </c>
      <c r="G249" s="111">
        <v>0.127</v>
      </c>
      <c r="H249" s="110" t="s">
        <v>276</v>
      </c>
      <c r="I249" s="112">
        <f t="shared" si="1"/>
        <v>1.559055118</v>
      </c>
      <c r="J249" s="82">
        <f t="shared" si="2"/>
        <v>0.3907692308</v>
      </c>
      <c r="K249" s="66" t="s">
        <v>292</v>
      </c>
    </row>
    <row r="250">
      <c r="A250" s="101">
        <v>44663.0</v>
      </c>
      <c r="B250" s="111">
        <v>2331.0</v>
      </c>
      <c r="C250" s="111">
        <v>1.0</v>
      </c>
      <c r="D250" s="110" t="s">
        <v>228</v>
      </c>
      <c r="E250" s="111">
        <v>1.0</v>
      </c>
      <c r="F250" s="111">
        <v>0.471</v>
      </c>
      <c r="G250" s="111">
        <v>0.272</v>
      </c>
      <c r="H250" s="110" t="s">
        <v>276</v>
      </c>
      <c r="I250" s="112">
        <f t="shared" si="1"/>
        <v>0.7316176471</v>
      </c>
      <c r="J250" s="82">
        <f t="shared" si="2"/>
        <v>0.5774946921</v>
      </c>
      <c r="K250" s="66" t="s">
        <v>292</v>
      </c>
    </row>
    <row r="251">
      <c r="A251" s="101">
        <v>44663.0</v>
      </c>
      <c r="B251" s="111">
        <v>2331.0</v>
      </c>
      <c r="C251" s="111">
        <v>1.0</v>
      </c>
      <c r="D251" s="110" t="s">
        <v>228</v>
      </c>
      <c r="E251" s="111">
        <v>1.0</v>
      </c>
      <c r="F251" s="111">
        <v>0.937</v>
      </c>
      <c r="G251" s="111">
        <v>0.528</v>
      </c>
      <c r="H251" s="110" t="s">
        <v>276</v>
      </c>
      <c r="I251" s="112">
        <f t="shared" si="1"/>
        <v>0.7746212121</v>
      </c>
      <c r="J251" s="82">
        <f t="shared" si="2"/>
        <v>0.5635005336</v>
      </c>
      <c r="K251" s="66" t="s">
        <v>292</v>
      </c>
    </row>
    <row r="252">
      <c r="A252" s="101">
        <v>44663.0</v>
      </c>
      <c r="B252" s="111">
        <v>2331.0</v>
      </c>
      <c r="C252" s="111">
        <v>1.0</v>
      </c>
      <c r="D252" s="110" t="s">
        <v>227</v>
      </c>
      <c r="E252" s="111">
        <v>1.0</v>
      </c>
      <c r="F252" s="111">
        <v>0.287</v>
      </c>
      <c r="G252" s="111">
        <v>0.145</v>
      </c>
      <c r="H252" s="110" t="s">
        <v>276</v>
      </c>
      <c r="I252" s="112">
        <f t="shared" si="1"/>
        <v>0.9793103448</v>
      </c>
      <c r="J252" s="82">
        <f t="shared" si="2"/>
        <v>0.5052264808</v>
      </c>
      <c r="K252" s="66" t="s">
        <v>292</v>
      </c>
    </row>
    <row r="253">
      <c r="A253" s="101">
        <v>44663.0</v>
      </c>
      <c r="B253" s="111">
        <v>2331.0</v>
      </c>
      <c r="C253" s="111">
        <v>1.0</v>
      </c>
      <c r="D253" s="110" t="s">
        <v>227</v>
      </c>
      <c r="E253" s="111">
        <v>1.0</v>
      </c>
      <c r="F253" s="111">
        <v>0.127</v>
      </c>
      <c r="G253" s="111">
        <v>0.064</v>
      </c>
      <c r="H253" s="110" t="s">
        <v>276</v>
      </c>
      <c r="I253" s="112">
        <f t="shared" si="1"/>
        <v>0.984375</v>
      </c>
      <c r="J253" s="82">
        <f t="shared" si="2"/>
        <v>0.5039370079</v>
      </c>
      <c r="K253" s="66" t="s">
        <v>292</v>
      </c>
    </row>
    <row r="254">
      <c r="A254" s="101">
        <v>44663.0</v>
      </c>
      <c r="B254" s="111">
        <v>2331.0</v>
      </c>
      <c r="C254" s="111">
        <v>1.0</v>
      </c>
      <c r="D254" s="110" t="s">
        <v>227</v>
      </c>
      <c r="E254" s="111">
        <v>0.0</v>
      </c>
      <c r="F254" s="111">
        <v>0.034</v>
      </c>
      <c r="G254" s="111">
        <v>0.011</v>
      </c>
      <c r="H254" s="110" t="s">
        <v>276</v>
      </c>
      <c r="I254" s="112">
        <f t="shared" si="1"/>
        <v>2.090909091</v>
      </c>
      <c r="J254" s="82">
        <f t="shared" si="2"/>
        <v>0.3235294118</v>
      </c>
      <c r="K254" s="66" t="s">
        <v>292</v>
      </c>
    </row>
    <row r="255">
      <c r="A255" s="101">
        <v>44663.0</v>
      </c>
      <c r="B255" s="111">
        <v>2331.0</v>
      </c>
      <c r="C255" s="111">
        <v>2.0</v>
      </c>
      <c r="D255" s="110" t="s">
        <v>228</v>
      </c>
      <c r="E255" s="111">
        <v>1.0</v>
      </c>
      <c r="F255" s="111">
        <v>0.942</v>
      </c>
      <c r="G255" s="111">
        <v>0.548</v>
      </c>
      <c r="H255" s="110" t="s">
        <v>276</v>
      </c>
      <c r="I255" s="112">
        <f t="shared" si="1"/>
        <v>0.7189781022</v>
      </c>
      <c r="J255" s="82">
        <f t="shared" si="2"/>
        <v>0.5817409766</v>
      </c>
      <c r="K255" s="66" t="s">
        <v>292</v>
      </c>
    </row>
    <row r="256">
      <c r="A256" s="101">
        <v>44663.0</v>
      </c>
      <c r="B256" s="111">
        <v>2331.0</v>
      </c>
      <c r="C256" s="111">
        <v>2.0</v>
      </c>
      <c r="D256" s="110" t="s">
        <v>228</v>
      </c>
      <c r="E256" s="111">
        <v>1.0</v>
      </c>
      <c r="F256" s="111">
        <v>1.051</v>
      </c>
      <c r="G256" s="111">
        <v>0.585</v>
      </c>
      <c r="H256" s="110" t="s">
        <v>276</v>
      </c>
      <c r="I256" s="112">
        <f t="shared" si="1"/>
        <v>0.7965811966</v>
      </c>
      <c r="J256" s="82">
        <f t="shared" si="2"/>
        <v>0.5566127498</v>
      </c>
      <c r="K256" s="66" t="s">
        <v>292</v>
      </c>
    </row>
    <row r="257">
      <c r="A257" s="101">
        <v>44663.0</v>
      </c>
      <c r="B257" s="111">
        <v>2331.0</v>
      </c>
      <c r="C257" s="111">
        <v>2.0</v>
      </c>
      <c r="D257" s="110" t="s">
        <v>227</v>
      </c>
      <c r="E257" s="111">
        <v>1.0</v>
      </c>
      <c r="F257" s="111">
        <v>0.359</v>
      </c>
      <c r="G257" s="111">
        <v>0.18</v>
      </c>
      <c r="H257" s="110" t="s">
        <v>276</v>
      </c>
      <c r="I257" s="112">
        <f t="shared" si="1"/>
        <v>0.9944444444</v>
      </c>
      <c r="J257" s="82">
        <f t="shared" si="2"/>
        <v>0.5013927577</v>
      </c>
      <c r="K257" s="66" t="s">
        <v>292</v>
      </c>
    </row>
    <row r="258">
      <c r="A258" s="101">
        <v>44663.0</v>
      </c>
      <c r="B258" s="111">
        <v>2331.0</v>
      </c>
      <c r="C258" s="111">
        <v>2.0</v>
      </c>
      <c r="D258" s="110" t="s">
        <v>227</v>
      </c>
      <c r="E258" s="111">
        <v>1.0</v>
      </c>
      <c r="F258" s="111">
        <v>0.301</v>
      </c>
      <c r="G258" s="111">
        <v>0.15</v>
      </c>
      <c r="H258" s="110" t="s">
        <v>276</v>
      </c>
      <c r="I258" s="112">
        <f t="shared" si="1"/>
        <v>1.006666667</v>
      </c>
      <c r="J258" s="82">
        <f t="shared" si="2"/>
        <v>0.4983388704</v>
      </c>
      <c r="K258" s="66" t="s">
        <v>292</v>
      </c>
    </row>
    <row r="259">
      <c r="A259" s="101">
        <v>44663.0</v>
      </c>
      <c r="B259" s="111">
        <v>2343.0</v>
      </c>
      <c r="C259" s="111">
        <v>1.0</v>
      </c>
      <c r="D259" s="110" t="s">
        <v>228</v>
      </c>
      <c r="E259" s="111">
        <v>0.0</v>
      </c>
      <c r="F259" s="111">
        <v>0.913</v>
      </c>
      <c r="G259" s="111">
        <v>0.419</v>
      </c>
      <c r="H259" s="110" t="s">
        <v>276</v>
      </c>
      <c r="I259" s="112">
        <f t="shared" si="1"/>
        <v>1.178997613</v>
      </c>
      <c r="J259" s="82">
        <f t="shared" si="2"/>
        <v>0.4589266156</v>
      </c>
      <c r="K259" s="66" t="s">
        <v>292</v>
      </c>
    </row>
    <row r="260">
      <c r="A260" s="101">
        <v>44663.0</v>
      </c>
      <c r="B260" s="111">
        <v>2343.0</v>
      </c>
      <c r="C260" s="111">
        <v>1.0</v>
      </c>
      <c r="D260" s="110" t="s">
        <v>227</v>
      </c>
      <c r="E260" s="111">
        <v>0.0</v>
      </c>
      <c r="F260" s="111">
        <v>0.125</v>
      </c>
      <c r="G260" s="111">
        <v>0.047</v>
      </c>
      <c r="H260" s="110" t="s">
        <v>276</v>
      </c>
      <c r="I260" s="112">
        <f t="shared" si="1"/>
        <v>1.659574468</v>
      </c>
      <c r="J260" s="82">
        <f t="shared" si="2"/>
        <v>0.376</v>
      </c>
      <c r="K260" s="66" t="s">
        <v>292</v>
      </c>
    </row>
    <row r="261">
      <c r="A261" s="101">
        <v>44663.0</v>
      </c>
      <c r="B261" s="111">
        <v>2343.0</v>
      </c>
      <c r="C261" s="111">
        <v>2.0</v>
      </c>
      <c r="D261" s="110" t="s">
        <v>228</v>
      </c>
      <c r="E261" s="111">
        <v>0.0</v>
      </c>
      <c r="F261" s="111">
        <v>1.224</v>
      </c>
      <c r="G261" s="111">
        <v>0.551</v>
      </c>
      <c r="H261" s="110" t="s">
        <v>276</v>
      </c>
      <c r="I261" s="112">
        <f t="shared" si="1"/>
        <v>1.221415608</v>
      </c>
      <c r="J261" s="82">
        <f t="shared" si="2"/>
        <v>0.4501633987</v>
      </c>
      <c r="K261" s="66" t="s">
        <v>292</v>
      </c>
    </row>
    <row r="262">
      <c r="A262" s="101">
        <v>44663.0</v>
      </c>
      <c r="B262" s="111">
        <v>2343.0</v>
      </c>
      <c r="C262" s="111">
        <v>2.0</v>
      </c>
      <c r="D262" s="110" t="s">
        <v>227</v>
      </c>
      <c r="E262" s="111">
        <v>0.0</v>
      </c>
      <c r="F262" s="111">
        <v>0.145</v>
      </c>
      <c r="G262" s="111">
        <v>0.055</v>
      </c>
      <c r="H262" s="110" t="s">
        <v>276</v>
      </c>
      <c r="I262" s="112">
        <f t="shared" si="1"/>
        <v>1.636363636</v>
      </c>
      <c r="J262" s="82">
        <f t="shared" si="2"/>
        <v>0.3793103448</v>
      </c>
      <c r="K262" s="66" t="s">
        <v>292</v>
      </c>
    </row>
    <row r="263">
      <c r="A263" s="101">
        <v>44663.0</v>
      </c>
      <c r="B263" s="111">
        <v>2343.0</v>
      </c>
      <c r="C263" s="111">
        <v>3.0</v>
      </c>
      <c r="D263" s="110" t="s">
        <v>228</v>
      </c>
      <c r="E263" s="111">
        <v>0.0</v>
      </c>
      <c r="F263" s="111">
        <v>0.984</v>
      </c>
      <c r="G263" s="111">
        <v>0.437</v>
      </c>
      <c r="H263" s="110" t="s">
        <v>276</v>
      </c>
      <c r="I263" s="112">
        <f t="shared" si="1"/>
        <v>1.251716247</v>
      </c>
      <c r="J263" s="82">
        <f t="shared" si="2"/>
        <v>0.4441056911</v>
      </c>
      <c r="K263" s="66" t="s">
        <v>292</v>
      </c>
    </row>
    <row r="264">
      <c r="A264" s="101">
        <v>44663.0</v>
      </c>
      <c r="B264" s="111">
        <v>2343.0</v>
      </c>
      <c r="C264" s="111">
        <v>3.0</v>
      </c>
      <c r="D264" s="110" t="s">
        <v>227</v>
      </c>
      <c r="E264" s="111">
        <v>0.0</v>
      </c>
      <c r="F264" s="111">
        <v>0.148</v>
      </c>
      <c r="G264" s="111">
        <v>0.059</v>
      </c>
      <c r="H264" s="110" t="s">
        <v>276</v>
      </c>
      <c r="I264" s="112">
        <f t="shared" si="1"/>
        <v>1.508474576</v>
      </c>
      <c r="J264" s="82">
        <f t="shared" si="2"/>
        <v>0.3986486486</v>
      </c>
      <c r="K264" s="66" t="s">
        <v>292</v>
      </c>
    </row>
    <row r="265">
      <c r="A265" s="101">
        <v>44663.0</v>
      </c>
      <c r="B265" s="111">
        <v>2346.0</v>
      </c>
      <c r="C265" s="111">
        <v>1.0</v>
      </c>
      <c r="D265" s="110" t="s">
        <v>228</v>
      </c>
      <c r="E265" s="111">
        <v>1.0</v>
      </c>
      <c r="F265" s="111">
        <v>0.313</v>
      </c>
      <c r="G265" s="111">
        <v>0.155</v>
      </c>
      <c r="H265" s="110" t="s">
        <v>276</v>
      </c>
      <c r="I265" s="112">
        <f t="shared" si="1"/>
        <v>1.019354839</v>
      </c>
      <c r="J265" s="82">
        <f t="shared" si="2"/>
        <v>0.4952076677</v>
      </c>
      <c r="K265" s="66" t="s">
        <v>292</v>
      </c>
    </row>
    <row r="266">
      <c r="A266" s="101">
        <v>44663.0</v>
      </c>
      <c r="B266" s="111">
        <v>2346.0</v>
      </c>
      <c r="C266" s="111">
        <v>1.0</v>
      </c>
      <c r="D266" s="110" t="s">
        <v>228</v>
      </c>
      <c r="E266" s="111">
        <v>0.0</v>
      </c>
      <c r="F266" s="111">
        <v>0.978</v>
      </c>
      <c r="G266" s="111">
        <v>0.43</v>
      </c>
      <c r="H266" s="110" t="s">
        <v>276</v>
      </c>
      <c r="I266" s="112">
        <f t="shared" si="1"/>
        <v>1.274418605</v>
      </c>
      <c r="J266" s="82">
        <f t="shared" si="2"/>
        <v>0.4396728016</v>
      </c>
      <c r="K266" s="66" t="s">
        <v>292</v>
      </c>
    </row>
    <row r="267">
      <c r="A267" s="101">
        <v>44663.0</v>
      </c>
      <c r="B267" s="111">
        <v>2346.0</v>
      </c>
      <c r="C267" s="111">
        <v>1.0</v>
      </c>
      <c r="D267" s="110" t="s">
        <v>227</v>
      </c>
      <c r="E267" s="111">
        <v>1.0</v>
      </c>
      <c r="F267" s="111">
        <v>0.266</v>
      </c>
      <c r="G267" s="111">
        <v>0.11</v>
      </c>
      <c r="H267" s="110" t="s">
        <v>276</v>
      </c>
      <c r="I267" s="112">
        <f t="shared" si="1"/>
        <v>1.418181818</v>
      </c>
      <c r="J267" s="82">
        <f t="shared" si="2"/>
        <v>0.4135338346</v>
      </c>
      <c r="K267" s="66" t="s">
        <v>292</v>
      </c>
    </row>
    <row r="268">
      <c r="A268" s="101">
        <v>44663.0</v>
      </c>
      <c r="B268" s="111">
        <v>2346.0</v>
      </c>
      <c r="C268" s="111">
        <v>1.0</v>
      </c>
      <c r="D268" s="110" t="s">
        <v>227</v>
      </c>
      <c r="E268" s="111">
        <v>0.0</v>
      </c>
      <c r="F268" s="111">
        <v>0.203</v>
      </c>
      <c r="G268" s="111">
        <v>0.077</v>
      </c>
      <c r="H268" s="110" t="s">
        <v>276</v>
      </c>
      <c r="I268" s="112">
        <f t="shared" si="1"/>
        <v>1.636363636</v>
      </c>
      <c r="J268" s="82">
        <f t="shared" si="2"/>
        <v>0.3793103448</v>
      </c>
      <c r="K268" s="66" t="s">
        <v>292</v>
      </c>
    </row>
    <row r="269">
      <c r="A269" s="101">
        <v>44663.0</v>
      </c>
      <c r="B269" s="111">
        <v>2346.0</v>
      </c>
      <c r="C269" s="111">
        <v>2.0</v>
      </c>
      <c r="D269" s="110" t="s">
        <v>228</v>
      </c>
      <c r="E269" s="111">
        <v>0.0</v>
      </c>
      <c r="F269" s="111">
        <v>0.229</v>
      </c>
      <c r="G269" s="111">
        <v>0.097</v>
      </c>
      <c r="H269" s="110" t="s">
        <v>276</v>
      </c>
      <c r="I269" s="112">
        <f t="shared" si="1"/>
        <v>1.360824742</v>
      </c>
      <c r="J269" s="82">
        <f t="shared" si="2"/>
        <v>0.423580786</v>
      </c>
      <c r="K269" s="66" t="s">
        <v>292</v>
      </c>
    </row>
    <row r="270">
      <c r="A270" s="101">
        <v>44663.0</v>
      </c>
      <c r="B270" s="111">
        <v>2346.0</v>
      </c>
      <c r="C270" s="111">
        <v>2.0</v>
      </c>
      <c r="D270" s="110" t="s">
        <v>227</v>
      </c>
      <c r="E270" s="111">
        <v>0.0</v>
      </c>
      <c r="F270" s="111">
        <v>0.011</v>
      </c>
      <c r="G270" s="111">
        <v>0.004</v>
      </c>
      <c r="H270" s="110" t="s">
        <v>276</v>
      </c>
      <c r="I270" s="112">
        <f t="shared" si="1"/>
        <v>1.75</v>
      </c>
      <c r="J270" s="82">
        <f t="shared" si="2"/>
        <v>0.3636363636</v>
      </c>
      <c r="K270" s="66" t="s">
        <v>292</v>
      </c>
    </row>
    <row r="271">
      <c r="A271" s="101">
        <v>44663.0</v>
      </c>
      <c r="B271" s="111">
        <v>2346.0</v>
      </c>
      <c r="C271" s="111">
        <v>3.0</v>
      </c>
      <c r="D271" s="110" t="s">
        <v>228</v>
      </c>
      <c r="E271" s="111">
        <v>0.0</v>
      </c>
      <c r="F271" s="111">
        <v>0.569</v>
      </c>
      <c r="G271" s="111">
        <v>0.249</v>
      </c>
      <c r="H271" s="110" t="s">
        <v>276</v>
      </c>
      <c r="I271" s="112">
        <f t="shared" si="1"/>
        <v>1.285140562</v>
      </c>
      <c r="J271" s="82">
        <f t="shared" si="2"/>
        <v>0.4376098418</v>
      </c>
      <c r="K271" s="66" t="s">
        <v>292</v>
      </c>
    </row>
    <row r="272">
      <c r="A272" s="101">
        <v>44663.0</v>
      </c>
      <c r="B272" s="111">
        <v>2346.0</v>
      </c>
      <c r="C272" s="111">
        <v>3.0</v>
      </c>
      <c r="D272" s="110" t="s">
        <v>227</v>
      </c>
      <c r="E272" s="111">
        <v>0.0</v>
      </c>
      <c r="F272" s="111">
        <v>0.069</v>
      </c>
      <c r="G272" s="111">
        <v>0.025</v>
      </c>
      <c r="H272" s="110" t="s">
        <v>276</v>
      </c>
      <c r="I272" s="112">
        <f t="shared" si="1"/>
        <v>1.76</v>
      </c>
      <c r="J272" s="82">
        <f t="shared" si="2"/>
        <v>0.3623188406</v>
      </c>
      <c r="K272" s="66" t="s">
        <v>292</v>
      </c>
    </row>
    <row r="273">
      <c r="A273" s="101">
        <v>44663.0</v>
      </c>
      <c r="B273" s="111">
        <v>2347.0</v>
      </c>
      <c r="C273" s="111">
        <v>1.0</v>
      </c>
      <c r="D273" s="110" t="s">
        <v>228</v>
      </c>
      <c r="E273" s="111">
        <v>0.0</v>
      </c>
      <c r="F273" s="111">
        <v>1.191</v>
      </c>
      <c r="G273" s="111">
        <v>0.506</v>
      </c>
      <c r="H273" s="110" t="s">
        <v>276</v>
      </c>
      <c r="I273" s="112">
        <f t="shared" si="1"/>
        <v>1.353754941</v>
      </c>
      <c r="J273" s="82">
        <f t="shared" si="2"/>
        <v>0.4248530647</v>
      </c>
      <c r="K273" s="66" t="s">
        <v>292</v>
      </c>
    </row>
    <row r="274">
      <c r="A274" s="101">
        <v>44663.0</v>
      </c>
      <c r="B274" s="111">
        <v>2347.0</v>
      </c>
      <c r="C274" s="111">
        <v>1.0</v>
      </c>
      <c r="D274" s="110" t="s">
        <v>227</v>
      </c>
      <c r="E274" s="111">
        <v>0.0</v>
      </c>
      <c r="F274" s="111">
        <v>0.159</v>
      </c>
      <c r="G274" s="111">
        <v>0.058</v>
      </c>
      <c r="H274" s="110" t="s">
        <v>276</v>
      </c>
      <c r="I274" s="112">
        <f t="shared" si="1"/>
        <v>1.74137931</v>
      </c>
      <c r="J274" s="82">
        <f t="shared" si="2"/>
        <v>0.3647798742</v>
      </c>
      <c r="K274" s="66" t="s">
        <v>292</v>
      </c>
    </row>
    <row r="275">
      <c r="A275" s="101">
        <v>44663.0</v>
      </c>
      <c r="B275" s="111">
        <v>2347.0</v>
      </c>
      <c r="C275" s="111">
        <v>2.0</v>
      </c>
      <c r="D275" s="110" t="s">
        <v>227</v>
      </c>
      <c r="E275" s="111">
        <v>0.0</v>
      </c>
      <c r="F275" s="111">
        <v>0.049</v>
      </c>
      <c r="G275" s="111">
        <v>0.021</v>
      </c>
      <c r="H275" s="110" t="s">
        <v>276</v>
      </c>
      <c r="I275" s="112">
        <f t="shared" si="1"/>
        <v>1.333333333</v>
      </c>
      <c r="J275" s="82">
        <f t="shared" si="2"/>
        <v>0.4285714286</v>
      </c>
      <c r="K275" s="66" t="s">
        <v>292</v>
      </c>
    </row>
    <row r="276">
      <c r="A276" s="101">
        <v>44663.0</v>
      </c>
      <c r="B276" s="111">
        <v>2347.0</v>
      </c>
      <c r="C276" s="111">
        <v>2.0</v>
      </c>
      <c r="D276" s="110" t="s">
        <v>228</v>
      </c>
      <c r="E276" s="111">
        <v>0.0</v>
      </c>
      <c r="F276" s="111">
        <v>0.7</v>
      </c>
      <c r="G276" s="111">
        <v>0.294</v>
      </c>
      <c r="H276" s="110" t="s">
        <v>276</v>
      </c>
      <c r="I276" s="112">
        <f t="shared" si="1"/>
        <v>1.380952381</v>
      </c>
      <c r="J276" s="82">
        <f t="shared" si="2"/>
        <v>0.42</v>
      </c>
      <c r="K276" s="66" t="s">
        <v>292</v>
      </c>
    </row>
    <row r="277">
      <c r="A277" s="101">
        <v>44663.0</v>
      </c>
      <c r="B277" s="111">
        <v>2347.0</v>
      </c>
      <c r="C277" s="111">
        <v>3.0</v>
      </c>
      <c r="D277" s="110" t="s">
        <v>228</v>
      </c>
      <c r="E277" s="111">
        <v>0.0</v>
      </c>
      <c r="F277" s="111">
        <v>0.347</v>
      </c>
      <c r="G277" s="111">
        <v>0.151</v>
      </c>
      <c r="H277" s="110" t="s">
        <v>276</v>
      </c>
      <c r="I277" s="112">
        <f t="shared" si="1"/>
        <v>1.298013245</v>
      </c>
      <c r="J277" s="82">
        <f t="shared" si="2"/>
        <v>0.4351585014</v>
      </c>
      <c r="K277" s="66" t="s">
        <v>292</v>
      </c>
    </row>
    <row r="278">
      <c r="A278" s="101">
        <v>44663.0</v>
      </c>
      <c r="B278" s="111">
        <v>2347.0</v>
      </c>
      <c r="C278" s="111">
        <v>3.0</v>
      </c>
      <c r="D278" s="110" t="s">
        <v>227</v>
      </c>
      <c r="E278" s="111">
        <v>0.0</v>
      </c>
      <c r="F278" s="111">
        <v>0.021</v>
      </c>
      <c r="G278" s="111">
        <v>0.007</v>
      </c>
      <c r="H278" s="110" t="s">
        <v>276</v>
      </c>
      <c r="I278" s="112">
        <f t="shared" si="1"/>
        <v>2</v>
      </c>
      <c r="J278" s="82">
        <f t="shared" si="2"/>
        <v>0.3333333333</v>
      </c>
      <c r="K278" s="66" t="s">
        <v>292</v>
      </c>
    </row>
    <row r="279">
      <c r="A279" s="101">
        <v>44663.0</v>
      </c>
      <c r="B279" s="111">
        <v>2348.0</v>
      </c>
      <c r="C279" s="111">
        <v>1.0</v>
      </c>
      <c r="D279" s="110" t="s">
        <v>228</v>
      </c>
      <c r="E279" s="111">
        <v>0.0</v>
      </c>
      <c r="F279" s="111">
        <v>0.915</v>
      </c>
      <c r="G279" s="111">
        <v>0.371</v>
      </c>
      <c r="H279" s="110" t="s">
        <v>276</v>
      </c>
      <c r="I279" s="112">
        <f t="shared" si="1"/>
        <v>1.466307278</v>
      </c>
      <c r="J279" s="82">
        <f t="shared" si="2"/>
        <v>0.4054644809</v>
      </c>
      <c r="K279" s="66" t="s">
        <v>292</v>
      </c>
    </row>
    <row r="280">
      <c r="A280" s="101">
        <v>44663.0</v>
      </c>
      <c r="B280" s="111">
        <v>2348.0</v>
      </c>
      <c r="C280" s="111">
        <v>1.0</v>
      </c>
      <c r="D280" s="110" t="s">
        <v>227</v>
      </c>
      <c r="E280" s="111">
        <v>0.0</v>
      </c>
      <c r="F280" s="111">
        <v>0.08</v>
      </c>
      <c r="G280" s="111">
        <v>0.027</v>
      </c>
      <c r="H280" s="110" t="s">
        <v>276</v>
      </c>
      <c r="I280" s="112">
        <f t="shared" si="1"/>
        <v>1.962962963</v>
      </c>
      <c r="J280" s="82">
        <f t="shared" si="2"/>
        <v>0.3375</v>
      </c>
      <c r="K280" s="66" t="s">
        <v>292</v>
      </c>
    </row>
    <row r="281">
      <c r="A281" s="101">
        <v>44663.0</v>
      </c>
      <c r="B281" s="111">
        <v>2348.0</v>
      </c>
      <c r="C281" s="111">
        <v>2.0</v>
      </c>
      <c r="D281" s="110" t="s">
        <v>228</v>
      </c>
      <c r="E281" s="111">
        <v>0.0</v>
      </c>
      <c r="F281" s="111">
        <v>0.516</v>
      </c>
      <c r="G281" s="111">
        <v>0.204</v>
      </c>
      <c r="H281" s="110" t="s">
        <v>276</v>
      </c>
      <c r="I281" s="112">
        <f t="shared" si="1"/>
        <v>1.529411765</v>
      </c>
      <c r="J281" s="82">
        <f t="shared" si="2"/>
        <v>0.3953488372</v>
      </c>
      <c r="K281" s="66" t="s">
        <v>292</v>
      </c>
    </row>
    <row r="282">
      <c r="A282" s="101">
        <v>44663.0</v>
      </c>
      <c r="B282" s="111">
        <v>2348.0</v>
      </c>
      <c r="C282" s="111">
        <v>2.0</v>
      </c>
      <c r="D282" s="110" t="s">
        <v>227</v>
      </c>
      <c r="E282" s="111">
        <v>0.0</v>
      </c>
      <c r="F282" s="111">
        <v>0.045</v>
      </c>
      <c r="G282" s="111">
        <v>0.016</v>
      </c>
      <c r="H282" s="110" t="s">
        <v>276</v>
      </c>
      <c r="I282" s="112">
        <f t="shared" si="1"/>
        <v>1.8125</v>
      </c>
      <c r="J282" s="82">
        <f t="shared" si="2"/>
        <v>0.3555555556</v>
      </c>
      <c r="K282" s="66" t="s">
        <v>292</v>
      </c>
    </row>
    <row r="283">
      <c r="A283" s="101">
        <v>44663.0</v>
      </c>
      <c r="B283" s="111">
        <v>2348.0</v>
      </c>
      <c r="C283" s="111">
        <v>3.0</v>
      </c>
      <c r="D283" s="110" t="s">
        <v>228</v>
      </c>
      <c r="E283" s="111">
        <v>0.0</v>
      </c>
      <c r="F283" s="111">
        <v>0.537</v>
      </c>
      <c r="G283" s="111">
        <v>0.214</v>
      </c>
      <c r="H283" s="110" t="s">
        <v>276</v>
      </c>
      <c r="I283" s="112">
        <f t="shared" si="1"/>
        <v>1.509345794</v>
      </c>
      <c r="J283" s="82">
        <f t="shared" si="2"/>
        <v>0.3985102421</v>
      </c>
      <c r="K283" s="66" t="s">
        <v>292</v>
      </c>
    </row>
    <row r="284">
      <c r="A284" s="101">
        <v>44663.0</v>
      </c>
      <c r="B284" s="111">
        <v>2348.0</v>
      </c>
      <c r="C284" s="111">
        <v>3.0</v>
      </c>
      <c r="D284" s="110" t="s">
        <v>227</v>
      </c>
      <c r="E284" s="111">
        <v>0.0</v>
      </c>
      <c r="F284" s="111">
        <v>0.036</v>
      </c>
      <c r="G284" s="111">
        <v>0.013</v>
      </c>
      <c r="H284" s="110" t="s">
        <v>276</v>
      </c>
      <c r="I284" s="112">
        <f t="shared" si="1"/>
        <v>1.769230769</v>
      </c>
      <c r="J284" s="82">
        <f t="shared" si="2"/>
        <v>0.3611111111</v>
      </c>
      <c r="K284" s="66" t="s">
        <v>292</v>
      </c>
    </row>
    <row r="285">
      <c r="A285" s="101">
        <v>44663.0</v>
      </c>
      <c r="B285" s="111">
        <v>2349.0</v>
      </c>
      <c r="C285" s="111">
        <v>1.0</v>
      </c>
      <c r="D285" s="110" t="s">
        <v>228</v>
      </c>
      <c r="E285" s="111">
        <v>0.0</v>
      </c>
      <c r="F285" s="111">
        <v>0.678</v>
      </c>
      <c r="G285" s="111">
        <v>0.255</v>
      </c>
      <c r="H285" s="110" t="s">
        <v>276</v>
      </c>
      <c r="I285" s="112">
        <f t="shared" si="1"/>
        <v>1.658823529</v>
      </c>
      <c r="J285" s="82">
        <f t="shared" si="2"/>
        <v>0.3761061947</v>
      </c>
      <c r="K285" s="66" t="s">
        <v>292</v>
      </c>
    </row>
    <row r="286">
      <c r="A286" s="101">
        <v>44663.0</v>
      </c>
      <c r="B286" s="111">
        <v>2349.0</v>
      </c>
      <c r="C286" s="111">
        <v>1.0</v>
      </c>
      <c r="D286" s="110" t="s">
        <v>227</v>
      </c>
      <c r="E286" s="111">
        <v>0.0</v>
      </c>
      <c r="F286" s="111">
        <v>0.032</v>
      </c>
      <c r="G286" s="111">
        <v>0.011</v>
      </c>
      <c r="H286" s="110" t="s">
        <v>276</v>
      </c>
      <c r="I286" s="112">
        <f t="shared" si="1"/>
        <v>1.909090909</v>
      </c>
      <c r="J286" s="82">
        <f t="shared" si="2"/>
        <v>0.34375</v>
      </c>
      <c r="K286" s="66" t="s">
        <v>292</v>
      </c>
    </row>
    <row r="287">
      <c r="A287" s="101">
        <v>44663.0</v>
      </c>
      <c r="B287" s="111">
        <v>2349.0</v>
      </c>
      <c r="C287" s="111">
        <v>2.0</v>
      </c>
      <c r="D287" s="110" t="s">
        <v>228</v>
      </c>
      <c r="E287" s="111">
        <v>0.0</v>
      </c>
      <c r="F287" s="111">
        <v>1.207</v>
      </c>
      <c r="G287" s="111">
        <v>0.463</v>
      </c>
      <c r="H287" s="110" t="s">
        <v>276</v>
      </c>
      <c r="I287" s="112">
        <f t="shared" si="1"/>
        <v>1.606911447</v>
      </c>
      <c r="J287" s="82">
        <f t="shared" si="2"/>
        <v>0.3835956918</v>
      </c>
      <c r="K287" s="66" t="s">
        <v>292</v>
      </c>
    </row>
    <row r="288">
      <c r="A288" s="101">
        <v>44663.0</v>
      </c>
      <c r="B288" s="111">
        <v>2349.0</v>
      </c>
      <c r="C288" s="111">
        <v>2.0</v>
      </c>
      <c r="D288" s="110" t="s">
        <v>227</v>
      </c>
      <c r="E288" s="111">
        <v>0.0</v>
      </c>
      <c r="F288" s="111">
        <v>0.082</v>
      </c>
      <c r="G288" s="111">
        <v>0.031</v>
      </c>
      <c r="H288" s="110" t="s">
        <v>276</v>
      </c>
      <c r="I288" s="112">
        <f t="shared" si="1"/>
        <v>1.64516129</v>
      </c>
      <c r="J288" s="82">
        <f t="shared" si="2"/>
        <v>0.3780487805</v>
      </c>
      <c r="K288" s="66" t="s">
        <v>292</v>
      </c>
    </row>
    <row r="289">
      <c r="A289" s="101">
        <v>44663.0</v>
      </c>
      <c r="B289" s="111">
        <v>2349.0</v>
      </c>
      <c r="C289" s="111">
        <v>3.0</v>
      </c>
      <c r="D289" s="110" t="s">
        <v>227</v>
      </c>
      <c r="E289" s="111">
        <v>0.0</v>
      </c>
      <c r="F289" s="111">
        <v>0.02</v>
      </c>
      <c r="G289" s="111">
        <v>0.008</v>
      </c>
      <c r="H289" s="110" t="s">
        <v>276</v>
      </c>
      <c r="I289" s="112">
        <f t="shared" si="1"/>
        <v>1.5</v>
      </c>
      <c r="J289" s="82">
        <f t="shared" si="2"/>
        <v>0.4</v>
      </c>
      <c r="K289" s="66" t="s">
        <v>292</v>
      </c>
    </row>
    <row r="290">
      <c r="A290" s="101">
        <v>44663.0</v>
      </c>
      <c r="B290" s="111">
        <v>2349.0</v>
      </c>
      <c r="C290" s="111">
        <v>3.0</v>
      </c>
      <c r="D290" s="110" t="s">
        <v>228</v>
      </c>
      <c r="E290" s="111">
        <v>0.0</v>
      </c>
      <c r="F290" s="111">
        <v>0.453</v>
      </c>
      <c r="G290" s="111">
        <v>0.174</v>
      </c>
      <c r="H290" s="110" t="s">
        <v>276</v>
      </c>
      <c r="I290" s="112">
        <f t="shared" si="1"/>
        <v>1.603448276</v>
      </c>
      <c r="J290" s="82">
        <f t="shared" si="2"/>
        <v>0.3841059603</v>
      </c>
      <c r="K290" s="66" t="s">
        <v>292</v>
      </c>
    </row>
    <row r="291">
      <c r="A291" s="101">
        <v>44663.0</v>
      </c>
      <c r="B291" s="111">
        <v>2351.0</v>
      </c>
      <c r="C291" s="111">
        <v>1.0</v>
      </c>
      <c r="D291" s="110" t="s">
        <v>227</v>
      </c>
      <c r="E291" s="111">
        <v>0.0</v>
      </c>
      <c r="F291" s="111">
        <v>0.115</v>
      </c>
      <c r="G291" s="111">
        <v>0.034</v>
      </c>
      <c r="H291" s="110" t="s">
        <v>276</v>
      </c>
      <c r="I291" s="112">
        <f t="shared" si="1"/>
        <v>2.382352941</v>
      </c>
      <c r="J291" s="82">
        <f t="shared" si="2"/>
        <v>0.2956521739</v>
      </c>
      <c r="K291" s="66" t="s">
        <v>292</v>
      </c>
    </row>
    <row r="292">
      <c r="A292" s="101">
        <v>44663.0</v>
      </c>
      <c r="B292" s="111">
        <v>2351.0</v>
      </c>
      <c r="C292" s="111">
        <v>1.0</v>
      </c>
      <c r="D292" s="110" t="s">
        <v>228</v>
      </c>
      <c r="E292" s="111">
        <v>0.0</v>
      </c>
      <c r="F292" s="111">
        <v>0.827</v>
      </c>
      <c r="G292" s="111">
        <v>0.235</v>
      </c>
      <c r="H292" s="110" t="s">
        <v>276</v>
      </c>
      <c r="I292" s="112">
        <f t="shared" si="1"/>
        <v>2.519148936</v>
      </c>
      <c r="J292" s="82">
        <f t="shared" si="2"/>
        <v>0.2841596131</v>
      </c>
      <c r="K292" s="66" t="s">
        <v>292</v>
      </c>
    </row>
    <row r="293">
      <c r="A293" s="101">
        <v>44663.0</v>
      </c>
      <c r="B293" s="111">
        <v>2351.0</v>
      </c>
      <c r="C293" s="111">
        <v>2.0</v>
      </c>
      <c r="D293" s="110" t="s">
        <v>228</v>
      </c>
      <c r="E293" s="111">
        <v>0.0</v>
      </c>
      <c r="F293" s="111">
        <v>1.036</v>
      </c>
      <c r="G293" s="111">
        <v>0.351</v>
      </c>
      <c r="H293" s="110" t="s">
        <v>276</v>
      </c>
      <c r="I293" s="112">
        <f t="shared" si="1"/>
        <v>1.951566952</v>
      </c>
      <c r="J293" s="82">
        <f t="shared" si="2"/>
        <v>0.3388030888</v>
      </c>
      <c r="K293" s="66" t="s">
        <v>292</v>
      </c>
    </row>
    <row r="294">
      <c r="A294" s="101">
        <v>44663.0</v>
      </c>
      <c r="B294" s="111">
        <v>2351.0</v>
      </c>
      <c r="C294" s="111">
        <v>2.0</v>
      </c>
      <c r="D294" s="110" t="s">
        <v>227</v>
      </c>
      <c r="E294" s="111">
        <v>0.0</v>
      </c>
      <c r="F294" s="111">
        <v>0.118</v>
      </c>
      <c r="G294" s="111">
        <v>0.038</v>
      </c>
      <c r="H294" s="110" t="s">
        <v>276</v>
      </c>
      <c r="I294" s="112">
        <f t="shared" si="1"/>
        <v>2.105263158</v>
      </c>
      <c r="J294" s="82">
        <f t="shared" si="2"/>
        <v>0.3220338983</v>
      </c>
      <c r="K294" s="66" t="s">
        <v>292</v>
      </c>
    </row>
    <row r="295">
      <c r="A295" s="101">
        <v>44663.0</v>
      </c>
      <c r="B295" s="111">
        <v>2351.0</v>
      </c>
      <c r="C295" s="111">
        <v>3.0</v>
      </c>
      <c r="D295" s="110" t="s">
        <v>227</v>
      </c>
      <c r="E295" s="111">
        <v>0.0</v>
      </c>
      <c r="F295" s="111">
        <v>0.07</v>
      </c>
      <c r="G295" s="111">
        <v>0.022</v>
      </c>
      <c r="H295" s="110" t="s">
        <v>276</v>
      </c>
      <c r="I295" s="112">
        <f t="shared" si="1"/>
        <v>2.181818182</v>
      </c>
      <c r="J295" s="82">
        <f t="shared" si="2"/>
        <v>0.3142857143</v>
      </c>
      <c r="K295" s="66" t="s">
        <v>292</v>
      </c>
    </row>
    <row r="296">
      <c r="A296" s="101">
        <v>44663.0</v>
      </c>
      <c r="B296" s="111">
        <v>2351.0</v>
      </c>
      <c r="C296" s="111">
        <v>3.0</v>
      </c>
      <c r="D296" s="110" t="s">
        <v>228</v>
      </c>
      <c r="E296" s="111">
        <v>0.0</v>
      </c>
      <c r="F296" s="111">
        <v>0.869</v>
      </c>
      <c r="G296" s="111">
        <v>0.26</v>
      </c>
      <c r="H296" s="110" t="s">
        <v>276</v>
      </c>
      <c r="I296" s="112">
        <f t="shared" si="1"/>
        <v>2.342307692</v>
      </c>
      <c r="J296" s="82">
        <f t="shared" si="2"/>
        <v>0.2991944764</v>
      </c>
      <c r="K296" s="66" t="s">
        <v>292</v>
      </c>
    </row>
    <row r="297">
      <c r="A297" s="101">
        <v>44663.0</v>
      </c>
      <c r="B297" s="111">
        <v>2352.0</v>
      </c>
      <c r="C297" s="111">
        <v>1.0</v>
      </c>
      <c r="D297" s="110" t="s">
        <v>228</v>
      </c>
      <c r="E297" s="111">
        <v>1.0</v>
      </c>
      <c r="F297" s="111">
        <v>0.324</v>
      </c>
      <c r="G297" s="111">
        <v>0.181</v>
      </c>
      <c r="H297" s="110" t="s">
        <v>276</v>
      </c>
      <c r="I297" s="112">
        <f t="shared" si="1"/>
        <v>0.7900552486</v>
      </c>
      <c r="J297" s="82">
        <f t="shared" si="2"/>
        <v>0.5586419753</v>
      </c>
      <c r="K297" s="66" t="s">
        <v>292</v>
      </c>
    </row>
    <row r="298">
      <c r="A298" s="101">
        <v>44663.0</v>
      </c>
      <c r="B298" s="111">
        <v>2352.0</v>
      </c>
      <c r="C298" s="111">
        <v>1.0</v>
      </c>
      <c r="D298" s="110" t="s">
        <v>227</v>
      </c>
      <c r="E298" s="111">
        <v>1.0</v>
      </c>
      <c r="F298" s="111">
        <v>0.094</v>
      </c>
      <c r="G298" s="111">
        <v>0.047</v>
      </c>
      <c r="H298" s="110" t="s">
        <v>276</v>
      </c>
      <c r="I298" s="112">
        <f t="shared" si="1"/>
        <v>1</v>
      </c>
      <c r="J298" s="82">
        <f t="shared" si="2"/>
        <v>0.5</v>
      </c>
      <c r="K298" s="66" t="s">
        <v>292</v>
      </c>
    </row>
    <row r="299">
      <c r="A299" s="101">
        <v>44663.0</v>
      </c>
      <c r="B299" s="111">
        <v>2352.0</v>
      </c>
      <c r="C299" s="111">
        <v>2.0</v>
      </c>
      <c r="D299" s="110" t="s">
        <v>228</v>
      </c>
      <c r="E299" s="111">
        <v>1.0</v>
      </c>
      <c r="F299" s="111">
        <v>0.694</v>
      </c>
      <c r="G299" s="111">
        <v>0.388</v>
      </c>
      <c r="H299" s="110" t="s">
        <v>276</v>
      </c>
      <c r="I299" s="112">
        <f t="shared" si="1"/>
        <v>0.7886597938</v>
      </c>
      <c r="J299" s="82">
        <f t="shared" si="2"/>
        <v>0.5590778098</v>
      </c>
      <c r="K299" s="66" t="s">
        <v>292</v>
      </c>
    </row>
    <row r="300">
      <c r="A300" s="101">
        <v>44663.0</v>
      </c>
      <c r="B300" s="111">
        <v>2352.0</v>
      </c>
      <c r="C300" s="111">
        <v>2.0</v>
      </c>
      <c r="D300" s="110" t="s">
        <v>227</v>
      </c>
      <c r="E300" s="111">
        <v>1.0</v>
      </c>
      <c r="F300" s="111">
        <v>0.194</v>
      </c>
      <c r="G300" s="111">
        <v>0.099</v>
      </c>
      <c r="H300" s="110" t="s">
        <v>276</v>
      </c>
      <c r="I300" s="112">
        <f t="shared" si="1"/>
        <v>0.9595959596</v>
      </c>
      <c r="J300" s="82">
        <f t="shared" si="2"/>
        <v>0.5103092784</v>
      </c>
      <c r="K300" s="66" t="s">
        <v>292</v>
      </c>
    </row>
    <row r="301">
      <c r="A301" s="101">
        <v>44663.0</v>
      </c>
      <c r="B301" s="111">
        <v>2354.0</v>
      </c>
      <c r="C301" s="111">
        <v>1.0</v>
      </c>
      <c r="D301" s="110" t="s">
        <v>228</v>
      </c>
      <c r="E301" s="111">
        <v>1.0</v>
      </c>
      <c r="F301" s="111">
        <v>1.115</v>
      </c>
      <c r="G301" s="111">
        <v>0.638</v>
      </c>
      <c r="H301" s="110" t="s">
        <v>276</v>
      </c>
      <c r="I301" s="112">
        <f t="shared" si="1"/>
        <v>0.7476489028</v>
      </c>
      <c r="J301" s="82">
        <f t="shared" si="2"/>
        <v>0.5721973094</v>
      </c>
      <c r="K301" s="66" t="s">
        <v>292</v>
      </c>
    </row>
    <row r="302">
      <c r="A302" s="101">
        <v>44663.0</v>
      </c>
      <c r="B302" s="111">
        <v>2354.0</v>
      </c>
      <c r="C302" s="111">
        <v>1.0</v>
      </c>
      <c r="D302" s="110" t="s">
        <v>227</v>
      </c>
      <c r="E302" s="111">
        <v>1.0</v>
      </c>
      <c r="F302" s="111">
        <v>0.269</v>
      </c>
      <c r="G302" s="111">
        <v>0.115</v>
      </c>
      <c r="H302" s="110" t="s">
        <v>276</v>
      </c>
      <c r="I302" s="112">
        <f t="shared" si="1"/>
        <v>1.339130435</v>
      </c>
      <c r="J302" s="82">
        <f t="shared" si="2"/>
        <v>0.4275092937</v>
      </c>
      <c r="K302" s="66" t="s">
        <v>292</v>
      </c>
    </row>
    <row r="303">
      <c r="A303" s="101">
        <v>44663.0</v>
      </c>
      <c r="B303" s="111">
        <v>2354.0</v>
      </c>
      <c r="C303" s="111">
        <v>1.0</v>
      </c>
      <c r="D303" s="110" t="s">
        <v>228</v>
      </c>
      <c r="E303" s="111">
        <v>0.0</v>
      </c>
      <c r="F303" s="111">
        <v>0.83</v>
      </c>
      <c r="G303" s="111">
        <v>0.347</v>
      </c>
      <c r="H303" s="110" t="s">
        <v>276</v>
      </c>
      <c r="I303" s="112">
        <f t="shared" si="1"/>
        <v>1.391930836</v>
      </c>
      <c r="J303" s="82">
        <f t="shared" si="2"/>
        <v>0.4180722892</v>
      </c>
      <c r="K303" s="66" t="s">
        <v>292</v>
      </c>
    </row>
    <row r="304">
      <c r="A304" s="101">
        <v>44663.0</v>
      </c>
      <c r="B304" s="111">
        <v>2354.0</v>
      </c>
      <c r="C304" s="111">
        <v>1.0</v>
      </c>
      <c r="D304" s="110" t="s">
        <v>227</v>
      </c>
      <c r="E304" s="111">
        <v>0.0</v>
      </c>
      <c r="F304" s="111">
        <v>0.038</v>
      </c>
      <c r="G304" s="111">
        <v>0.012</v>
      </c>
      <c r="H304" s="110" t="s">
        <v>276</v>
      </c>
      <c r="I304" s="112">
        <f t="shared" si="1"/>
        <v>2.166666667</v>
      </c>
      <c r="J304" s="82">
        <f t="shared" si="2"/>
        <v>0.3157894737</v>
      </c>
      <c r="K304" s="66" t="s">
        <v>292</v>
      </c>
    </row>
    <row r="305">
      <c r="A305" s="101">
        <v>44663.0</v>
      </c>
      <c r="B305" s="111">
        <v>2354.0</v>
      </c>
      <c r="C305" s="111">
        <v>2.0</v>
      </c>
      <c r="D305" s="110" t="s">
        <v>228</v>
      </c>
      <c r="E305" s="111">
        <v>0.0</v>
      </c>
      <c r="F305" s="111">
        <v>0.899</v>
      </c>
      <c r="G305" s="111">
        <v>0.387</v>
      </c>
      <c r="H305" s="110" t="s">
        <v>276</v>
      </c>
      <c r="I305" s="112">
        <f t="shared" si="1"/>
        <v>1.322997416</v>
      </c>
      <c r="J305" s="82">
        <f t="shared" si="2"/>
        <v>0.4304783092</v>
      </c>
      <c r="K305" s="66" t="s">
        <v>292</v>
      </c>
    </row>
    <row r="306">
      <c r="A306" s="101">
        <v>44663.0</v>
      </c>
      <c r="B306" s="111">
        <v>2354.0</v>
      </c>
      <c r="C306" s="111">
        <v>2.0</v>
      </c>
      <c r="D306" s="110" t="s">
        <v>227</v>
      </c>
      <c r="E306" s="111">
        <v>0.0</v>
      </c>
      <c r="F306" s="111">
        <v>0.038</v>
      </c>
      <c r="G306" s="111">
        <v>0.013</v>
      </c>
      <c r="H306" s="110" t="s">
        <v>276</v>
      </c>
      <c r="I306" s="112">
        <f t="shared" si="1"/>
        <v>1.923076923</v>
      </c>
      <c r="J306" s="82">
        <f t="shared" si="2"/>
        <v>0.3421052632</v>
      </c>
      <c r="K306" s="66" t="s">
        <v>292</v>
      </c>
    </row>
    <row r="307">
      <c r="A307" s="101">
        <v>44663.0</v>
      </c>
      <c r="B307" s="111">
        <v>2354.0</v>
      </c>
      <c r="C307" s="111">
        <v>3.0</v>
      </c>
      <c r="D307" s="110" t="s">
        <v>228</v>
      </c>
      <c r="E307" s="111">
        <v>1.0</v>
      </c>
      <c r="F307" s="111">
        <v>0.282</v>
      </c>
      <c r="G307" s="111">
        <v>0.16</v>
      </c>
      <c r="H307" s="110" t="s">
        <v>276</v>
      </c>
      <c r="I307" s="112">
        <f t="shared" si="1"/>
        <v>0.7625</v>
      </c>
      <c r="J307" s="82">
        <f t="shared" si="2"/>
        <v>0.5673758865</v>
      </c>
      <c r="K307" s="66" t="s">
        <v>292</v>
      </c>
    </row>
    <row r="308">
      <c r="A308" s="101">
        <v>44663.0</v>
      </c>
      <c r="B308" s="111">
        <v>2354.0</v>
      </c>
      <c r="C308" s="111">
        <v>3.0</v>
      </c>
      <c r="D308" s="110" t="s">
        <v>227</v>
      </c>
      <c r="E308" s="111">
        <v>1.0</v>
      </c>
      <c r="F308" s="111">
        <v>0.277</v>
      </c>
      <c r="G308" s="111">
        <v>0.122</v>
      </c>
      <c r="H308" s="110" t="s">
        <v>276</v>
      </c>
      <c r="I308" s="112">
        <f t="shared" si="1"/>
        <v>1.270491803</v>
      </c>
      <c r="J308" s="82">
        <f t="shared" si="2"/>
        <v>0.440433213</v>
      </c>
      <c r="K308" s="66" t="s">
        <v>292</v>
      </c>
    </row>
    <row r="309">
      <c r="A309" s="101">
        <v>44663.0</v>
      </c>
      <c r="B309" s="111">
        <v>2354.0</v>
      </c>
      <c r="C309" s="111">
        <v>3.0</v>
      </c>
      <c r="D309" s="110" t="s">
        <v>228</v>
      </c>
      <c r="E309" s="111">
        <v>0.0</v>
      </c>
      <c r="F309" s="111">
        <v>0.496</v>
      </c>
      <c r="G309" s="111">
        <v>0.212</v>
      </c>
      <c r="H309" s="110" t="s">
        <v>276</v>
      </c>
      <c r="I309" s="112">
        <f t="shared" si="1"/>
        <v>1.339622642</v>
      </c>
      <c r="J309" s="82">
        <f t="shared" si="2"/>
        <v>0.4274193548</v>
      </c>
      <c r="K309" s="66" t="s">
        <v>292</v>
      </c>
    </row>
    <row r="310">
      <c r="A310" s="101">
        <v>44663.0</v>
      </c>
      <c r="B310" s="111">
        <v>2354.0</v>
      </c>
      <c r="C310" s="111">
        <v>3.0</v>
      </c>
      <c r="D310" s="110" t="s">
        <v>227</v>
      </c>
      <c r="E310" s="111">
        <v>0.0</v>
      </c>
      <c r="F310" s="111">
        <v>0.029</v>
      </c>
      <c r="G310" s="111">
        <v>0.01</v>
      </c>
      <c r="H310" s="110" t="s">
        <v>276</v>
      </c>
      <c r="I310" s="112">
        <f t="shared" si="1"/>
        <v>1.9</v>
      </c>
      <c r="J310" s="82">
        <f t="shared" si="2"/>
        <v>0.3448275862</v>
      </c>
      <c r="K310" s="66" t="s">
        <v>292</v>
      </c>
    </row>
    <row r="311">
      <c r="A311" s="101">
        <v>44663.0</v>
      </c>
      <c r="B311" s="111">
        <v>2370.0</v>
      </c>
      <c r="C311" s="111">
        <v>1.0</v>
      </c>
      <c r="D311" s="110" t="s">
        <v>228</v>
      </c>
      <c r="E311" s="111">
        <v>0.0</v>
      </c>
      <c r="F311" s="111">
        <v>0.764</v>
      </c>
      <c r="G311" s="111">
        <v>0.311</v>
      </c>
      <c r="H311" s="110" t="s">
        <v>276</v>
      </c>
      <c r="I311" s="112">
        <f t="shared" si="1"/>
        <v>1.45659164</v>
      </c>
      <c r="J311" s="82">
        <f t="shared" si="2"/>
        <v>0.4070680628</v>
      </c>
      <c r="K311" s="66" t="s">
        <v>292</v>
      </c>
    </row>
    <row r="312">
      <c r="A312" s="101">
        <v>44663.0</v>
      </c>
      <c r="B312" s="111">
        <v>2370.0</v>
      </c>
      <c r="C312" s="111">
        <v>1.0</v>
      </c>
      <c r="D312" s="110" t="s">
        <v>227</v>
      </c>
      <c r="E312" s="111">
        <v>0.0</v>
      </c>
      <c r="F312" s="111">
        <v>0.13</v>
      </c>
      <c r="G312" s="111">
        <v>0.045</v>
      </c>
      <c r="H312" s="110" t="s">
        <v>276</v>
      </c>
      <c r="I312" s="112">
        <f t="shared" si="1"/>
        <v>1.888888889</v>
      </c>
      <c r="J312" s="82">
        <f t="shared" si="2"/>
        <v>0.3461538462</v>
      </c>
      <c r="K312" s="66" t="s">
        <v>292</v>
      </c>
    </row>
    <row r="313">
      <c r="A313" s="101">
        <v>44663.0</v>
      </c>
      <c r="B313" s="111">
        <v>2370.0</v>
      </c>
      <c r="C313" s="111">
        <v>2.0</v>
      </c>
      <c r="D313" s="110" t="s">
        <v>228</v>
      </c>
      <c r="E313" s="111">
        <v>0.0</v>
      </c>
      <c r="F313" s="111">
        <v>0.301</v>
      </c>
      <c r="G313" s="111">
        <v>0.119</v>
      </c>
      <c r="H313" s="110" t="s">
        <v>276</v>
      </c>
      <c r="I313" s="112">
        <f t="shared" si="1"/>
        <v>1.529411765</v>
      </c>
      <c r="J313" s="82">
        <f t="shared" si="2"/>
        <v>0.3953488372</v>
      </c>
      <c r="K313" s="66" t="s">
        <v>292</v>
      </c>
    </row>
    <row r="314">
      <c r="A314" s="101">
        <v>44663.0</v>
      </c>
      <c r="B314" s="111">
        <v>2370.0</v>
      </c>
      <c r="C314" s="111">
        <v>2.0</v>
      </c>
      <c r="D314" s="110" t="s">
        <v>227</v>
      </c>
      <c r="E314" s="111">
        <v>0.0</v>
      </c>
      <c r="F314" s="111">
        <v>0.033</v>
      </c>
      <c r="G314" s="111">
        <v>0.012</v>
      </c>
      <c r="H314" s="110" t="s">
        <v>276</v>
      </c>
      <c r="I314" s="112">
        <f t="shared" si="1"/>
        <v>1.75</v>
      </c>
      <c r="J314" s="82">
        <f t="shared" si="2"/>
        <v>0.3636363636</v>
      </c>
      <c r="K314" s="66" t="s">
        <v>292</v>
      </c>
    </row>
    <row r="315">
      <c r="A315" s="101">
        <v>44663.0</v>
      </c>
      <c r="B315" s="111">
        <v>2370.0</v>
      </c>
      <c r="C315" s="111">
        <v>3.0</v>
      </c>
      <c r="D315" s="110" t="s">
        <v>227</v>
      </c>
      <c r="E315" s="111">
        <v>0.0</v>
      </c>
      <c r="F315" s="111">
        <v>0.019</v>
      </c>
      <c r="G315" s="111">
        <v>0.008</v>
      </c>
      <c r="H315" s="110" t="s">
        <v>276</v>
      </c>
      <c r="I315" s="112">
        <f t="shared" si="1"/>
        <v>1.375</v>
      </c>
      <c r="J315" s="82">
        <f t="shared" si="2"/>
        <v>0.4210526316</v>
      </c>
      <c r="K315" s="66" t="s">
        <v>292</v>
      </c>
    </row>
    <row r="316">
      <c r="A316" s="101">
        <v>44663.0</v>
      </c>
      <c r="B316" s="111">
        <v>2370.0</v>
      </c>
      <c r="C316" s="111">
        <v>3.0</v>
      </c>
      <c r="D316" s="110" t="s">
        <v>228</v>
      </c>
      <c r="E316" s="111">
        <v>0.0</v>
      </c>
      <c r="F316" s="111">
        <v>0.249</v>
      </c>
      <c r="G316" s="111">
        <v>0.104</v>
      </c>
      <c r="H316" s="110" t="s">
        <v>276</v>
      </c>
      <c r="I316" s="112">
        <f t="shared" si="1"/>
        <v>1.394230769</v>
      </c>
      <c r="J316" s="82">
        <f t="shared" si="2"/>
        <v>0.4176706827</v>
      </c>
      <c r="K316" s="66" t="s">
        <v>292</v>
      </c>
    </row>
    <row r="317">
      <c r="A317" s="101">
        <v>44663.0</v>
      </c>
      <c r="B317" s="111">
        <v>2371.0</v>
      </c>
      <c r="C317" s="111">
        <v>1.0</v>
      </c>
      <c r="D317" s="110" t="s">
        <v>228</v>
      </c>
      <c r="E317" s="111">
        <v>0.0</v>
      </c>
      <c r="F317" s="111">
        <v>1.562</v>
      </c>
      <c r="G317" s="111">
        <v>0.63</v>
      </c>
      <c r="H317" s="110" t="s">
        <v>276</v>
      </c>
      <c r="I317" s="112">
        <f t="shared" si="1"/>
        <v>1.479365079</v>
      </c>
      <c r="J317" s="82">
        <f t="shared" si="2"/>
        <v>0.4033290653</v>
      </c>
      <c r="K317" s="66" t="s">
        <v>292</v>
      </c>
    </row>
    <row r="318">
      <c r="A318" s="101">
        <v>44663.0</v>
      </c>
      <c r="B318" s="111">
        <v>2371.0</v>
      </c>
      <c r="C318" s="111">
        <v>1.0</v>
      </c>
      <c r="D318" s="110" t="s">
        <v>227</v>
      </c>
      <c r="E318" s="111">
        <v>0.0</v>
      </c>
      <c r="F318" s="111">
        <v>0.124</v>
      </c>
      <c r="G318" s="111">
        <v>0.048</v>
      </c>
      <c r="H318" s="110" t="s">
        <v>276</v>
      </c>
      <c r="I318" s="112">
        <f t="shared" si="1"/>
        <v>1.583333333</v>
      </c>
      <c r="J318" s="82">
        <f t="shared" si="2"/>
        <v>0.3870967742</v>
      </c>
      <c r="K318" s="66" t="s">
        <v>292</v>
      </c>
    </row>
    <row r="319">
      <c r="A319" s="101">
        <v>44663.0</v>
      </c>
      <c r="B319" s="111">
        <v>2371.0</v>
      </c>
      <c r="C319" s="111">
        <v>2.0</v>
      </c>
      <c r="D319" s="110" t="s">
        <v>228</v>
      </c>
      <c r="E319" s="111">
        <v>0.0</v>
      </c>
      <c r="F319" s="111">
        <v>0.688</v>
      </c>
      <c r="G319" s="111">
        <v>0.274</v>
      </c>
      <c r="H319" s="110" t="s">
        <v>276</v>
      </c>
      <c r="I319" s="112">
        <f t="shared" si="1"/>
        <v>1.510948905</v>
      </c>
      <c r="J319" s="82">
        <f t="shared" si="2"/>
        <v>0.398255814</v>
      </c>
      <c r="K319" s="66" t="s">
        <v>292</v>
      </c>
    </row>
    <row r="320">
      <c r="A320" s="101">
        <v>44663.0</v>
      </c>
      <c r="B320" s="111">
        <v>2371.0</v>
      </c>
      <c r="C320" s="111">
        <v>2.0</v>
      </c>
      <c r="D320" s="110" t="s">
        <v>227</v>
      </c>
      <c r="E320" s="111">
        <v>0.0</v>
      </c>
      <c r="F320" s="111">
        <v>0.034</v>
      </c>
      <c r="G320" s="111">
        <v>0.013</v>
      </c>
      <c r="H320" s="110" t="s">
        <v>276</v>
      </c>
      <c r="I320" s="112">
        <f t="shared" si="1"/>
        <v>1.615384615</v>
      </c>
      <c r="J320" s="82">
        <f t="shared" si="2"/>
        <v>0.3823529412</v>
      </c>
      <c r="K320" s="66" t="s">
        <v>292</v>
      </c>
    </row>
    <row r="321">
      <c r="A321" s="101">
        <v>44663.0</v>
      </c>
      <c r="B321" s="111">
        <v>2372.0</v>
      </c>
      <c r="C321" s="111">
        <v>1.0</v>
      </c>
      <c r="D321" s="110" t="s">
        <v>228</v>
      </c>
      <c r="E321" s="111">
        <v>0.0</v>
      </c>
      <c r="F321" s="111">
        <v>1.549</v>
      </c>
      <c r="G321" s="111">
        <v>0.642</v>
      </c>
      <c r="H321" s="110" t="s">
        <v>276</v>
      </c>
      <c r="I321" s="112">
        <f t="shared" si="1"/>
        <v>1.412772586</v>
      </c>
      <c r="J321" s="82">
        <f t="shared" si="2"/>
        <v>0.4144609425</v>
      </c>
      <c r="K321" s="66" t="s">
        <v>292</v>
      </c>
    </row>
    <row r="322">
      <c r="A322" s="101">
        <v>44663.0</v>
      </c>
      <c r="B322" s="111">
        <v>2372.0</v>
      </c>
      <c r="C322" s="111">
        <v>1.0</v>
      </c>
      <c r="D322" s="110" t="s">
        <v>227</v>
      </c>
      <c r="E322" s="111">
        <v>0.0</v>
      </c>
      <c r="F322" s="111">
        <v>0.138</v>
      </c>
      <c r="G322" s="111">
        <v>0.05</v>
      </c>
      <c r="H322" s="110" t="s">
        <v>276</v>
      </c>
      <c r="I322" s="112">
        <f t="shared" si="1"/>
        <v>1.76</v>
      </c>
      <c r="J322" s="82">
        <f t="shared" si="2"/>
        <v>0.3623188406</v>
      </c>
      <c r="K322" s="66" t="s">
        <v>292</v>
      </c>
    </row>
    <row r="323">
      <c r="A323" s="101">
        <v>44663.0</v>
      </c>
      <c r="B323" s="111">
        <v>2372.0</v>
      </c>
      <c r="C323" s="111">
        <v>2.0</v>
      </c>
      <c r="D323" s="110" t="s">
        <v>228</v>
      </c>
      <c r="E323" s="111">
        <v>0.0</v>
      </c>
      <c r="F323" s="111">
        <v>1.03</v>
      </c>
      <c r="G323" s="111">
        <v>0.423</v>
      </c>
      <c r="H323" s="110" t="s">
        <v>276</v>
      </c>
      <c r="I323" s="112">
        <f t="shared" si="1"/>
        <v>1.43498818</v>
      </c>
      <c r="J323" s="82">
        <f t="shared" si="2"/>
        <v>0.4106796117</v>
      </c>
      <c r="K323" s="66" t="s">
        <v>292</v>
      </c>
    </row>
    <row r="324">
      <c r="A324" s="101">
        <v>44663.0</v>
      </c>
      <c r="B324" s="111">
        <v>2372.0</v>
      </c>
      <c r="C324" s="111">
        <v>2.0</v>
      </c>
      <c r="D324" s="110" t="s">
        <v>227</v>
      </c>
      <c r="E324" s="111">
        <v>0.0</v>
      </c>
      <c r="F324" s="111">
        <v>0.07</v>
      </c>
      <c r="G324" s="111">
        <v>0.025</v>
      </c>
      <c r="H324" s="110" t="s">
        <v>276</v>
      </c>
      <c r="I324" s="112">
        <f t="shared" si="1"/>
        <v>1.8</v>
      </c>
      <c r="J324" s="82">
        <f t="shared" si="2"/>
        <v>0.3571428571</v>
      </c>
      <c r="K324" s="66" t="s">
        <v>292</v>
      </c>
    </row>
    <row r="325">
      <c r="A325" s="101">
        <v>44665.0</v>
      </c>
      <c r="B325" s="111">
        <v>1478.0</v>
      </c>
      <c r="C325" s="111">
        <v>1.0</v>
      </c>
      <c r="D325" s="110" t="s">
        <v>228</v>
      </c>
      <c r="E325" s="111">
        <v>0.0</v>
      </c>
      <c r="F325" s="111">
        <v>1.2112</v>
      </c>
      <c r="G325" s="111">
        <v>0.5249</v>
      </c>
      <c r="H325" s="110" t="s">
        <v>276</v>
      </c>
      <c r="I325" s="112">
        <f t="shared" si="1"/>
        <v>1.30748714</v>
      </c>
      <c r="J325" s="82">
        <f t="shared" si="2"/>
        <v>0.4333718626</v>
      </c>
    </row>
    <row r="326">
      <c r="A326" s="101">
        <v>44665.0</v>
      </c>
      <c r="B326" s="111">
        <v>1478.0</v>
      </c>
      <c r="C326" s="111">
        <v>1.0</v>
      </c>
      <c r="D326" s="110" t="s">
        <v>227</v>
      </c>
      <c r="E326" s="111">
        <v>1.0</v>
      </c>
      <c r="F326" s="111">
        <v>0.2088</v>
      </c>
      <c r="G326" s="111">
        <v>0.0893</v>
      </c>
      <c r="H326" s="110" t="s">
        <v>276</v>
      </c>
      <c r="I326" s="112">
        <f t="shared" si="1"/>
        <v>1.33818589</v>
      </c>
      <c r="J326" s="82">
        <f t="shared" si="2"/>
        <v>0.4276819923</v>
      </c>
    </row>
    <row r="327">
      <c r="A327" s="101">
        <v>44665.0</v>
      </c>
      <c r="B327" s="111">
        <v>1478.0</v>
      </c>
      <c r="C327" s="111">
        <v>1.0</v>
      </c>
      <c r="D327" s="110" t="s">
        <v>227</v>
      </c>
      <c r="E327" s="111">
        <v>0.0</v>
      </c>
      <c r="F327" s="111">
        <v>0.2612</v>
      </c>
      <c r="G327" s="111">
        <v>0.0918</v>
      </c>
      <c r="H327" s="110" t="s">
        <v>276</v>
      </c>
      <c r="I327" s="112">
        <f t="shared" si="1"/>
        <v>1.845315904</v>
      </c>
      <c r="J327" s="82">
        <f t="shared" si="2"/>
        <v>0.3514548239</v>
      </c>
    </row>
    <row r="328">
      <c r="A328" s="101">
        <v>44665.0</v>
      </c>
      <c r="B328" s="111">
        <v>2004.0</v>
      </c>
      <c r="C328" s="111">
        <v>1.0</v>
      </c>
      <c r="D328" s="110" t="s">
        <v>228</v>
      </c>
      <c r="E328" s="111">
        <v>0.0</v>
      </c>
      <c r="F328" s="111">
        <v>1.1885</v>
      </c>
      <c r="G328" s="111">
        <v>0.605</v>
      </c>
      <c r="H328" s="110" t="s">
        <v>276</v>
      </c>
      <c r="I328" s="112">
        <f t="shared" si="1"/>
        <v>0.9644628099</v>
      </c>
      <c r="J328" s="82">
        <f t="shared" si="2"/>
        <v>0.5090450147</v>
      </c>
    </row>
    <row r="329">
      <c r="A329" s="101">
        <v>44665.0</v>
      </c>
      <c r="B329" s="111">
        <v>2004.0</v>
      </c>
      <c r="C329" s="111">
        <v>1.0</v>
      </c>
      <c r="D329" s="110" t="s">
        <v>228</v>
      </c>
      <c r="E329" s="111">
        <v>0.0</v>
      </c>
      <c r="F329" s="111">
        <v>0.675</v>
      </c>
      <c r="G329" s="111">
        <v>0.3369</v>
      </c>
      <c r="H329" s="110" t="s">
        <v>276</v>
      </c>
      <c r="I329" s="112">
        <f t="shared" si="1"/>
        <v>1.003561888</v>
      </c>
      <c r="J329" s="82">
        <f t="shared" si="2"/>
        <v>0.4991111111</v>
      </c>
    </row>
    <row r="330">
      <c r="A330" s="101">
        <v>44665.0</v>
      </c>
      <c r="B330" s="111">
        <v>2004.0</v>
      </c>
      <c r="C330" s="111">
        <v>1.0</v>
      </c>
      <c r="D330" s="110" t="s">
        <v>227</v>
      </c>
      <c r="E330" s="111">
        <v>1.0</v>
      </c>
      <c r="F330" s="111">
        <v>0.2609</v>
      </c>
      <c r="G330" s="111">
        <v>0.1238</v>
      </c>
      <c r="H330" s="110" t="s">
        <v>276</v>
      </c>
      <c r="I330" s="112">
        <f t="shared" si="1"/>
        <v>1.107431341</v>
      </c>
      <c r="J330" s="82">
        <f t="shared" si="2"/>
        <v>0.474511307</v>
      </c>
    </row>
    <row r="331">
      <c r="A331" s="101">
        <v>44665.0</v>
      </c>
      <c r="B331" s="111">
        <v>2004.0</v>
      </c>
      <c r="C331" s="111">
        <v>1.0</v>
      </c>
      <c r="D331" s="110" t="s">
        <v>227</v>
      </c>
      <c r="E331" s="111">
        <v>0.0</v>
      </c>
      <c r="F331" s="111">
        <v>0.245</v>
      </c>
      <c r="G331" s="111">
        <v>0.1046</v>
      </c>
      <c r="H331" s="110" t="s">
        <v>276</v>
      </c>
      <c r="I331" s="112">
        <f t="shared" si="1"/>
        <v>1.342256214</v>
      </c>
      <c r="J331" s="82">
        <f t="shared" si="2"/>
        <v>0.4269387755</v>
      </c>
    </row>
    <row r="332">
      <c r="A332" s="101">
        <v>44665.0</v>
      </c>
      <c r="B332" s="111">
        <v>2004.0</v>
      </c>
      <c r="C332" s="111">
        <v>2.0</v>
      </c>
      <c r="D332" s="110" t="s">
        <v>227</v>
      </c>
      <c r="E332" s="111">
        <v>1.0</v>
      </c>
      <c r="F332" s="111">
        <v>0.2032</v>
      </c>
      <c r="G332" s="111">
        <v>0.0937</v>
      </c>
      <c r="H332" s="110" t="s">
        <v>276</v>
      </c>
      <c r="I332" s="112">
        <f t="shared" si="1"/>
        <v>1.168623266</v>
      </c>
      <c r="J332" s="82">
        <f t="shared" si="2"/>
        <v>0.4611220472</v>
      </c>
    </row>
    <row r="333">
      <c r="A333" s="101">
        <v>44665.0</v>
      </c>
      <c r="B333" s="111">
        <v>2004.0</v>
      </c>
      <c r="C333" s="111">
        <v>2.0</v>
      </c>
      <c r="D333" s="110" t="s">
        <v>227</v>
      </c>
      <c r="E333" s="111">
        <v>0.0</v>
      </c>
      <c r="F333" s="111">
        <v>0.2386</v>
      </c>
      <c r="G333" s="111">
        <v>0.1002</v>
      </c>
      <c r="H333" s="110" t="s">
        <v>276</v>
      </c>
      <c r="I333" s="112">
        <f t="shared" si="1"/>
        <v>1.381237525</v>
      </c>
      <c r="J333" s="82">
        <f t="shared" si="2"/>
        <v>0.4199497066</v>
      </c>
    </row>
    <row r="334">
      <c r="A334" s="101">
        <v>44665.0</v>
      </c>
      <c r="B334" s="111">
        <v>2005.0</v>
      </c>
      <c r="C334" s="111">
        <v>1.0</v>
      </c>
      <c r="D334" s="110" t="s">
        <v>228</v>
      </c>
      <c r="E334" s="111">
        <v>0.0</v>
      </c>
      <c r="F334" s="111">
        <v>2.5311</v>
      </c>
      <c r="G334" s="111">
        <v>1.2044</v>
      </c>
      <c r="H334" s="110" t="s">
        <v>276</v>
      </c>
      <c r="I334" s="112">
        <f t="shared" si="1"/>
        <v>1.101544337</v>
      </c>
      <c r="J334" s="82">
        <f t="shared" si="2"/>
        <v>0.4758405436</v>
      </c>
    </row>
    <row r="335">
      <c r="A335" s="101">
        <v>44665.0</v>
      </c>
      <c r="B335" s="111">
        <v>2005.0</v>
      </c>
      <c r="C335" s="111">
        <v>1.0</v>
      </c>
      <c r="D335" s="110" t="s">
        <v>227</v>
      </c>
      <c r="E335" s="111">
        <v>1.0</v>
      </c>
      <c r="F335" s="111">
        <v>0.268</v>
      </c>
      <c r="G335" s="111">
        <v>0.1247</v>
      </c>
      <c r="H335" s="110" t="s">
        <v>276</v>
      </c>
      <c r="I335" s="112">
        <f t="shared" si="1"/>
        <v>1.149157979</v>
      </c>
      <c r="J335" s="82">
        <f t="shared" si="2"/>
        <v>0.4652985075</v>
      </c>
    </row>
    <row r="336">
      <c r="A336" s="101">
        <v>44665.0</v>
      </c>
      <c r="B336" s="111">
        <v>2005.0</v>
      </c>
      <c r="C336" s="111">
        <v>1.0</v>
      </c>
      <c r="D336" s="110" t="s">
        <v>227</v>
      </c>
      <c r="E336" s="111">
        <v>0.0</v>
      </c>
      <c r="F336" s="111">
        <v>0.3585</v>
      </c>
      <c r="G336" s="111">
        <v>0.1569</v>
      </c>
      <c r="H336" s="110" t="s">
        <v>276</v>
      </c>
      <c r="I336" s="112">
        <f t="shared" si="1"/>
        <v>1.284894837</v>
      </c>
      <c r="J336" s="82">
        <f t="shared" si="2"/>
        <v>0.4376569038</v>
      </c>
    </row>
    <row r="337">
      <c r="A337" s="101">
        <v>44665.0</v>
      </c>
      <c r="B337" s="111">
        <v>2007.0</v>
      </c>
      <c r="C337" s="111">
        <v>1.0</v>
      </c>
      <c r="D337" s="110" t="s">
        <v>228</v>
      </c>
      <c r="E337" s="111">
        <v>0.0</v>
      </c>
      <c r="F337" s="111">
        <v>1.0131</v>
      </c>
      <c r="G337" s="111">
        <v>0.4928</v>
      </c>
      <c r="H337" s="110" t="s">
        <v>276</v>
      </c>
      <c r="I337" s="112">
        <f t="shared" si="1"/>
        <v>1.055803571</v>
      </c>
      <c r="J337" s="82">
        <f t="shared" si="2"/>
        <v>0.4864277959</v>
      </c>
    </row>
    <row r="338">
      <c r="A338" s="101">
        <v>44665.0</v>
      </c>
      <c r="B338" s="111">
        <v>2007.0</v>
      </c>
      <c r="C338" s="111">
        <v>1.0</v>
      </c>
      <c r="D338" s="110" t="s">
        <v>227</v>
      </c>
      <c r="E338" s="111">
        <v>1.0</v>
      </c>
      <c r="F338" s="111">
        <v>0.0953</v>
      </c>
      <c r="G338" s="111">
        <v>0.0445</v>
      </c>
      <c r="H338" s="110" t="s">
        <v>276</v>
      </c>
      <c r="I338" s="112">
        <f t="shared" si="1"/>
        <v>1.141573034</v>
      </c>
      <c r="J338" s="82">
        <f t="shared" si="2"/>
        <v>0.4669464848</v>
      </c>
    </row>
    <row r="339">
      <c r="A339" s="101">
        <v>44665.0</v>
      </c>
      <c r="B339" s="111">
        <v>2007.0</v>
      </c>
      <c r="C339" s="111">
        <v>1.0</v>
      </c>
      <c r="D339" s="110" t="s">
        <v>227</v>
      </c>
      <c r="E339" s="111">
        <v>0.0</v>
      </c>
      <c r="F339" s="111">
        <v>0.1605</v>
      </c>
      <c r="G339" s="111">
        <v>0.0691</v>
      </c>
      <c r="H339" s="110" t="s">
        <v>276</v>
      </c>
      <c r="I339" s="112">
        <f t="shared" si="1"/>
        <v>1.322720695</v>
      </c>
      <c r="J339" s="82">
        <f t="shared" si="2"/>
        <v>0.430529595</v>
      </c>
    </row>
    <row r="340">
      <c r="A340" s="101">
        <v>44665.0</v>
      </c>
      <c r="B340" s="111">
        <v>2007.0</v>
      </c>
      <c r="C340" s="111">
        <v>2.0</v>
      </c>
      <c r="D340" s="110" t="s">
        <v>228</v>
      </c>
      <c r="E340" s="111">
        <v>0.0</v>
      </c>
      <c r="F340" s="111">
        <v>1.9765</v>
      </c>
      <c r="G340" s="111">
        <v>1.0035</v>
      </c>
      <c r="H340" s="110" t="s">
        <v>276</v>
      </c>
      <c r="I340" s="112">
        <f t="shared" si="1"/>
        <v>0.9696063777</v>
      </c>
      <c r="J340" s="82">
        <f t="shared" si="2"/>
        <v>0.507715659</v>
      </c>
    </row>
    <row r="341">
      <c r="A341" s="101">
        <v>44665.0</v>
      </c>
      <c r="B341" s="111">
        <v>2007.0</v>
      </c>
      <c r="C341" s="111">
        <v>2.0</v>
      </c>
      <c r="D341" s="110" t="s">
        <v>227</v>
      </c>
      <c r="E341" s="111">
        <v>1.0</v>
      </c>
      <c r="F341" s="111">
        <v>0.1948</v>
      </c>
      <c r="G341" s="111">
        <v>0.0926</v>
      </c>
      <c r="H341" s="110" t="s">
        <v>276</v>
      </c>
      <c r="I341" s="112">
        <f t="shared" si="1"/>
        <v>1.103671706</v>
      </c>
      <c r="J341" s="82">
        <f t="shared" si="2"/>
        <v>0.4753593429</v>
      </c>
    </row>
    <row r="342">
      <c r="A342" s="101">
        <v>44665.0</v>
      </c>
      <c r="B342" s="111">
        <v>2007.0</v>
      </c>
      <c r="C342" s="111">
        <v>2.0</v>
      </c>
      <c r="D342" s="110" t="s">
        <v>227</v>
      </c>
      <c r="E342" s="111">
        <v>0.0</v>
      </c>
      <c r="F342" s="111">
        <v>0.3182</v>
      </c>
      <c r="G342" s="111">
        <v>0.1432</v>
      </c>
      <c r="H342" s="110" t="s">
        <v>276</v>
      </c>
      <c r="I342" s="112">
        <f t="shared" si="1"/>
        <v>1.222067039</v>
      </c>
      <c r="J342" s="82">
        <f t="shared" si="2"/>
        <v>0.4500314268</v>
      </c>
    </row>
    <row r="343">
      <c r="A343" s="101">
        <v>44665.0</v>
      </c>
      <c r="B343" s="111">
        <v>2009.0</v>
      </c>
      <c r="C343" s="111">
        <v>1.0</v>
      </c>
      <c r="D343" s="110" t="s">
        <v>228</v>
      </c>
      <c r="E343" s="111">
        <v>0.0</v>
      </c>
      <c r="F343" s="111">
        <v>1.6727</v>
      </c>
      <c r="G343" s="111">
        <v>0.8263</v>
      </c>
      <c r="H343" s="110" t="s">
        <v>276</v>
      </c>
      <c r="I343" s="112">
        <f t="shared" si="1"/>
        <v>1.024325306</v>
      </c>
      <c r="J343" s="82">
        <f t="shared" si="2"/>
        <v>0.4939917499</v>
      </c>
    </row>
    <row r="344">
      <c r="A344" s="101">
        <v>44665.0</v>
      </c>
      <c r="B344" s="111">
        <v>2009.0</v>
      </c>
      <c r="C344" s="111">
        <v>1.0</v>
      </c>
      <c r="D344" s="110" t="s">
        <v>227</v>
      </c>
      <c r="E344" s="111">
        <v>0.0</v>
      </c>
      <c r="F344" s="111">
        <v>0.1882</v>
      </c>
      <c r="G344" s="111">
        <v>0.0813</v>
      </c>
      <c r="H344" s="110" t="s">
        <v>276</v>
      </c>
      <c r="I344" s="112">
        <f t="shared" si="1"/>
        <v>1.314883149</v>
      </c>
      <c r="J344" s="82">
        <f t="shared" si="2"/>
        <v>0.4319872476</v>
      </c>
    </row>
    <row r="345">
      <c r="A345" s="101">
        <v>44665.0</v>
      </c>
      <c r="B345" s="111">
        <v>2010.0</v>
      </c>
      <c r="C345" s="111">
        <v>1.0</v>
      </c>
      <c r="D345" s="110" t="s">
        <v>228</v>
      </c>
      <c r="E345" s="111">
        <v>0.0</v>
      </c>
      <c r="F345" s="111">
        <v>1.4059</v>
      </c>
      <c r="G345" s="111">
        <v>0.78</v>
      </c>
      <c r="H345" s="110" t="s">
        <v>276</v>
      </c>
      <c r="I345" s="112">
        <f t="shared" si="1"/>
        <v>0.8024358974</v>
      </c>
      <c r="J345" s="82">
        <f t="shared" si="2"/>
        <v>0.5548047514</v>
      </c>
    </row>
    <row r="346">
      <c r="A346" s="101">
        <v>44665.0</v>
      </c>
      <c r="B346" s="111">
        <v>2010.0</v>
      </c>
      <c r="C346" s="111">
        <v>1.0</v>
      </c>
      <c r="D346" s="110" t="s">
        <v>227</v>
      </c>
      <c r="E346" s="111">
        <v>1.0</v>
      </c>
      <c r="F346" s="111">
        <v>0.2414</v>
      </c>
      <c r="G346" s="111">
        <v>0.1144</v>
      </c>
      <c r="H346" s="110" t="s">
        <v>276</v>
      </c>
      <c r="I346" s="112">
        <f t="shared" si="1"/>
        <v>1.11013986</v>
      </c>
      <c r="J346" s="82">
        <f t="shared" si="2"/>
        <v>0.473902237</v>
      </c>
    </row>
    <row r="347">
      <c r="A347" s="101">
        <v>44665.0</v>
      </c>
      <c r="B347" s="111">
        <v>2010.0</v>
      </c>
      <c r="C347" s="111">
        <v>1.0</v>
      </c>
      <c r="D347" s="110" t="s">
        <v>227</v>
      </c>
      <c r="E347" s="111">
        <v>0.0</v>
      </c>
      <c r="F347" s="111">
        <v>0.2166</v>
      </c>
      <c r="G347" s="111">
        <v>0.0852</v>
      </c>
      <c r="H347" s="110" t="s">
        <v>276</v>
      </c>
      <c r="I347" s="112">
        <f t="shared" si="1"/>
        <v>1.542253521</v>
      </c>
      <c r="J347" s="82">
        <f t="shared" si="2"/>
        <v>0.3933518006</v>
      </c>
    </row>
    <row r="348">
      <c r="A348" s="101">
        <v>44665.0</v>
      </c>
      <c r="B348" s="111">
        <v>2010.0</v>
      </c>
      <c r="C348" s="111">
        <v>2.0</v>
      </c>
      <c r="D348" s="110" t="s">
        <v>227</v>
      </c>
      <c r="E348" s="111">
        <v>1.0</v>
      </c>
      <c r="F348" s="111">
        <v>0.1232</v>
      </c>
      <c r="G348" s="111">
        <v>0.0577</v>
      </c>
      <c r="H348" s="110" t="s">
        <v>276</v>
      </c>
      <c r="I348" s="112">
        <f t="shared" si="1"/>
        <v>1.135181976</v>
      </c>
      <c r="J348" s="82">
        <f t="shared" si="2"/>
        <v>0.4683441558</v>
      </c>
    </row>
    <row r="349">
      <c r="A349" s="101">
        <v>44665.0</v>
      </c>
      <c r="B349" s="111">
        <v>2010.0</v>
      </c>
      <c r="C349" s="111">
        <v>2.0</v>
      </c>
      <c r="D349" s="110" t="s">
        <v>228</v>
      </c>
      <c r="E349" s="111">
        <v>0.0</v>
      </c>
      <c r="F349" s="111">
        <v>1.6937</v>
      </c>
      <c r="G349" s="111">
        <v>0.788</v>
      </c>
      <c r="H349" s="110" t="s">
        <v>276</v>
      </c>
      <c r="I349" s="112">
        <f t="shared" si="1"/>
        <v>1.149365482</v>
      </c>
      <c r="J349" s="82">
        <f t="shared" si="2"/>
        <v>0.4652535868</v>
      </c>
    </row>
    <row r="350">
      <c r="A350" s="101">
        <v>44665.0</v>
      </c>
      <c r="B350" s="111">
        <v>2010.0</v>
      </c>
      <c r="C350" s="111">
        <v>2.0</v>
      </c>
      <c r="D350" s="110" t="s">
        <v>227</v>
      </c>
      <c r="E350" s="111">
        <v>0.0</v>
      </c>
      <c r="F350" s="111">
        <v>0.2608</v>
      </c>
      <c r="G350" s="111">
        <v>0.1014</v>
      </c>
      <c r="H350" s="110" t="s">
        <v>276</v>
      </c>
      <c r="I350" s="112">
        <f t="shared" si="1"/>
        <v>1.57199211</v>
      </c>
      <c r="J350" s="82">
        <f t="shared" si="2"/>
        <v>0.388803681</v>
      </c>
    </row>
    <row r="351">
      <c r="A351" s="101">
        <v>44665.0</v>
      </c>
      <c r="B351" s="111">
        <v>2011.0</v>
      </c>
      <c r="C351" s="111">
        <v>1.0</v>
      </c>
      <c r="D351" s="110" t="s">
        <v>228</v>
      </c>
      <c r="E351" s="111">
        <v>0.0</v>
      </c>
      <c r="F351" s="111">
        <v>1.2608</v>
      </c>
      <c r="G351" s="111">
        <v>0.6066</v>
      </c>
      <c r="H351" s="110" t="s">
        <v>276</v>
      </c>
      <c r="I351" s="112">
        <f t="shared" si="1"/>
        <v>1.078470162</v>
      </c>
      <c r="J351" s="82">
        <f t="shared" si="2"/>
        <v>0.4811230964</v>
      </c>
    </row>
    <row r="352">
      <c r="A352" s="101">
        <v>44665.0</v>
      </c>
      <c r="B352" s="111">
        <v>2011.0</v>
      </c>
      <c r="C352" s="111">
        <v>1.0</v>
      </c>
      <c r="D352" s="110" t="s">
        <v>227</v>
      </c>
      <c r="E352" s="111">
        <v>1.0</v>
      </c>
      <c r="F352" s="111">
        <v>0.2529</v>
      </c>
      <c r="G352" s="111">
        <v>0.1121</v>
      </c>
      <c r="H352" s="110" t="s">
        <v>276</v>
      </c>
      <c r="I352" s="112">
        <f t="shared" si="1"/>
        <v>1.256021409</v>
      </c>
      <c r="J352" s="82">
        <f t="shared" si="2"/>
        <v>0.4432582048</v>
      </c>
    </row>
    <row r="353">
      <c r="A353" s="101">
        <v>44665.0</v>
      </c>
      <c r="B353" s="111">
        <v>2011.0</v>
      </c>
      <c r="C353" s="111">
        <v>1.0</v>
      </c>
      <c r="D353" s="110" t="s">
        <v>227</v>
      </c>
      <c r="E353" s="111">
        <v>0.0</v>
      </c>
      <c r="F353" s="111">
        <v>0.12</v>
      </c>
      <c r="G353" s="111">
        <v>0.0477</v>
      </c>
      <c r="H353" s="110" t="s">
        <v>276</v>
      </c>
      <c r="I353" s="112">
        <f t="shared" si="1"/>
        <v>1.51572327</v>
      </c>
      <c r="J353" s="82">
        <f t="shared" si="2"/>
        <v>0.3975</v>
      </c>
    </row>
    <row r="354">
      <c r="A354" s="101">
        <v>44665.0</v>
      </c>
      <c r="B354" s="111">
        <v>2012.0</v>
      </c>
      <c r="C354" s="111">
        <v>1.0</v>
      </c>
      <c r="D354" s="110" t="s">
        <v>227</v>
      </c>
      <c r="E354" s="111">
        <v>1.0</v>
      </c>
      <c r="F354" s="111">
        <v>0.4603</v>
      </c>
      <c r="G354" s="111">
        <v>0.2527</v>
      </c>
      <c r="H354" s="110" t="s">
        <v>276</v>
      </c>
      <c r="I354" s="112">
        <f t="shared" si="1"/>
        <v>0.821527503</v>
      </c>
      <c r="J354" s="82">
        <f t="shared" si="2"/>
        <v>0.5489897893</v>
      </c>
    </row>
    <row r="355">
      <c r="A355" s="101">
        <v>44665.0</v>
      </c>
      <c r="B355" s="111">
        <v>2012.0</v>
      </c>
      <c r="C355" s="111">
        <v>1.0</v>
      </c>
      <c r="D355" s="110" t="s">
        <v>228</v>
      </c>
      <c r="E355" s="111">
        <v>0.0</v>
      </c>
      <c r="F355" s="111">
        <v>1.1115</v>
      </c>
      <c r="G355" s="111">
        <v>0.4992</v>
      </c>
      <c r="H355" s="110" t="s">
        <v>276</v>
      </c>
      <c r="I355" s="112">
        <f t="shared" si="1"/>
        <v>1.2265625</v>
      </c>
      <c r="J355" s="82">
        <f t="shared" si="2"/>
        <v>0.449122807</v>
      </c>
    </row>
    <row r="356">
      <c r="A356" s="101">
        <v>44665.0</v>
      </c>
      <c r="B356" s="111">
        <v>2012.0</v>
      </c>
      <c r="C356" s="111">
        <v>1.0</v>
      </c>
      <c r="D356" s="110" t="s">
        <v>227</v>
      </c>
      <c r="E356" s="111">
        <v>0.0</v>
      </c>
      <c r="F356" s="111">
        <v>0.0849</v>
      </c>
      <c r="G356" s="111">
        <v>0.0329</v>
      </c>
      <c r="H356" s="110" t="s">
        <v>276</v>
      </c>
      <c r="I356" s="112">
        <f t="shared" si="1"/>
        <v>1.580547112</v>
      </c>
      <c r="J356" s="82">
        <f t="shared" si="2"/>
        <v>0.3875147232</v>
      </c>
    </row>
    <row r="357">
      <c r="A357" s="101">
        <v>44665.0</v>
      </c>
      <c r="B357" s="111">
        <v>2012.0</v>
      </c>
      <c r="C357" s="111">
        <v>2.0</v>
      </c>
      <c r="D357" s="110" t="s">
        <v>227</v>
      </c>
      <c r="E357" s="111">
        <v>1.0</v>
      </c>
      <c r="F357" s="111">
        <v>0.34</v>
      </c>
      <c r="G357" s="111">
        <v>0.1646</v>
      </c>
      <c r="H357" s="110" t="s">
        <v>276</v>
      </c>
      <c r="I357" s="112">
        <f t="shared" si="1"/>
        <v>1.065613609</v>
      </c>
      <c r="J357" s="82">
        <f t="shared" si="2"/>
        <v>0.4841176471</v>
      </c>
    </row>
    <row r="358">
      <c r="A358" s="101">
        <v>44665.0</v>
      </c>
      <c r="B358" s="111">
        <v>2012.0</v>
      </c>
      <c r="C358" s="111">
        <v>2.0</v>
      </c>
      <c r="D358" s="110" t="s">
        <v>227</v>
      </c>
      <c r="E358" s="111">
        <v>0.0</v>
      </c>
      <c r="F358" s="111">
        <v>1.1387</v>
      </c>
      <c r="G358" s="111">
        <v>0.5126</v>
      </c>
      <c r="H358" s="110" t="s">
        <v>276</v>
      </c>
      <c r="I358" s="112">
        <f t="shared" si="1"/>
        <v>1.221420211</v>
      </c>
      <c r="J358" s="82">
        <f t="shared" si="2"/>
        <v>0.450162466</v>
      </c>
    </row>
    <row r="359">
      <c r="A359" s="101">
        <v>44665.0</v>
      </c>
      <c r="B359" s="111">
        <v>2012.0</v>
      </c>
      <c r="C359" s="111">
        <v>2.0</v>
      </c>
      <c r="D359" s="110" t="s">
        <v>228</v>
      </c>
      <c r="E359" s="111">
        <v>0.0</v>
      </c>
      <c r="F359" s="111">
        <v>0.0829</v>
      </c>
      <c r="G359" s="111">
        <v>0.0323</v>
      </c>
      <c r="H359" s="110" t="s">
        <v>276</v>
      </c>
      <c r="I359" s="112">
        <f t="shared" si="1"/>
        <v>1.566563467</v>
      </c>
      <c r="J359" s="82">
        <f t="shared" si="2"/>
        <v>0.3896260555</v>
      </c>
    </row>
    <row r="360">
      <c r="A360" s="101">
        <v>44665.0</v>
      </c>
      <c r="B360" s="111">
        <v>2012.0</v>
      </c>
      <c r="C360" s="111">
        <v>3.0</v>
      </c>
      <c r="D360" s="110" t="s">
        <v>227</v>
      </c>
      <c r="E360" s="111">
        <v>0.0</v>
      </c>
      <c r="F360" s="111">
        <v>0.2079</v>
      </c>
      <c r="G360" s="111">
        <v>0.1024</v>
      </c>
      <c r="H360" s="110" t="s">
        <v>276</v>
      </c>
      <c r="I360" s="112">
        <f t="shared" si="1"/>
        <v>1.030273438</v>
      </c>
      <c r="J360" s="82">
        <f t="shared" si="2"/>
        <v>0.4925444925</v>
      </c>
    </row>
    <row r="361">
      <c r="A361" s="101">
        <v>44665.0</v>
      </c>
      <c r="B361" s="111">
        <v>2012.0</v>
      </c>
      <c r="C361" s="111">
        <v>3.0</v>
      </c>
      <c r="D361" s="110" t="s">
        <v>228</v>
      </c>
      <c r="E361" s="111">
        <v>0.0</v>
      </c>
      <c r="F361" s="111">
        <v>0.5889</v>
      </c>
      <c r="G361" s="111">
        <v>0.2613</v>
      </c>
      <c r="H361" s="110" t="s">
        <v>276</v>
      </c>
      <c r="I361" s="112">
        <f t="shared" si="1"/>
        <v>1.253731343</v>
      </c>
      <c r="J361" s="82">
        <f t="shared" si="2"/>
        <v>0.4437086093</v>
      </c>
    </row>
    <row r="362">
      <c r="A362" s="101">
        <v>44665.0</v>
      </c>
      <c r="B362" s="111">
        <v>2012.0</v>
      </c>
      <c r="C362" s="111">
        <v>3.0</v>
      </c>
      <c r="D362" s="110" t="s">
        <v>227</v>
      </c>
      <c r="E362" s="111">
        <v>1.0</v>
      </c>
      <c r="F362" s="111">
        <v>0.0729</v>
      </c>
      <c r="G362" s="111">
        <v>0.0287</v>
      </c>
      <c r="H362" s="110" t="s">
        <v>276</v>
      </c>
      <c r="I362" s="112">
        <f t="shared" si="1"/>
        <v>1.540069686</v>
      </c>
      <c r="J362" s="82">
        <f t="shared" si="2"/>
        <v>0.3936899863</v>
      </c>
    </row>
    <row r="363">
      <c r="A363" s="101">
        <v>44665.0</v>
      </c>
      <c r="B363" s="111">
        <v>2013.0</v>
      </c>
      <c r="C363" s="111">
        <v>1.0</v>
      </c>
      <c r="D363" s="110" t="s">
        <v>227</v>
      </c>
      <c r="E363" s="111">
        <v>1.0</v>
      </c>
      <c r="F363" s="111">
        <v>0.1424</v>
      </c>
      <c r="G363" s="111">
        <v>0.0631</v>
      </c>
      <c r="H363" s="110" t="s">
        <v>276</v>
      </c>
      <c r="I363" s="112">
        <f t="shared" si="1"/>
        <v>1.256735341</v>
      </c>
      <c r="J363" s="82">
        <f t="shared" si="2"/>
        <v>0.4431179775</v>
      </c>
    </row>
    <row r="364">
      <c r="A364" s="101">
        <v>44665.0</v>
      </c>
      <c r="B364" s="111">
        <v>2013.0</v>
      </c>
      <c r="C364" s="111">
        <v>1.0</v>
      </c>
      <c r="D364" s="110" t="s">
        <v>228</v>
      </c>
      <c r="E364" s="111">
        <v>0.0</v>
      </c>
      <c r="F364" s="111">
        <v>0.6987</v>
      </c>
      <c r="G364" s="111">
        <v>0.2676</v>
      </c>
      <c r="H364" s="110" t="s">
        <v>276</v>
      </c>
      <c r="I364" s="112">
        <f t="shared" si="1"/>
        <v>1.610986547</v>
      </c>
      <c r="J364" s="82">
        <f t="shared" si="2"/>
        <v>0.3829969944</v>
      </c>
    </row>
    <row r="365">
      <c r="A365" s="101">
        <v>44665.0</v>
      </c>
      <c r="B365" s="111">
        <v>2013.0</v>
      </c>
      <c r="C365" s="111">
        <v>1.0</v>
      </c>
      <c r="D365" s="110" t="s">
        <v>227</v>
      </c>
      <c r="E365" s="111">
        <v>0.0</v>
      </c>
      <c r="F365" s="111">
        <v>0.1073</v>
      </c>
      <c r="G365" s="111">
        <v>0.037</v>
      </c>
      <c r="H365" s="110" t="s">
        <v>276</v>
      </c>
      <c r="I365" s="112">
        <f t="shared" si="1"/>
        <v>1.9</v>
      </c>
      <c r="J365" s="82">
        <f t="shared" si="2"/>
        <v>0.3448275862</v>
      </c>
    </row>
    <row r="366">
      <c r="A366" s="101">
        <v>44665.0</v>
      </c>
      <c r="B366" s="111">
        <v>2013.0</v>
      </c>
      <c r="C366" s="111">
        <v>2.0</v>
      </c>
      <c r="D366" s="110" t="s">
        <v>228</v>
      </c>
      <c r="E366" s="111">
        <v>1.0</v>
      </c>
      <c r="F366" s="111">
        <v>1.1168</v>
      </c>
      <c r="G366" s="111">
        <v>0.4278</v>
      </c>
      <c r="H366" s="110" t="s">
        <v>276</v>
      </c>
      <c r="I366" s="112">
        <f t="shared" si="1"/>
        <v>1.610565685</v>
      </c>
      <c r="J366" s="82">
        <f t="shared" si="2"/>
        <v>0.3830587393</v>
      </c>
    </row>
    <row r="367">
      <c r="A367" s="101">
        <v>44665.0</v>
      </c>
      <c r="B367" s="111">
        <v>2013.0</v>
      </c>
      <c r="C367" s="111">
        <v>2.0</v>
      </c>
      <c r="D367" s="110" t="s">
        <v>227</v>
      </c>
      <c r="E367" s="111">
        <v>0.0</v>
      </c>
      <c r="F367" s="111">
        <v>2.6175</v>
      </c>
      <c r="G367" s="111">
        <v>0.1102</v>
      </c>
      <c r="H367" s="110" t="s">
        <v>276</v>
      </c>
      <c r="I367" s="112">
        <f t="shared" si="1"/>
        <v>22.7522686</v>
      </c>
      <c r="J367" s="82">
        <f t="shared" si="2"/>
        <v>0.04210124164</v>
      </c>
      <c r="K367" s="66">
        <v>1.0</v>
      </c>
    </row>
    <row r="368">
      <c r="A368" s="101">
        <v>44665.0</v>
      </c>
      <c r="B368" s="111">
        <v>2020.0</v>
      </c>
      <c r="C368" s="111">
        <v>1.0</v>
      </c>
      <c r="D368" s="110" t="s">
        <v>227</v>
      </c>
      <c r="E368" s="111">
        <v>1.0</v>
      </c>
      <c r="F368" s="111">
        <v>0.3115</v>
      </c>
      <c r="G368" s="111">
        <v>0.1495</v>
      </c>
      <c r="H368" s="110" t="s">
        <v>276</v>
      </c>
      <c r="I368" s="112">
        <f t="shared" si="1"/>
        <v>1.08361204</v>
      </c>
      <c r="J368" s="82">
        <f t="shared" si="2"/>
        <v>0.4799357945</v>
      </c>
    </row>
    <row r="369">
      <c r="A369" s="101">
        <v>44665.0</v>
      </c>
      <c r="B369" s="111">
        <v>2020.0</v>
      </c>
      <c r="C369" s="111">
        <v>1.0</v>
      </c>
      <c r="D369" s="110" t="s">
        <v>228</v>
      </c>
      <c r="E369" s="111">
        <v>1.0</v>
      </c>
      <c r="F369" s="111">
        <v>0.7836</v>
      </c>
      <c r="G369" s="111">
        <v>0.3696</v>
      </c>
      <c r="H369" s="110" t="s">
        <v>276</v>
      </c>
      <c r="I369" s="112">
        <f t="shared" si="1"/>
        <v>1.12012987</v>
      </c>
      <c r="J369" s="82">
        <f t="shared" si="2"/>
        <v>0.471669219</v>
      </c>
    </row>
    <row r="370">
      <c r="A370" s="101">
        <v>44665.0</v>
      </c>
      <c r="B370" s="111">
        <v>2020.0</v>
      </c>
      <c r="C370" s="111">
        <v>1.0</v>
      </c>
      <c r="D370" s="110" t="s">
        <v>227</v>
      </c>
      <c r="E370" s="111">
        <v>0.0</v>
      </c>
      <c r="F370" s="111">
        <v>0.0499</v>
      </c>
      <c r="G370" s="111">
        <v>0.0206</v>
      </c>
      <c r="H370" s="110" t="s">
        <v>276</v>
      </c>
      <c r="I370" s="112">
        <f t="shared" si="1"/>
        <v>1.422330097</v>
      </c>
      <c r="J370" s="82">
        <f t="shared" si="2"/>
        <v>0.4128256513</v>
      </c>
    </row>
    <row r="371">
      <c r="A371" s="101">
        <v>44665.0</v>
      </c>
      <c r="B371" s="111">
        <v>2020.0</v>
      </c>
      <c r="C371" s="111">
        <v>2.0</v>
      </c>
      <c r="D371" s="110" t="s">
        <v>228</v>
      </c>
      <c r="E371" s="111">
        <v>0.0</v>
      </c>
      <c r="F371" s="111">
        <v>0.6946</v>
      </c>
      <c r="G371" s="111">
        <v>0.3361</v>
      </c>
      <c r="H371" s="110" t="s">
        <v>276</v>
      </c>
      <c r="I371" s="112">
        <f t="shared" si="1"/>
        <v>1.066646831</v>
      </c>
      <c r="J371" s="82">
        <f t="shared" si="2"/>
        <v>0.4838756119</v>
      </c>
    </row>
    <row r="372">
      <c r="A372" s="101">
        <v>44665.0</v>
      </c>
      <c r="B372" s="111">
        <v>2020.0</v>
      </c>
      <c r="C372" s="111">
        <v>2.0</v>
      </c>
      <c r="D372" s="110" t="s">
        <v>227</v>
      </c>
      <c r="E372" s="111">
        <v>1.0</v>
      </c>
      <c r="F372" s="111">
        <v>0.0781</v>
      </c>
      <c r="G372" s="111">
        <v>0.0372</v>
      </c>
      <c r="H372" s="110" t="s">
        <v>276</v>
      </c>
      <c r="I372" s="112">
        <f t="shared" si="1"/>
        <v>1.099462366</v>
      </c>
      <c r="J372" s="82">
        <f t="shared" si="2"/>
        <v>0.47631242</v>
      </c>
    </row>
    <row r="373">
      <c r="A373" s="101">
        <v>44665.0</v>
      </c>
      <c r="B373" s="111">
        <v>2020.0</v>
      </c>
      <c r="C373" s="111">
        <v>2.0</v>
      </c>
      <c r="D373" s="110" t="s">
        <v>227</v>
      </c>
      <c r="E373" s="111">
        <v>0.0</v>
      </c>
      <c r="F373" s="111">
        <v>0.0752</v>
      </c>
      <c r="G373" s="111">
        <v>0.0303</v>
      </c>
      <c r="H373" s="110" t="s">
        <v>276</v>
      </c>
      <c r="I373" s="112">
        <f t="shared" si="1"/>
        <v>1.481848185</v>
      </c>
      <c r="J373" s="82">
        <f t="shared" si="2"/>
        <v>0.4029255319</v>
      </c>
    </row>
    <row r="374">
      <c r="A374" s="101">
        <v>44665.0</v>
      </c>
      <c r="B374" s="111">
        <v>2021.0</v>
      </c>
      <c r="C374" s="111">
        <v>1.0</v>
      </c>
      <c r="D374" s="110" t="s">
        <v>227</v>
      </c>
      <c r="E374" s="111">
        <v>1.0</v>
      </c>
      <c r="F374" s="111">
        <v>0.0805</v>
      </c>
      <c r="G374" s="111">
        <v>0.0396</v>
      </c>
      <c r="H374" s="110" t="s">
        <v>276</v>
      </c>
      <c r="I374" s="112">
        <f t="shared" si="1"/>
        <v>1.032828283</v>
      </c>
      <c r="J374" s="82">
        <f t="shared" si="2"/>
        <v>0.4919254658</v>
      </c>
    </row>
    <row r="375">
      <c r="A375" s="101">
        <v>44665.0</v>
      </c>
      <c r="B375" s="111">
        <v>2021.0</v>
      </c>
      <c r="C375" s="111">
        <v>1.0</v>
      </c>
      <c r="D375" s="110" t="s">
        <v>228</v>
      </c>
      <c r="E375" s="111">
        <v>0.0</v>
      </c>
      <c r="F375" s="111">
        <v>0.9799</v>
      </c>
      <c r="G375" s="111">
        <v>0.4795</v>
      </c>
      <c r="H375" s="110" t="s">
        <v>276</v>
      </c>
      <c r="I375" s="112">
        <f t="shared" si="1"/>
        <v>1.04358707</v>
      </c>
      <c r="J375" s="82">
        <f t="shared" si="2"/>
        <v>0.4893356465</v>
      </c>
    </row>
    <row r="376">
      <c r="A376" s="101">
        <v>44665.0</v>
      </c>
      <c r="B376" s="111">
        <v>2021.0</v>
      </c>
      <c r="C376" s="111">
        <v>1.0</v>
      </c>
      <c r="D376" s="110" t="s">
        <v>227</v>
      </c>
      <c r="E376" s="111">
        <v>0.0</v>
      </c>
      <c r="F376" s="111">
        <v>0.1095</v>
      </c>
      <c r="G376" s="111">
        <v>0.045</v>
      </c>
      <c r="H376" s="110" t="s">
        <v>276</v>
      </c>
      <c r="I376" s="112">
        <f t="shared" si="1"/>
        <v>1.433333333</v>
      </c>
      <c r="J376" s="82">
        <f t="shared" si="2"/>
        <v>0.4109589041</v>
      </c>
    </row>
    <row r="377">
      <c r="A377" s="101">
        <v>44665.0</v>
      </c>
      <c r="B377" s="111">
        <v>2025.0</v>
      </c>
      <c r="C377" s="111">
        <v>1.0</v>
      </c>
      <c r="D377" s="110" t="s">
        <v>228</v>
      </c>
      <c r="E377" s="111">
        <v>0.0</v>
      </c>
      <c r="F377" s="111">
        <v>0.5781</v>
      </c>
      <c r="G377" s="111">
        <v>0.2852</v>
      </c>
      <c r="H377" s="110" t="s">
        <v>276</v>
      </c>
      <c r="I377" s="112">
        <f t="shared" si="1"/>
        <v>1.026998597</v>
      </c>
      <c r="J377" s="82">
        <f t="shared" si="2"/>
        <v>0.4933402526</v>
      </c>
    </row>
    <row r="378">
      <c r="A378" s="101">
        <v>44665.0</v>
      </c>
      <c r="B378" s="111">
        <v>2025.0</v>
      </c>
      <c r="C378" s="111">
        <v>1.0</v>
      </c>
      <c r="D378" s="110" t="s">
        <v>227</v>
      </c>
      <c r="E378" s="111">
        <v>0.0</v>
      </c>
      <c r="F378" s="111">
        <v>0.0701</v>
      </c>
      <c r="G378" s="111">
        <v>0.0272</v>
      </c>
      <c r="H378" s="110" t="s">
        <v>276</v>
      </c>
      <c r="I378" s="112">
        <f t="shared" si="1"/>
        <v>1.577205882</v>
      </c>
      <c r="J378" s="82">
        <f t="shared" si="2"/>
        <v>0.3880171184</v>
      </c>
    </row>
    <row r="379">
      <c r="A379" s="101">
        <v>44665.0</v>
      </c>
      <c r="B379" s="111">
        <v>2025.0</v>
      </c>
      <c r="C379" s="111">
        <v>2.0</v>
      </c>
      <c r="D379" s="110" t="s">
        <v>228</v>
      </c>
      <c r="E379" s="111">
        <v>0.0</v>
      </c>
      <c r="F379" s="111">
        <v>0.6313</v>
      </c>
      <c r="G379" s="111">
        <v>0.3101</v>
      </c>
      <c r="H379" s="110" t="s">
        <v>276</v>
      </c>
      <c r="I379" s="112">
        <f t="shared" si="1"/>
        <v>1.035794905</v>
      </c>
      <c r="J379" s="82">
        <f t="shared" si="2"/>
        <v>0.4912086171</v>
      </c>
    </row>
    <row r="380">
      <c r="A380" s="101">
        <v>44665.0</v>
      </c>
      <c r="B380" s="111">
        <v>2025.0</v>
      </c>
      <c r="C380" s="111">
        <v>2.0</v>
      </c>
      <c r="D380" s="110" t="s">
        <v>227</v>
      </c>
      <c r="E380" s="111">
        <v>1.0</v>
      </c>
      <c r="F380" s="111">
        <v>0.0728</v>
      </c>
      <c r="G380" s="111">
        <v>0.0344</v>
      </c>
      <c r="H380" s="110" t="s">
        <v>276</v>
      </c>
      <c r="I380" s="112">
        <f t="shared" si="1"/>
        <v>1.11627907</v>
      </c>
      <c r="J380" s="82">
        <f t="shared" si="2"/>
        <v>0.4725274725</v>
      </c>
    </row>
    <row r="381">
      <c r="A381" s="101">
        <v>44665.0</v>
      </c>
      <c r="B381" s="111">
        <v>2025.0</v>
      </c>
      <c r="C381" s="111">
        <v>2.0</v>
      </c>
      <c r="D381" s="110" t="s">
        <v>227</v>
      </c>
      <c r="E381" s="111">
        <v>0.0</v>
      </c>
      <c r="F381" s="111">
        <v>0.0568</v>
      </c>
      <c r="G381" s="111">
        <v>0.0254</v>
      </c>
      <c r="H381" s="110" t="s">
        <v>276</v>
      </c>
      <c r="I381" s="112">
        <f t="shared" si="1"/>
        <v>1.236220472</v>
      </c>
      <c r="J381" s="82">
        <f t="shared" si="2"/>
        <v>0.4471830986</v>
      </c>
    </row>
    <row r="382">
      <c r="A382" s="101">
        <v>44665.0</v>
      </c>
      <c r="B382" s="111">
        <v>2026.0</v>
      </c>
      <c r="C382" s="111">
        <v>1.0</v>
      </c>
      <c r="D382" s="110" t="s">
        <v>228</v>
      </c>
      <c r="E382" s="111">
        <v>1.0</v>
      </c>
      <c r="F382" s="111">
        <v>1.4449</v>
      </c>
      <c r="G382" s="111">
        <v>0.7089</v>
      </c>
      <c r="H382" s="110" t="s">
        <v>276</v>
      </c>
      <c r="I382" s="112">
        <f t="shared" si="1"/>
        <v>1.038228241</v>
      </c>
      <c r="J382" s="82">
        <f t="shared" si="2"/>
        <v>0.4906221884</v>
      </c>
    </row>
    <row r="383">
      <c r="A383" s="101">
        <v>44665.0</v>
      </c>
      <c r="B383" s="111">
        <v>2026.0</v>
      </c>
      <c r="C383" s="111">
        <v>1.0</v>
      </c>
      <c r="D383" s="110" t="s">
        <v>227</v>
      </c>
      <c r="E383" s="111">
        <v>1.0</v>
      </c>
      <c r="F383" s="111">
        <v>0.2663</v>
      </c>
      <c r="G383" s="111">
        <v>0.129</v>
      </c>
      <c r="H383" s="110" t="s">
        <v>276</v>
      </c>
      <c r="I383" s="112">
        <f t="shared" si="1"/>
        <v>1.064341085</v>
      </c>
      <c r="J383" s="82">
        <f t="shared" si="2"/>
        <v>0.4844160721</v>
      </c>
    </row>
    <row r="384">
      <c r="A384" s="101">
        <v>44665.0</v>
      </c>
      <c r="B384" s="111">
        <v>2026.0</v>
      </c>
      <c r="C384" s="111">
        <v>1.0</v>
      </c>
      <c r="D384" s="110" t="s">
        <v>227</v>
      </c>
      <c r="E384" s="111">
        <v>0.0</v>
      </c>
      <c r="F384" s="111">
        <v>0.205</v>
      </c>
      <c r="G384" s="111">
        <v>0.0885</v>
      </c>
      <c r="H384" s="110" t="s">
        <v>276</v>
      </c>
      <c r="I384" s="112">
        <f t="shared" si="1"/>
        <v>1.316384181</v>
      </c>
      <c r="J384" s="82">
        <f t="shared" si="2"/>
        <v>0.4317073171</v>
      </c>
    </row>
    <row r="385">
      <c r="A385" s="101">
        <v>44665.0</v>
      </c>
      <c r="B385" s="111">
        <v>2026.0</v>
      </c>
      <c r="C385" s="111">
        <v>2.0</v>
      </c>
      <c r="D385" s="110" t="s">
        <v>228</v>
      </c>
      <c r="E385" s="111">
        <v>0.0</v>
      </c>
      <c r="F385" s="111">
        <v>0.8188</v>
      </c>
      <c r="G385" s="111">
        <v>0.4006</v>
      </c>
      <c r="H385" s="110" t="s">
        <v>276</v>
      </c>
      <c r="I385" s="112">
        <f t="shared" si="1"/>
        <v>1.043934099</v>
      </c>
      <c r="J385" s="82">
        <f t="shared" si="2"/>
        <v>0.4892525647</v>
      </c>
    </row>
    <row r="386">
      <c r="A386" s="101">
        <v>44665.0</v>
      </c>
      <c r="B386" s="111">
        <v>2026.0</v>
      </c>
      <c r="C386" s="111">
        <v>2.0</v>
      </c>
      <c r="D386" s="110" t="s">
        <v>227</v>
      </c>
      <c r="E386" s="111">
        <v>1.0</v>
      </c>
      <c r="F386" s="111">
        <v>0.1269</v>
      </c>
      <c r="G386" s="111">
        <v>0.062</v>
      </c>
      <c r="H386" s="110" t="s">
        <v>276</v>
      </c>
      <c r="I386" s="112">
        <f t="shared" si="1"/>
        <v>1.046774194</v>
      </c>
      <c r="J386" s="82">
        <f t="shared" si="2"/>
        <v>0.4885736801</v>
      </c>
    </row>
    <row r="387">
      <c r="A387" s="101">
        <v>44665.0</v>
      </c>
      <c r="B387" s="111">
        <v>2026.0</v>
      </c>
      <c r="C387" s="111">
        <v>2.0</v>
      </c>
      <c r="D387" s="110" t="s">
        <v>227</v>
      </c>
      <c r="E387" s="111">
        <v>0.0</v>
      </c>
      <c r="F387" s="111">
        <v>0.1392</v>
      </c>
      <c r="G387" s="111">
        <v>0.0602</v>
      </c>
      <c r="H387" s="110" t="s">
        <v>276</v>
      </c>
      <c r="I387" s="112">
        <f t="shared" si="1"/>
        <v>1.312292359</v>
      </c>
      <c r="J387" s="82">
        <f t="shared" si="2"/>
        <v>0.4324712644</v>
      </c>
    </row>
    <row r="388">
      <c r="A388" s="101">
        <v>44665.0</v>
      </c>
      <c r="B388" s="111">
        <v>2027.0</v>
      </c>
      <c r="C388" s="111">
        <v>1.0</v>
      </c>
      <c r="D388" s="110" t="s">
        <v>227</v>
      </c>
      <c r="E388" s="111">
        <v>1.0</v>
      </c>
      <c r="F388" s="111">
        <v>0.6319</v>
      </c>
      <c r="G388" s="111">
        <v>0.3104</v>
      </c>
      <c r="H388" s="110" t="s">
        <v>276</v>
      </c>
      <c r="I388" s="112">
        <f t="shared" si="1"/>
        <v>1.035760309</v>
      </c>
      <c r="J388" s="82">
        <f t="shared" si="2"/>
        <v>0.4912169647</v>
      </c>
    </row>
    <row r="389">
      <c r="A389" s="101">
        <v>44665.0</v>
      </c>
      <c r="B389" s="111">
        <v>2027.0</v>
      </c>
      <c r="C389" s="111">
        <v>1.0</v>
      </c>
      <c r="D389" s="110" t="s">
        <v>228</v>
      </c>
      <c r="E389" s="111">
        <v>0.0</v>
      </c>
      <c r="F389" s="111">
        <v>2.8076</v>
      </c>
      <c r="G389" s="111">
        <v>1.3516</v>
      </c>
      <c r="H389" s="110" t="s">
        <v>276</v>
      </c>
      <c r="I389" s="112">
        <f t="shared" si="1"/>
        <v>1.077241788</v>
      </c>
      <c r="J389" s="82">
        <f t="shared" si="2"/>
        <v>0.4814076079</v>
      </c>
    </row>
    <row r="390">
      <c r="A390" s="101">
        <v>44665.0</v>
      </c>
      <c r="B390" s="111">
        <v>2027.0</v>
      </c>
      <c r="C390" s="111">
        <v>1.0</v>
      </c>
      <c r="D390" s="110" t="s">
        <v>227</v>
      </c>
      <c r="E390" s="111">
        <v>0.0</v>
      </c>
      <c r="F390" s="111">
        <v>0.2056</v>
      </c>
      <c r="G390" s="111">
        <v>0.0895</v>
      </c>
      <c r="H390" s="110" t="s">
        <v>276</v>
      </c>
      <c r="I390" s="112">
        <f t="shared" si="1"/>
        <v>1.297206704</v>
      </c>
      <c r="J390" s="82">
        <f t="shared" si="2"/>
        <v>0.435311284</v>
      </c>
    </row>
    <row r="391">
      <c r="A391" s="101">
        <v>44665.0</v>
      </c>
      <c r="B391" s="111">
        <v>2028.0</v>
      </c>
      <c r="C391" s="111">
        <v>1.0</v>
      </c>
      <c r="D391" s="110" t="s">
        <v>228</v>
      </c>
      <c r="E391" s="111">
        <v>0.0</v>
      </c>
      <c r="F391" s="111">
        <v>0.7275</v>
      </c>
      <c r="G391" s="111">
        <v>0.3699</v>
      </c>
      <c r="H391" s="110" t="s">
        <v>276</v>
      </c>
      <c r="I391" s="112">
        <f t="shared" si="1"/>
        <v>0.9667477697</v>
      </c>
      <c r="J391" s="82">
        <f t="shared" si="2"/>
        <v>0.5084536082</v>
      </c>
    </row>
    <row r="392">
      <c r="A392" s="101">
        <v>44665.0</v>
      </c>
      <c r="B392" s="111">
        <v>2028.0</v>
      </c>
      <c r="C392" s="111">
        <v>1.0</v>
      </c>
      <c r="D392" s="110" t="s">
        <v>228</v>
      </c>
      <c r="E392" s="111">
        <v>0.0</v>
      </c>
      <c r="F392" s="111">
        <v>0.6103</v>
      </c>
      <c r="G392" s="111">
        <v>0.2986</v>
      </c>
      <c r="H392" s="110" t="s">
        <v>276</v>
      </c>
      <c r="I392" s="112">
        <f t="shared" si="1"/>
        <v>1.0438714</v>
      </c>
      <c r="J392" s="82">
        <f t="shared" si="2"/>
        <v>0.4892675733</v>
      </c>
    </row>
    <row r="393">
      <c r="A393" s="101">
        <v>44665.0</v>
      </c>
      <c r="B393" s="111">
        <v>2028.0</v>
      </c>
      <c r="C393" s="111">
        <v>1.0</v>
      </c>
      <c r="D393" s="110" t="s">
        <v>228</v>
      </c>
      <c r="E393" s="111">
        <v>0.0</v>
      </c>
      <c r="F393" s="111">
        <v>0.0604</v>
      </c>
      <c r="G393" s="111">
        <v>0.0277</v>
      </c>
      <c r="H393" s="110" t="s">
        <v>276</v>
      </c>
      <c r="I393" s="112">
        <f t="shared" si="1"/>
        <v>1.180505415</v>
      </c>
      <c r="J393" s="82">
        <f t="shared" si="2"/>
        <v>0.4586092715</v>
      </c>
    </row>
    <row r="394">
      <c r="A394" s="101">
        <v>44665.0</v>
      </c>
      <c r="B394" s="111">
        <v>2028.0</v>
      </c>
      <c r="C394" s="111">
        <v>1.0</v>
      </c>
      <c r="D394" s="110" t="s">
        <v>227</v>
      </c>
      <c r="E394" s="111">
        <v>1.0</v>
      </c>
      <c r="F394" s="111">
        <v>0.1298</v>
      </c>
      <c r="G394" s="111">
        <v>0.0566</v>
      </c>
      <c r="H394" s="110" t="s">
        <v>276</v>
      </c>
      <c r="I394" s="112">
        <f t="shared" si="1"/>
        <v>1.293286219</v>
      </c>
      <c r="J394" s="82">
        <f t="shared" si="2"/>
        <v>0.43605547</v>
      </c>
    </row>
    <row r="395">
      <c r="A395" s="101">
        <v>44665.0</v>
      </c>
      <c r="B395" s="111">
        <v>2028.0</v>
      </c>
      <c r="C395" s="111">
        <v>1.0</v>
      </c>
      <c r="D395" s="110" t="s">
        <v>227</v>
      </c>
      <c r="E395" s="111">
        <v>0.0</v>
      </c>
      <c r="F395" s="111">
        <v>0.0498</v>
      </c>
      <c r="G395" s="111">
        <v>0.0176</v>
      </c>
      <c r="H395" s="110" t="s">
        <v>276</v>
      </c>
      <c r="I395" s="112">
        <f t="shared" si="1"/>
        <v>1.829545455</v>
      </c>
      <c r="J395" s="82">
        <f t="shared" si="2"/>
        <v>0.3534136546</v>
      </c>
    </row>
    <row r="396">
      <c r="A396" s="101">
        <v>44665.0</v>
      </c>
      <c r="B396" s="111">
        <v>2028.0</v>
      </c>
      <c r="C396" s="111">
        <v>2.0</v>
      </c>
      <c r="D396" s="110" t="s">
        <v>228</v>
      </c>
      <c r="E396" s="111">
        <v>0.0</v>
      </c>
      <c r="F396" s="111">
        <v>0.7928</v>
      </c>
      <c r="G396" s="111">
        <v>0.3916</v>
      </c>
      <c r="H396" s="110" t="s">
        <v>276</v>
      </c>
      <c r="I396" s="112">
        <f t="shared" si="1"/>
        <v>1.024514811</v>
      </c>
      <c r="J396" s="82">
        <f t="shared" si="2"/>
        <v>0.4939455096</v>
      </c>
    </row>
    <row r="397">
      <c r="A397" s="101">
        <v>44665.0</v>
      </c>
      <c r="B397" s="111">
        <v>2028.0</v>
      </c>
      <c r="C397" s="111">
        <v>2.0</v>
      </c>
      <c r="D397" s="110" t="s">
        <v>227</v>
      </c>
      <c r="E397" s="111">
        <v>1.0</v>
      </c>
      <c r="F397" s="111">
        <v>0.0726</v>
      </c>
      <c r="G397" s="111">
        <v>0.033</v>
      </c>
      <c r="H397" s="110" t="s">
        <v>276</v>
      </c>
      <c r="I397" s="112">
        <f t="shared" si="1"/>
        <v>1.2</v>
      </c>
      <c r="J397" s="82">
        <f t="shared" si="2"/>
        <v>0.4545454545</v>
      </c>
    </row>
    <row r="398">
      <c r="A398" s="101">
        <v>44665.0</v>
      </c>
      <c r="B398" s="111">
        <v>2031.0</v>
      </c>
      <c r="C398" s="111">
        <v>1.0</v>
      </c>
      <c r="D398" s="110" t="s">
        <v>227</v>
      </c>
      <c r="E398" s="111">
        <v>1.0</v>
      </c>
      <c r="F398" s="111">
        <v>0.1685</v>
      </c>
      <c r="G398" s="111">
        <v>0.0901</v>
      </c>
      <c r="H398" s="110" t="s">
        <v>276</v>
      </c>
      <c r="I398" s="112">
        <f t="shared" si="1"/>
        <v>0.8701442841</v>
      </c>
      <c r="J398" s="82">
        <f t="shared" si="2"/>
        <v>0.5347181009</v>
      </c>
    </row>
    <row r="399">
      <c r="A399" s="101">
        <v>44665.0</v>
      </c>
      <c r="B399" s="111">
        <v>2031.0</v>
      </c>
      <c r="C399" s="111">
        <v>1.0</v>
      </c>
      <c r="D399" s="110" t="s">
        <v>228</v>
      </c>
      <c r="E399" s="111">
        <v>0.0</v>
      </c>
      <c r="F399" s="111">
        <v>2.6184</v>
      </c>
      <c r="G399" s="111">
        <v>1.3187</v>
      </c>
      <c r="H399" s="110" t="s">
        <v>276</v>
      </c>
      <c r="I399" s="112">
        <f t="shared" si="1"/>
        <v>0.9855918708</v>
      </c>
      <c r="J399" s="82">
        <f t="shared" si="2"/>
        <v>0.5036281699</v>
      </c>
    </row>
    <row r="400">
      <c r="A400" s="101">
        <v>44665.0</v>
      </c>
      <c r="B400" s="111">
        <v>2031.0</v>
      </c>
      <c r="C400" s="111">
        <v>1.0</v>
      </c>
      <c r="D400" s="110" t="s">
        <v>227</v>
      </c>
      <c r="E400" s="111">
        <v>0.0</v>
      </c>
      <c r="F400" s="111">
        <v>0.41</v>
      </c>
      <c r="G400" s="111">
        <v>0.1766</v>
      </c>
      <c r="H400" s="110" t="s">
        <v>276</v>
      </c>
      <c r="I400" s="112">
        <f t="shared" si="1"/>
        <v>1.321630804</v>
      </c>
      <c r="J400" s="82">
        <f t="shared" si="2"/>
        <v>0.4307317073</v>
      </c>
    </row>
    <row r="401">
      <c r="A401" s="101">
        <v>44665.0</v>
      </c>
      <c r="B401" s="111">
        <v>2078.0</v>
      </c>
      <c r="C401" s="111">
        <v>1.0</v>
      </c>
      <c r="D401" s="110" t="s">
        <v>228</v>
      </c>
      <c r="E401" s="111">
        <v>0.0</v>
      </c>
      <c r="F401" s="111">
        <v>0.6481</v>
      </c>
      <c r="G401" s="111">
        <v>0.2966</v>
      </c>
      <c r="H401" s="110" t="s">
        <v>276</v>
      </c>
      <c r="I401" s="112">
        <f t="shared" si="1"/>
        <v>1.185097775</v>
      </c>
      <c r="J401" s="82">
        <f t="shared" si="2"/>
        <v>0.4576454251</v>
      </c>
    </row>
    <row r="402">
      <c r="A402" s="101">
        <v>44665.0</v>
      </c>
      <c r="B402" s="111">
        <v>2078.0</v>
      </c>
      <c r="C402" s="111">
        <v>1.0</v>
      </c>
      <c r="D402" s="110" t="s">
        <v>227</v>
      </c>
      <c r="E402" s="111">
        <v>0.0</v>
      </c>
      <c r="F402" s="111">
        <v>0.6644</v>
      </c>
      <c r="G402" s="111">
        <v>0.0257</v>
      </c>
      <c r="H402" s="110" t="s">
        <v>276</v>
      </c>
      <c r="I402" s="112">
        <f t="shared" si="1"/>
        <v>24.85214008</v>
      </c>
      <c r="J402" s="82">
        <f t="shared" si="2"/>
        <v>0.03868151716</v>
      </c>
      <c r="K402" s="66">
        <v>1.0</v>
      </c>
    </row>
    <row r="403">
      <c r="A403" s="101">
        <v>44665.0</v>
      </c>
      <c r="B403" s="111">
        <v>2301.0</v>
      </c>
      <c r="C403" s="111">
        <v>1.0</v>
      </c>
      <c r="D403" s="110" t="s">
        <v>227</v>
      </c>
      <c r="E403" s="111">
        <v>1.0</v>
      </c>
      <c r="F403" s="111">
        <v>1.685</v>
      </c>
      <c r="G403" s="111">
        <v>1.0218</v>
      </c>
      <c r="H403" s="110" t="s">
        <v>276</v>
      </c>
      <c r="I403" s="112">
        <f t="shared" si="1"/>
        <v>0.6490506949</v>
      </c>
      <c r="J403" s="82">
        <f t="shared" si="2"/>
        <v>0.6064094955</v>
      </c>
    </row>
    <row r="404">
      <c r="A404" s="101">
        <v>44665.0</v>
      </c>
      <c r="B404" s="111">
        <v>2301.0</v>
      </c>
      <c r="C404" s="111">
        <v>1.0</v>
      </c>
      <c r="D404" s="110" t="s">
        <v>228</v>
      </c>
      <c r="E404" s="111">
        <v>0.0</v>
      </c>
      <c r="F404" s="111">
        <v>0.2066</v>
      </c>
      <c r="G404" s="111">
        <v>0.1054</v>
      </c>
      <c r="H404" s="110" t="s">
        <v>276</v>
      </c>
      <c r="I404" s="112">
        <f t="shared" si="1"/>
        <v>0.9601518027</v>
      </c>
      <c r="J404" s="82">
        <f t="shared" si="2"/>
        <v>0.5101645692</v>
      </c>
    </row>
    <row r="405">
      <c r="A405" s="101">
        <v>44665.0</v>
      </c>
      <c r="B405" s="111">
        <v>2345.0</v>
      </c>
      <c r="C405" s="111">
        <v>1.0</v>
      </c>
      <c r="D405" s="110" t="s">
        <v>228</v>
      </c>
      <c r="E405" s="111">
        <v>0.0</v>
      </c>
      <c r="F405" s="111">
        <v>1.0044</v>
      </c>
      <c r="G405" s="111">
        <v>0.5822</v>
      </c>
      <c r="H405" s="110" t="s">
        <v>276</v>
      </c>
      <c r="I405" s="112">
        <f t="shared" si="1"/>
        <v>0.7251803504</v>
      </c>
      <c r="J405" s="82">
        <f t="shared" si="2"/>
        <v>0.579649542</v>
      </c>
    </row>
    <row r="406">
      <c r="A406" s="101">
        <v>44665.0</v>
      </c>
      <c r="B406" s="111">
        <v>2345.0</v>
      </c>
      <c r="C406" s="111">
        <v>1.0</v>
      </c>
      <c r="D406" s="110" t="s">
        <v>227</v>
      </c>
      <c r="E406" s="111">
        <v>1.0</v>
      </c>
      <c r="F406" s="111">
        <v>0.2122</v>
      </c>
      <c r="G406" s="111">
        <v>0.1174</v>
      </c>
      <c r="H406" s="110" t="s">
        <v>276</v>
      </c>
      <c r="I406" s="112">
        <f t="shared" si="1"/>
        <v>0.8074957411</v>
      </c>
      <c r="J406" s="82">
        <f t="shared" si="2"/>
        <v>0.5532516494</v>
      </c>
    </row>
    <row r="407">
      <c r="A407" s="101">
        <v>44665.0</v>
      </c>
      <c r="B407" s="111">
        <v>2345.0</v>
      </c>
      <c r="C407" s="111">
        <v>2.0</v>
      </c>
      <c r="D407" s="110" t="s">
        <v>228</v>
      </c>
      <c r="E407" s="111">
        <v>1.0</v>
      </c>
      <c r="F407" s="111">
        <v>1.4443</v>
      </c>
      <c r="G407" s="111">
        <v>0.8472</v>
      </c>
      <c r="H407" s="110" t="s">
        <v>276</v>
      </c>
      <c r="I407" s="112">
        <f t="shared" si="1"/>
        <v>0.7047922568</v>
      </c>
      <c r="J407" s="82">
        <f t="shared" si="2"/>
        <v>0.5865817351</v>
      </c>
    </row>
    <row r="408">
      <c r="A408" s="101">
        <v>44665.0</v>
      </c>
      <c r="B408" s="111">
        <v>2345.0</v>
      </c>
      <c r="C408" s="111">
        <v>2.0</v>
      </c>
      <c r="D408" s="110" t="s">
        <v>227</v>
      </c>
      <c r="E408" s="111">
        <v>1.0</v>
      </c>
      <c r="F408" s="111">
        <v>0.131</v>
      </c>
      <c r="G408" s="111">
        <v>0.0739</v>
      </c>
      <c r="H408" s="110" t="s">
        <v>276</v>
      </c>
      <c r="I408" s="112">
        <f t="shared" si="1"/>
        <v>0.7726657645</v>
      </c>
      <c r="J408" s="82">
        <f t="shared" si="2"/>
        <v>0.5641221374</v>
      </c>
    </row>
    <row r="409">
      <c r="A409" s="101">
        <v>44665.0</v>
      </c>
      <c r="B409" s="111">
        <v>2350.0</v>
      </c>
      <c r="C409" s="111">
        <v>1.0</v>
      </c>
      <c r="D409" s="110" t="s">
        <v>227</v>
      </c>
      <c r="E409" s="111">
        <v>1.0</v>
      </c>
      <c r="F409" s="111">
        <v>0.2654</v>
      </c>
      <c r="G409" s="111">
        <v>0.1263</v>
      </c>
      <c r="H409" s="110" t="s">
        <v>276</v>
      </c>
      <c r="I409" s="112">
        <f t="shared" si="1"/>
        <v>1.101346002</v>
      </c>
      <c r="J409" s="82">
        <f t="shared" si="2"/>
        <v>0.4758854559</v>
      </c>
    </row>
    <row r="410">
      <c r="A410" s="101">
        <v>44665.0</v>
      </c>
      <c r="B410" s="111">
        <v>2350.0</v>
      </c>
      <c r="C410" s="111">
        <v>1.0</v>
      </c>
      <c r="D410" s="110" t="s">
        <v>228</v>
      </c>
      <c r="E410" s="111">
        <v>0.0</v>
      </c>
      <c r="F410" s="111">
        <v>0.047</v>
      </c>
      <c r="G410" s="111">
        <v>0.0155</v>
      </c>
      <c r="H410" s="110" t="s">
        <v>276</v>
      </c>
      <c r="I410" s="112">
        <f t="shared" si="1"/>
        <v>2.032258065</v>
      </c>
      <c r="J410" s="82">
        <f t="shared" si="2"/>
        <v>0.329787234</v>
      </c>
    </row>
    <row r="411">
      <c r="A411" s="101">
        <v>44665.0</v>
      </c>
      <c r="B411" s="111">
        <v>2350.0</v>
      </c>
      <c r="C411" s="111">
        <v>1.0</v>
      </c>
      <c r="D411" s="110" t="s">
        <v>227</v>
      </c>
      <c r="E411" s="111">
        <v>0.0</v>
      </c>
      <c r="F411" s="111">
        <v>0.4512</v>
      </c>
      <c r="G411" s="111">
        <v>0.1451</v>
      </c>
      <c r="H411" s="110" t="s">
        <v>276</v>
      </c>
      <c r="I411" s="112">
        <f t="shared" si="1"/>
        <v>2.1095796</v>
      </c>
      <c r="J411" s="82">
        <f t="shared" si="2"/>
        <v>0.3215868794</v>
      </c>
    </row>
    <row r="412">
      <c r="A412" s="101">
        <v>44665.0</v>
      </c>
      <c r="B412" s="111">
        <v>2351.0</v>
      </c>
      <c r="C412" s="111">
        <v>1.0</v>
      </c>
      <c r="D412" s="110" t="s">
        <v>227</v>
      </c>
      <c r="E412" s="111">
        <v>1.0</v>
      </c>
      <c r="F412" s="111">
        <v>0.3063</v>
      </c>
      <c r="G412" s="111">
        <v>0.1608</v>
      </c>
      <c r="H412" s="110" t="s">
        <v>276</v>
      </c>
      <c r="I412" s="112">
        <f t="shared" si="1"/>
        <v>0.9048507463</v>
      </c>
      <c r="J412" s="82">
        <f t="shared" si="2"/>
        <v>0.5249755142</v>
      </c>
    </row>
    <row r="413">
      <c r="A413" s="101">
        <v>44665.0</v>
      </c>
      <c r="B413" s="111">
        <v>2351.0</v>
      </c>
      <c r="C413" s="111">
        <v>1.0</v>
      </c>
      <c r="D413" s="110" t="s">
        <v>227</v>
      </c>
      <c r="E413" s="111">
        <v>1.0</v>
      </c>
      <c r="F413" s="111">
        <v>0.0555</v>
      </c>
      <c r="G413" s="111">
        <v>0.0253</v>
      </c>
      <c r="H413" s="110" t="s">
        <v>276</v>
      </c>
      <c r="I413" s="112">
        <f t="shared" si="1"/>
        <v>1.193675889</v>
      </c>
      <c r="J413" s="82">
        <f t="shared" si="2"/>
        <v>0.4558558559</v>
      </c>
    </row>
    <row r="414">
      <c r="A414" s="101">
        <v>44665.0</v>
      </c>
      <c r="B414" s="111">
        <v>2351.0</v>
      </c>
      <c r="C414" s="111">
        <v>1.0</v>
      </c>
      <c r="D414" s="110" t="s">
        <v>228</v>
      </c>
      <c r="E414" s="111">
        <v>0.0</v>
      </c>
      <c r="F414" s="111">
        <v>0.4561</v>
      </c>
      <c r="G414" s="111">
        <v>0.2008</v>
      </c>
      <c r="H414" s="110" t="s">
        <v>276</v>
      </c>
      <c r="I414" s="112">
        <f t="shared" si="1"/>
        <v>1.271414343</v>
      </c>
      <c r="J414" s="82">
        <f t="shared" si="2"/>
        <v>0.4402543302</v>
      </c>
    </row>
    <row r="415">
      <c r="A415" s="101">
        <v>44665.0</v>
      </c>
      <c r="B415" s="111">
        <v>2351.0</v>
      </c>
      <c r="C415" s="111">
        <v>1.0</v>
      </c>
      <c r="D415" s="110" t="s">
        <v>227</v>
      </c>
      <c r="E415" s="111">
        <v>1.0</v>
      </c>
      <c r="F415" s="111">
        <v>0.0781</v>
      </c>
      <c r="G415" s="111">
        <v>0.033</v>
      </c>
      <c r="H415" s="110" t="s">
        <v>276</v>
      </c>
      <c r="I415" s="112">
        <f t="shared" si="1"/>
        <v>1.366666667</v>
      </c>
      <c r="J415" s="82">
        <f t="shared" si="2"/>
        <v>0.4225352113</v>
      </c>
    </row>
    <row r="416">
      <c r="A416" s="101">
        <v>44665.0</v>
      </c>
      <c r="B416" s="111">
        <v>2351.0</v>
      </c>
      <c r="C416" s="111">
        <v>1.0</v>
      </c>
      <c r="D416" s="110" t="s">
        <v>228</v>
      </c>
      <c r="E416" s="111">
        <v>0.0</v>
      </c>
      <c r="F416" s="111">
        <v>0.9838</v>
      </c>
      <c r="G416" s="111">
        <v>0.3818</v>
      </c>
      <c r="H416" s="110" t="s">
        <v>276</v>
      </c>
      <c r="I416" s="112">
        <f t="shared" si="1"/>
        <v>1.57674175</v>
      </c>
      <c r="J416" s="82">
        <f t="shared" si="2"/>
        <v>0.3880870096</v>
      </c>
    </row>
    <row r="417">
      <c r="A417" s="101">
        <v>44665.0</v>
      </c>
      <c r="B417" s="111">
        <v>2351.0</v>
      </c>
      <c r="C417" s="111">
        <v>1.0</v>
      </c>
      <c r="D417" s="110" t="s">
        <v>227</v>
      </c>
      <c r="E417" s="111">
        <v>0.0</v>
      </c>
      <c r="F417" s="111">
        <v>0.0371</v>
      </c>
      <c r="G417" s="111">
        <v>0.0137</v>
      </c>
      <c r="H417" s="110" t="s">
        <v>276</v>
      </c>
      <c r="I417" s="112">
        <f t="shared" si="1"/>
        <v>1.708029197</v>
      </c>
      <c r="J417" s="82">
        <f t="shared" si="2"/>
        <v>0.3692722372</v>
      </c>
    </row>
    <row r="418">
      <c r="A418" s="101">
        <v>44665.0</v>
      </c>
      <c r="B418" s="111">
        <v>2351.0</v>
      </c>
      <c r="C418" s="111">
        <v>1.0</v>
      </c>
      <c r="D418" s="110" t="s">
        <v>227</v>
      </c>
      <c r="E418" s="111">
        <v>0.0</v>
      </c>
      <c r="F418" s="111">
        <v>0.0938</v>
      </c>
      <c r="G418" s="111">
        <v>0.0323</v>
      </c>
      <c r="H418" s="110" t="s">
        <v>276</v>
      </c>
      <c r="I418" s="112">
        <f t="shared" si="1"/>
        <v>1.904024768</v>
      </c>
      <c r="J418" s="82">
        <f t="shared" si="2"/>
        <v>0.3443496802</v>
      </c>
    </row>
    <row r="419">
      <c r="A419" s="101">
        <v>44665.0</v>
      </c>
      <c r="B419" s="111">
        <v>2351.0</v>
      </c>
      <c r="C419" s="111">
        <v>2.0</v>
      </c>
      <c r="D419" s="110" t="s">
        <v>228</v>
      </c>
      <c r="E419" s="111">
        <v>1.0</v>
      </c>
      <c r="F419" s="111">
        <v>0.4046</v>
      </c>
      <c r="G419" s="111">
        <v>0.1895</v>
      </c>
      <c r="H419" s="110" t="s">
        <v>276</v>
      </c>
      <c r="I419" s="112">
        <f t="shared" si="1"/>
        <v>1.135092348</v>
      </c>
      <c r="J419" s="82">
        <f t="shared" si="2"/>
        <v>0.4683638161</v>
      </c>
    </row>
    <row r="420">
      <c r="A420" s="101">
        <v>44665.0</v>
      </c>
      <c r="B420" s="111">
        <v>2351.0</v>
      </c>
      <c r="C420" s="111">
        <v>2.0</v>
      </c>
      <c r="D420" s="110" t="s">
        <v>227</v>
      </c>
      <c r="E420" s="111">
        <v>0.0</v>
      </c>
      <c r="F420" s="111">
        <v>0.0184</v>
      </c>
      <c r="G420" s="111">
        <v>0.0079</v>
      </c>
      <c r="H420" s="110" t="s">
        <v>276</v>
      </c>
      <c r="I420" s="112">
        <f t="shared" si="1"/>
        <v>1.329113924</v>
      </c>
      <c r="J420" s="82">
        <f t="shared" si="2"/>
        <v>0.4293478261</v>
      </c>
    </row>
    <row r="421">
      <c r="A421" s="101">
        <v>44665.0</v>
      </c>
      <c r="B421" s="111">
        <v>2351.0</v>
      </c>
      <c r="C421" s="111">
        <v>3.0</v>
      </c>
      <c r="D421" s="110" t="s">
        <v>228</v>
      </c>
      <c r="E421" s="111">
        <v>0.0</v>
      </c>
      <c r="F421" s="111">
        <v>0.5845</v>
      </c>
      <c r="G421" s="111">
        <v>0.2662</v>
      </c>
      <c r="H421" s="110" t="s">
        <v>276</v>
      </c>
      <c r="I421" s="112">
        <f t="shared" si="1"/>
        <v>1.195717506</v>
      </c>
      <c r="J421" s="82">
        <f t="shared" si="2"/>
        <v>0.4554319932</v>
      </c>
    </row>
    <row r="422">
      <c r="A422" s="101">
        <v>44665.0</v>
      </c>
      <c r="B422" s="111">
        <v>2351.0</v>
      </c>
      <c r="C422" s="111">
        <v>3.0</v>
      </c>
      <c r="D422" s="110" t="s">
        <v>227</v>
      </c>
      <c r="E422" s="111">
        <v>0.0</v>
      </c>
      <c r="F422" s="111">
        <v>0.0245</v>
      </c>
      <c r="G422" s="111">
        <v>0.0091</v>
      </c>
      <c r="H422" s="110" t="s">
        <v>276</v>
      </c>
      <c r="I422" s="112">
        <f t="shared" si="1"/>
        <v>1.692307692</v>
      </c>
      <c r="J422" s="82">
        <f t="shared" si="2"/>
        <v>0.3714285714</v>
      </c>
    </row>
    <row r="423">
      <c r="A423" s="101">
        <v>44665.0</v>
      </c>
      <c r="B423" s="111">
        <v>2360.0</v>
      </c>
      <c r="C423" s="111">
        <v>1.0</v>
      </c>
      <c r="D423" s="110" t="s">
        <v>227</v>
      </c>
      <c r="E423" s="111">
        <v>1.0</v>
      </c>
      <c r="F423" s="111">
        <v>0.0467</v>
      </c>
      <c r="G423" s="111">
        <v>0.0246</v>
      </c>
      <c r="H423" s="110" t="s">
        <v>276</v>
      </c>
      <c r="I423" s="112">
        <f t="shared" si="1"/>
        <v>0.8983739837</v>
      </c>
      <c r="J423" s="82">
        <f t="shared" si="2"/>
        <v>0.5267665953</v>
      </c>
    </row>
    <row r="424">
      <c r="A424" s="101">
        <v>44665.0</v>
      </c>
      <c r="B424" s="111">
        <v>2360.0</v>
      </c>
      <c r="C424" s="111">
        <v>1.0</v>
      </c>
      <c r="D424" s="110" t="s">
        <v>228</v>
      </c>
      <c r="E424" s="111">
        <v>0.0</v>
      </c>
      <c r="F424" s="111">
        <v>1.4565</v>
      </c>
      <c r="G424" s="111">
        <v>0.68</v>
      </c>
      <c r="H424" s="110" t="s">
        <v>276</v>
      </c>
      <c r="I424" s="112">
        <f t="shared" si="1"/>
        <v>1.141911765</v>
      </c>
      <c r="J424" s="82">
        <f t="shared" si="2"/>
        <v>0.4668726399</v>
      </c>
    </row>
    <row r="425">
      <c r="A425" s="101">
        <v>44665.0</v>
      </c>
      <c r="B425" s="111">
        <v>2360.0</v>
      </c>
      <c r="C425" s="111">
        <v>1.0</v>
      </c>
      <c r="D425" s="110" t="s">
        <v>227</v>
      </c>
      <c r="E425" s="111">
        <v>0.0</v>
      </c>
      <c r="F425" s="111">
        <v>0.114</v>
      </c>
      <c r="G425" s="111">
        <v>0.05</v>
      </c>
      <c r="H425" s="110" t="s">
        <v>276</v>
      </c>
      <c r="I425" s="112">
        <f t="shared" si="1"/>
        <v>1.28</v>
      </c>
      <c r="J425" s="82">
        <f t="shared" si="2"/>
        <v>0.4385964912</v>
      </c>
    </row>
    <row r="426">
      <c r="A426" s="101">
        <v>44665.0</v>
      </c>
      <c r="B426" s="111">
        <v>2365.0</v>
      </c>
      <c r="C426" s="111">
        <v>1.0</v>
      </c>
      <c r="D426" s="110" t="s">
        <v>227</v>
      </c>
      <c r="E426" s="111">
        <v>1.0</v>
      </c>
      <c r="F426" s="111">
        <v>0.2314</v>
      </c>
      <c r="G426" s="111">
        <v>0.1115</v>
      </c>
      <c r="H426" s="110" t="s">
        <v>276</v>
      </c>
      <c r="I426" s="112">
        <f t="shared" si="1"/>
        <v>1.075336323</v>
      </c>
      <c r="J426" s="82">
        <f t="shared" si="2"/>
        <v>0.4818496111</v>
      </c>
    </row>
    <row r="427">
      <c r="A427" s="101">
        <v>44665.0</v>
      </c>
      <c r="B427" s="111">
        <v>2365.0</v>
      </c>
      <c r="C427" s="111">
        <v>1.0</v>
      </c>
      <c r="D427" s="110" t="s">
        <v>228</v>
      </c>
      <c r="E427" s="111">
        <v>0.0</v>
      </c>
      <c r="F427" s="111">
        <v>0.8096</v>
      </c>
      <c r="G427" s="111">
        <v>0.3704</v>
      </c>
      <c r="H427" s="110" t="s">
        <v>276</v>
      </c>
      <c r="I427" s="112">
        <f t="shared" si="1"/>
        <v>1.18574514</v>
      </c>
      <c r="J427" s="82">
        <f t="shared" si="2"/>
        <v>0.4575098814</v>
      </c>
    </row>
    <row r="428">
      <c r="A428" s="101">
        <v>44665.0</v>
      </c>
      <c r="B428" s="111">
        <v>2367.0</v>
      </c>
      <c r="C428" s="111">
        <v>1.0</v>
      </c>
      <c r="D428" s="110" t="s">
        <v>228</v>
      </c>
      <c r="E428" s="111">
        <v>0.0</v>
      </c>
      <c r="F428" s="111">
        <v>0.4867</v>
      </c>
      <c r="G428" s="111">
        <v>0.2212</v>
      </c>
      <c r="H428" s="110" t="s">
        <v>276</v>
      </c>
      <c r="I428" s="112">
        <f t="shared" si="1"/>
        <v>1.200271248</v>
      </c>
      <c r="J428" s="82">
        <f t="shared" si="2"/>
        <v>0.4544894185</v>
      </c>
    </row>
    <row r="429">
      <c r="A429" s="101">
        <v>44665.0</v>
      </c>
      <c r="B429" s="111">
        <v>2367.0</v>
      </c>
      <c r="C429" s="111">
        <v>1.0</v>
      </c>
      <c r="D429" s="110" t="s">
        <v>227</v>
      </c>
      <c r="E429" s="111">
        <v>1.0</v>
      </c>
      <c r="F429" s="111">
        <v>0.0329</v>
      </c>
      <c r="G429" s="111">
        <v>0.0148</v>
      </c>
      <c r="H429" s="110" t="s">
        <v>276</v>
      </c>
      <c r="I429" s="112">
        <f t="shared" si="1"/>
        <v>1.222972973</v>
      </c>
      <c r="J429" s="82">
        <f t="shared" si="2"/>
        <v>0.4498480243</v>
      </c>
    </row>
    <row r="430">
      <c r="A430" s="101">
        <v>44665.0</v>
      </c>
      <c r="B430" s="111">
        <v>2367.0</v>
      </c>
      <c r="C430" s="111">
        <v>1.0</v>
      </c>
      <c r="D430" s="110" t="s">
        <v>227</v>
      </c>
      <c r="E430" s="111">
        <v>0.0</v>
      </c>
      <c r="F430" s="111">
        <v>0.0274</v>
      </c>
      <c r="G430" s="111">
        <v>0.0116</v>
      </c>
      <c r="H430" s="110" t="s">
        <v>276</v>
      </c>
      <c r="I430" s="112">
        <f t="shared" si="1"/>
        <v>1.362068966</v>
      </c>
      <c r="J430" s="82">
        <f t="shared" si="2"/>
        <v>0.4233576642</v>
      </c>
    </row>
    <row r="431">
      <c r="A431" s="101">
        <v>44665.0</v>
      </c>
      <c r="B431" s="111">
        <v>2367.0</v>
      </c>
      <c r="C431" s="111">
        <v>2.0</v>
      </c>
      <c r="D431" s="110" t="s">
        <v>227</v>
      </c>
      <c r="E431" s="111">
        <v>1.0</v>
      </c>
      <c r="F431" s="111">
        <v>0.2645</v>
      </c>
      <c r="G431" s="111">
        <v>0.1385</v>
      </c>
      <c r="H431" s="110" t="s">
        <v>276</v>
      </c>
      <c r="I431" s="112">
        <f t="shared" si="1"/>
        <v>0.9097472924</v>
      </c>
      <c r="J431" s="82">
        <f t="shared" si="2"/>
        <v>0.5236294896</v>
      </c>
    </row>
    <row r="432">
      <c r="A432" s="101">
        <v>44665.0</v>
      </c>
      <c r="B432" s="111">
        <v>2367.0</v>
      </c>
      <c r="C432" s="111">
        <v>2.0</v>
      </c>
      <c r="D432" s="110" t="s">
        <v>228</v>
      </c>
      <c r="E432" s="111">
        <v>0.0</v>
      </c>
      <c r="F432" s="111">
        <v>0.6433</v>
      </c>
      <c r="G432" s="111">
        <v>0.2857</v>
      </c>
      <c r="H432" s="110" t="s">
        <v>276</v>
      </c>
      <c r="I432" s="112">
        <f t="shared" si="1"/>
        <v>1.251662583</v>
      </c>
      <c r="J432" s="82">
        <f t="shared" si="2"/>
        <v>0.4441162755</v>
      </c>
    </row>
    <row r="433">
      <c r="A433" s="101">
        <v>44665.0</v>
      </c>
      <c r="B433" s="111">
        <v>2367.0</v>
      </c>
      <c r="C433" s="111">
        <v>2.0</v>
      </c>
      <c r="D433" s="110" t="s">
        <v>227</v>
      </c>
      <c r="E433" s="111">
        <v>0.0</v>
      </c>
      <c r="F433" s="111">
        <v>0.0547</v>
      </c>
      <c r="G433" s="111">
        <v>0.0223</v>
      </c>
      <c r="H433" s="110" t="s">
        <v>276</v>
      </c>
      <c r="I433" s="112">
        <f t="shared" si="1"/>
        <v>1.452914798</v>
      </c>
      <c r="J433" s="82">
        <f t="shared" si="2"/>
        <v>0.407678245</v>
      </c>
    </row>
    <row r="434">
      <c r="A434" s="101">
        <v>44665.0</v>
      </c>
      <c r="B434" s="111">
        <v>2369.0</v>
      </c>
      <c r="C434" s="111">
        <v>1.0</v>
      </c>
      <c r="D434" s="110" t="s">
        <v>228</v>
      </c>
      <c r="E434" s="111">
        <v>0.0</v>
      </c>
      <c r="F434" s="111">
        <v>0.5382</v>
      </c>
      <c r="G434" s="111">
        <v>0.2504</v>
      </c>
      <c r="H434" s="110" t="s">
        <v>276</v>
      </c>
      <c r="I434" s="112">
        <f t="shared" si="1"/>
        <v>1.149361022</v>
      </c>
      <c r="J434" s="82">
        <f t="shared" si="2"/>
        <v>0.4652545522</v>
      </c>
    </row>
    <row r="435">
      <c r="A435" s="101">
        <v>44665.0</v>
      </c>
      <c r="B435" s="111">
        <v>2369.0</v>
      </c>
      <c r="C435" s="111">
        <v>2.0</v>
      </c>
      <c r="D435" s="110" t="s">
        <v>227</v>
      </c>
      <c r="E435" s="111">
        <v>1.0</v>
      </c>
      <c r="F435" s="111">
        <v>0.2857</v>
      </c>
      <c r="G435" s="111">
        <v>0.1349</v>
      </c>
      <c r="H435" s="110" t="s">
        <v>276</v>
      </c>
      <c r="I435" s="112">
        <f t="shared" si="1"/>
        <v>1.117865085</v>
      </c>
      <c r="J435" s="82">
        <f t="shared" si="2"/>
        <v>0.4721736087</v>
      </c>
    </row>
    <row r="436">
      <c r="A436" s="101">
        <v>44665.0</v>
      </c>
      <c r="B436" s="111">
        <v>2369.0</v>
      </c>
      <c r="C436" s="111">
        <v>2.0</v>
      </c>
      <c r="D436" s="110" t="s">
        <v>228</v>
      </c>
      <c r="E436" s="111">
        <v>0.0</v>
      </c>
      <c r="F436" s="111">
        <v>0.9582</v>
      </c>
      <c r="G436" s="111">
        <v>0.4522</v>
      </c>
      <c r="H436" s="110" t="s">
        <v>276</v>
      </c>
      <c r="I436" s="112">
        <f t="shared" si="1"/>
        <v>1.118973905</v>
      </c>
      <c r="J436" s="82">
        <f t="shared" si="2"/>
        <v>0.4719265289</v>
      </c>
    </row>
    <row r="437">
      <c r="A437" s="101">
        <v>44665.0</v>
      </c>
      <c r="B437" s="111">
        <v>2369.0</v>
      </c>
      <c r="C437" s="111">
        <v>2.0</v>
      </c>
      <c r="D437" s="110" t="s">
        <v>227</v>
      </c>
      <c r="E437" s="111">
        <v>0.0</v>
      </c>
      <c r="F437" s="111">
        <v>0.1252</v>
      </c>
      <c r="G437" s="111">
        <v>0.052</v>
      </c>
      <c r="H437" s="110" t="s">
        <v>276</v>
      </c>
      <c r="I437" s="112">
        <f t="shared" si="1"/>
        <v>1.407692308</v>
      </c>
      <c r="J437" s="82">
        <f t="shared" si="2"/>
        <v>0.4153354633</v>
      </c>
    </row>
    <row r="438">
      <c r="A438" s="101">
        <v>44665.0</v>
      </c>
      <c r="B438" s="111">
        <v>2375.0</v>
      </c>
      <c r="C438" s="111">
        <v>1.0</v>
      </c>
      <c r="D438" s="110" t="s">
        <v>228</v>
      </c>
      <c r="E438" s="111">
        <v>0.0</v>
      </c>
      <c r="F438" s="111">
        <v>1.2727</v>
      </c>
      <c r="G438" s="111">
        <v>0.6634</v>
      </c>
      <c r="H438" s="110" t="s">
        <v>276</v>
      </c>
      <c r="I438" s="112">
        <f t="shared" si="1"/>
        <v>0.918450407</v>
      </c>
      <c r="J438" s="82">
        <f t="shared" si="2"/>
        <v>0.5212540269</v>
      </c>
    </row>
    <row r="439">
      <c r="A439" s="101">
        <v>44665.0</v>
      </c>
      <c r="B439" s="111">
        <v>2375.0</v>
      </c>
      <c r="C439" s="111">
        <v>1.0</v>
      </c>
      <c r="D439" s="110" t="s">
        <v>227</v>
      </c>
      <c r="E439" s="111">
        <v>1.0</v>
      </c>
      <c r="F439" s="111">
        <v>0.0677</v>
      </c>
      <c r="G439" s="111">
        <v>0.0339</v>
      </c>
      <c r="H439" s="110" t="s">
        <v>276</v>
      </c>
      <c r="I439" s="112">
        <f t="shared" si="1"/>
        <v>0.9970501475</v>
      </c>
      <c r="J439" s="82">
        <f t="shared" si="2"/>
        <v>0.5007385524</v>
      </c>
    </row>
    <row r="440">
      <c r="A440" s="101">
        <v>44665.0</v>
      </c>
      <c r="B440" s="111">
        <v>2375.0</v>
      </c>
      <c r="C440" s="111">
        <v>1.0</v>
      </c>
      <c r="D440" s="110" t="s">
        <v>227</v>
      </c>
      <c r="E440" s="111">
        <v>0.0</v>
      </c>
      <c r="F440" s="111">
        <v>0.1119</v>
      </c>
      <c r="G440" s="111">
        <v>0.0504</v>
      </c>
      <c r="H440" s="110" t="s">
        <v>276</v>
      </c>
      <c r="I440" s="112">
        <f t="shared" si="1"/>
        <v>1.220238095</v>
      </c>
      <c r="J440" s="82">
        <f t="shared" si="2"/>
        <v>0.4504021448</v>
      </c>
    </row>
    <row r="441">
      <c r="A441" s="101">
        <v>44665.0</v>
      </c>
      <c r="B441" s="111">
        <v>2377.0</v>
      </c>
      <c r="C441" s="111">
        <v>1.0</v>
      </c>
      <c r="D441" s="110" t="s">
        <v>228</v>
      </c>
      <c r="E441" s="111">
        <v>1.0</v>
      </c>
      <c r="F441" s="111">
        <v>1.4716</v>
      </c>
      <c r="G441" s="111">
        <v>0.8352</v>
      </c>
      <c r="H441" s="110" t="s">
        <v>276</v>
      </c>
      <c r="I441" s="112">
        <f t="shared" si="1"/>
        <v>0.7619731801</v>
      </c>
      <c r="J441" s="82">
        <f t="shared" si="2"/>
        <v>0.5675455287</v>
      </c>
    </row>
    <row r="442">
      <c r="A442" s="101">
        <v>44665.0</v>
      </c>
      <c r="B442" s="111">
        <v>2377.0</v>
      </c>
      <c r="C442" s="111">
        <v>1.0</v>
      </c>
      <c r="D442" s="110" t="s">
        <v>227</v>
      </c>
      <c r="E442" s="111">
        <v>1.0</v>
      </c>
      <c r="F442" s="111">
        <v>0.7245</v>
      </c>
      <c r="G442" s="111">
        <v>0.3745</v>
      </c>
      <c r="H442" s="110" t="s">
        <v>276</v>
      </c>
      <c r="I442" s="112">
        <f t="shared" si="1"/>
        <v>0.9345794393</v>
      </c>
      <c r="J442" s="82">
        <f t="shared" si="2"/>
        <v>0.5169082126</v>
      </c>
    </row>
    <row r="443">
      <c r="A443" s="101">
        <v>44665.0</v>
      </c>
      <c r="B443" s="111">
        <v>2377.0</v>
      </c>
      <c r="C443" s="111">
        <v>1.0</v>
      </c>
      <c r="D443" s="110" t="s">
        <v>228</v>
      </c>
      <c r="E443" s="111">
        <v>0.0</v>
      </c>
      <c r="F443" s="111">
        <v>0.9023</v>
      </c>
      <c r="G443" s="111">
        <v>0.4499</v>
      </c>
      <c r="H443" s="110" t="s">
        <v>276</v>
      </c>
      <c r="I443" s="112">
        <f t="shared" si="1"/>
        <v>1.00555679</v>
      </c>
      <c r="J443" s="82">
        <f t="shared" si="2"/>
        <v>0.4986146514</v>
      </c>
    </row>
    <row r="444">
      <c r="A444" s="101">
        <v>44665.0</v>
      </c>
      <c r="B444" s="111">
        <v>2377.0</v>
      </c>
      <c r="C444" s="111">
        <v>1.0</v>
      </c>
      <c r="D444" s="110" t="s">
        <v>227</v>
      </c>
      <c r="E444" s="111">
        <v>0.0</v>
      </c>
      <c r="F444" s="111">
        <v>0.1186</v>
      </c>
      <c r="G444" s="111">
        <v>0.0458</v>
      </c>
      <c r="H444" s="110" t="s">
        <v>276</v>
      </c>
      <c r="I444" s="112">
        <f t="shared" si="1"/>
        <v>1.589519651</v>
      </c>
      <c r="J444" s="82">
        <f t="shared" si="2"/>
        <v>0.3861720067</v>
      </c>
    </row>
    <row r="445">
      <c r="A445" s="101">
        <v>44665.0</v>
      </c>
      <c r="B445" s="111">
        <v>2377.0</v>
      </c>
      <c r="C445" s="111">
        <v>2.0</v>
      </c>
      <c r="D445" s="110" t="s">
        <v>228</v>
      </c>
      <c r="E445" s="111">
        <v>1.0</v>
      </c>
      <c r="F445" s="111">
        <v>1.263</v>
      </c>
      <c r="G445" s="111">
        <v>0.7456</v>
      </c>
      <c r="H445" s="110" t="s">
        <v>276</v>
      </c>
      <c r="I445" s="112">
        <f t="shared" si="1"/>
        <v>0.6939377682</v>
      </c>
      <c r="J445" s="82">
        <f t="shared" si="2"/>
        <v>0.5903404592</v>
      </c>
    </row>
    <row r="446">
      <c r="A446" s="101">
        <v>44665.0</v>
      </c>
      <c r="B446" s="111">
        <v>2377.0</v>
      </c>
      <c r="C446" s="111">
        <v>2.0</v>
      </c>
      <c r="D446" s="110" t="s">
        <v>227</v>
      </c>
      <c r="E446" s="111">
        <v>1.0</v>
      </c>
      <c r="F446" s="111">
        <v>0.6215</v>
      </c>
      <c r="G446" s="111">
        <v>0.3256</v>
      </c>
      <c r="H446" s="110" t="s">
        <v>276</v>
      </c>
      <c r="I446" s="112">
        <f t="shared" si="1"/>
        <v>0.9087837838</v>
      </c>
      <c r="J446" s="82">
        <f t="shared" si="2"/>
        <v>0.5238938053</v>
      </c>
    </row>
    <row r="447">
      <c r="A447" s="101">
        <v>44665.0</v>
      </c>
      <c r="B447" s="111">
        <v>2377.0</v>
      </c>
      <c r="C447" s="111">
        <v>3.0</v>
      </c>
      <c r="D447" s="110" t="s">
        <v>228</v>
      </c>
      <c r="E447" s="111">
        <v>1.0</v>
      </c>
      <c r="F447" s="111">
        <v>0.7124</v>
      </c>
      <c r="G447" s="111">
        <v>0.4268</v>
      </c>
      <c r="H447" s="110" t="s">
        <v>276</v>
      </c>
      <c r="I447" s="112">
        <f t="shared" si="1"/>
        <v>0.6691658857</v>
      </c>
      <c r="J447" s="82">
        <f t="shared" si="2"/>
        <v>0.5991016283</v>
      </c>
    </row>
    <row r="448">
      <c r="A448" s="101">
        <v>44665.0</v>
      </c>
      <c r="B448" s="111">
        <v>2377.0</v>
      </c>
      <c r="C448" s="111">
        <v>3.0</v>
      </c>
      <c r="D448" s="110" t="s">
        <v>227</v>
      </c>
      <c r="E448" s="111">
        <v>1.0</v>
      </c>
      <c r="F448" s="111">
        <v>0.4117</v>
      </c>
      <c r="G448" s="111">
        <v>0.216</v>
      </c>
      <c r="H448" s="110" t="s">
        <v>276</v>
      </c>
      <c r="I448" s="112">
        <f t="shared" si="1"/>
        <v>0.9060185185</v>
      </c>
      <c r="J448" s="82">
        <f t="shared" si="2"/>
        <v>0.5246538742</v>
      </c>
    </row>
    <row r="449">
      <c r="A449" s="101">
        <v>44665.0</v>
      </c>
      <c r="B449" s="111">
        <v>2378.0</v>
      </c>
      <c r="C449" s="111">
        <v>2.0</v>
      </c>
      <c r="D449" s="110" t="s">
        <v>228</v>
      </c>
      <c r="E449" s="111">
        <v>0.0</v>
      </c>
      <c r="F449" s="111">
        <v>0.6205</v>
      </c>
      <c r="G449" s="111">
        <v>0.283</v>
      </c>
      <c r="H449" s="110" t="s">
        <v>276</v>
      </c>
      <c r="I449" s="112">
        <f t="shared" si="1"/>
        <v>1.192579505</v>
      </c>
      <c r="J449" s="82">
        <f t="shared" si="2"/>
        <v>0.4560838034</v>
      </c>
    </row>
    <row r="450">
      <c r="A450" s="101">
        <v>44665.0</v>
      </c>
      <c r="B450" s="111">
        <v>2378.0</v>
      </c>
      <c r="C450" s="111">
        <v>2.0</v>
      </c>
      <c r="D450" s="110" t="s">
        <v>227</v>
      </c>
      <c r="E450" s="111">
        <v>1.0</v>
      </c>
      <c r="F450" s="111">
        <v>0.2237</v>
      </c>
      <c r="G450" s="111">
        <v>0.0959</v>
      </c>
      <c r="H450" s="110" t="s">
        <v>276</v>
      </c>
      <c r="I450" s="112">
        <f t="shared" si="1"/>
        <v>1.332638165</v>
      </c>
      <c r="J450" s="82">
        <f t="shared" si="2"/>
        <v>0.4286991506</v>
      </c>
    </row>
    <row r="451">
      <c r="A451" s="101">
        <v>44665.0</v>
      </c>
      <c r="B451" s="111">
        <v>2379.0</v>
      </c>
      <c r="C451" s="111">
        <v>1.0</v>
      </c>
      <c r="D451" s="110" t="s">
        <v>227</v>
      </c>
      <c r="E451" s="111">
        <v>1.0</v>
      </c>
      <c r="F451" s="111">
        <v>0.5038</v>
      </c>
      <c r="G451" s="111">
        <v>0.2566</v>
      </c>
      <c r="H451" s="110" t="s">
        <v>276</v>
      </c>
      <c r="I451" s="112">
        <f t="shared" si="1"/>
        <v>0.9633671083</v>
      </c>
      <c r="J451" s="82">
        <f t="shared" si="2"/>
        <v>0.5093290988</v>
      </c>
    </row>
    <row r="452">
      <c r="A452" s="101">
        <v>44665.0</v>
      </c>
      <c r="B452" s="111">
        <v>2379.0</v>
      </c>
      <c r="C452" s="111">
        <v>1.0</v>
      </c>
      <c r="D452" s="110" t="s">
        <v>228</v>
      </c>
      <c r="E452" s="111">
        <v>0.0</v>
      </c>
      <c r="F452" s="111">
        <v>0.6672</v>
      </c>
      <c r="G452" s="111">
        <v>0.3196</v>
      </c>
      <c r="H452" s="110" t="s">
        <v>276</v>
      </c>
      <c r="I452" s="112">
        <f t="shared" si="1"/>
        <v>1.087609512</v>
      </c>
      <c r="J452" s="82">
        <f t="shared" si="2"/>
        <v>0.4790167866</v>
      </c>
    </row>
    <row r="453">
      <c r="A453" s="101">
        <v>44665.0</v>
      </c>
      <c r="B453" s="111">
        <v>2379.0</v>
      </c>
      <c r="C453" s="111">
        <v>1.0</v>
      </c>
      <c r="D453" s="110" t="s">
        <v>227</v>
      </c>
      <c r="E453" s="111">
        <v>0.0</v>
      </c>
      <c r="F453" s="111">
        <v>0.0079</v>
      </c>
      <c r="G453" s="111">
        <v>0.0037</v>
      </c>
      <c r="H453" s="110" t="s">
        <v>276</v>
      </c>
      <c r="I453" s="112">
        <f t="shared" si="1"/>
        <v>1.135135135</v>
      </c>
      <c r="J453" s="82">
        <f t="shared" si="2"/>
        <v>0.4683544304</v>
      </c>
    </row>
    <row r="454">
      <c r="A454" s="101">
        <v>44665.0</v>
      </c>
      <c r="B454" s="111">
        <v>2379.0</v>
      </c>
      <c r="C454" s="111">
        <v>2.0</v>
      </c>
      <c r="D454" s="110" t="s">
        <v>227</v>
      </c>
      <c r="E454" s="111">
        <v>1.0</v>
      </c>
      <c r="F454" s="111">
        <v>1.2313</v>
      </c>
      <c r="G454" s="111">
        <v>0.6363</v>
      </c>
      <c r="H454" s="110" t="s">
        <v>276</v>
      </c>
      <c r="I454" s="112">
        <f t="shared" si="1"/>
        <v>0.9350935094</v>
      </c>
      <c r="J454" s="82">
        <f t="shared" si="2"/>
        <v>0.5167708926</v>
      </c>
    </row>
    <row r="455">
      <c r="A455" s="101">
        <v>44665.0</v>
      </c>
      <c r="B455" s="111">
        <v>2379.0</v>
      </c>
      <c r="C455" s="111">
        <v>2.0</v>
      </c>
      <c r="D455" s="110" t="s">
        <v>228</v>
      </c>
      <c r="E455" s="111">
        <v>0.0</v>
      </c>
      <c r="F455" s="111">
        <v>0.9787</v>
      </c>
      <c r="G455" s="111">
        <v>0.4623</v>
      </c>
      <c r="H455" s="110" t="s">
        <v>276</v>
      </c>
      <c r="I455" s="112">
        <f t="shared" si="1"/>
        <v>1.117023578</v>
      </c>
      <c r="J455" s="82">
        <f t="shared" si="2"/>
        <v>0.4723612956</v>
      </c>
    </row>
    <row r="456">
      <c r="A456" s="101">
        <v>44665.0</v>
      </c>
      <c r="B456" s="111">
        <v>2379.0</v>
      </c>
      <c r="C456" s="111">
        <v>2.0</v>
      </c>
      <c r="D456" s="110" t="s">
        <v>227</v>
      </c>
      <c r="E456" s="111">
        <v>0.0</v>
      </c>
      <c r="F456" s="111">
        <v>0.0776</v>
      </c>
      <c r="G456" s="111">
        <v>0.0309</v>
      </c>
      <c r="H456" s="110" t="s">
        <v>276</v>
      </c>
      <c r="I456" s="112">
        <f t="shared" si="1"/>
        <v>1.511326861</v>
      </c>
      <c r="J456" s="82">
        <f t="shared" si="2"/>
        <v>0.3981958763</v>
      </c>
    </row>
    <row r="457">
      <c r="A457" s="101">
        <v>44665.0</v>
      </c>
      <c r="B457" s="111">
        <v>2379.0</v>
      </c>
      <c r="C457" s="111">
        <v>3.0</v>
      </c>
      <c r="D457" s="110" t="s">
        <v>227</v>
      </c>
      <c r="E457" s="111">
        <v>1.0</v>
      </c>
      <c r="F457" s="111">
        <v>0.2156</v>
      </c>
      <c r="G457" s="111">
        <v>0.1123</v>
      </c>
      <c r="H457" s="110" t="s">
        <v>276</v>
      </c>
      <c r="I457" s="112">
        <f t="shared" si="1"/>
        <v>0.9198575245</v>
      </c>
      <c r="J457" s="82">
        <f t="shared" si="2"/>
        <v>0.5208719852</v>
      </c>
    </row>
    <row r="458">
      <c r="A458" s="101">
        <v>44665.0</v>
      </c>
      <c r="B458" s="111">
        <v>2379.0</v>
      </c>
      <c r="C458" s="111">
        <v>3.0</v>
      </c>
      <c r="D458" s="110" t="s">
        <v>228</v>
      </c>
      <c r="E458" s="111">
        <v>0.0</v>
      </c>
      <c r="F458" s="111">
        <v>1.1223</v>
      </c>
      <c r="G458" s="111">
        <v>0.5362</v>
      </c>
      <c r="H458" s="110" t="s">
        <v>276</v>
      </c>
      <c r="I458" s="112">
        <f t="shared" si="1"/>
        <v>1.09306229</v>
      </c>
      <c r="J458" s="82">
        <f t="shared" si="2"/>
        <v>0.4777688675</v>
      </c>
    </row>
    <row r="459">
      <c r="A459" s="101">
        <v>44665.0</v>
      </c>
      <c r="B459" s="111">
        <v>2379.0</v>
      </c>
      <c r="C459" s="111">
        <v>3.0</v>
      </c>
      <c r="D459" s="110" t="s">
        <v>227</v>
      </c>
      <c r="E459" s="111">
        <v>0.0</v>
      </c>
      <c r="F459" s="111">
        <v>0.1633</v>
      </c>
      <c r="G459" s="111">
        <v>0.0721</v>
      </c>
      <c r="H459" s="110" t="s">
        <v>276</v>
      </c>
      <c r="I459" s="112">
        <f t="shared" si="1"/>
        <v>1.264909847</v>
      </c>
      <c r="J459" s="82">
        <f t="shared" si="2"/>
        <v>0.4415186773</v>
      </c>
    </row>
    <row r="460">
      <c r="A460" s="101">
        <v>44665.0</v>
      </c>
      <c r="B460" s="111">
        <v>2380.0</v>
      </c>
      <c r="C460" s="111">
        <v>1.0</v>
      </c>
      <c r="D460" s="110" t="s">
        <v>227</v>
      </c>
      <c r="E460" s="111">
        <v>1.0</v>
      </c>
      <c r="F460" s="111">
        <v>0.1899</v>
      </c>
      <c r="G460" s="111">
        <v>0.992</v>
      </c>
      <c r="H460" s="110" t="s">
        <v>276</v>
      </c>
      <c r="I460" s="112">
        <f t="shared" si="1"/>
        <v>-0.8085685484</v>
      </c>
      <c r="J460" s="82">
        <f t="shared" si="2"/>
        <v>5.223802001</v>
      </c>
    </row>
    <row r="461">
      <c r="A461" s="101">
        <v>44665.0</v>
      </c>
      <c r="B461" s="111">
        <v>2380.0</v>
      </c>
      <c r="C461" s="111">
        <v>1.0</v>
      </c>
      <c r="D461" s="110" t="s">
        <v>228</v>
      </c>
      <c r="E461" s="111">
        <v>1.0</v>
      </c>
      <c r="F461" s="111">
        <v>1.1483</v>
      </c>
      <c r="G461" s="111">
        <v>0.7144</v>
      </c>
      <c r="H461" s="110" t="s">
        <v>276</v>
      </c>
      <c r="I461" s="112">
        <f t="shared" si="1"/>
        <v>0.6073628219</v>
      </c>
      <c r="J461" s="82">
        <f t="shared" si="2"/>
        <v>0.6221370722</v>
      </c>
    </row>
    <row r="462">
      <c r="A462" s="101">
        <v>44665.0</v>
      </c>
      <c r="B462" s="111">
        <v>2380.0</v>
      </c>
      <c r="C462" s="111">
        <v>1.0</v>
      </c>
      <c r="D462" s="110" t="s">
        <v>228</v>
      </c>
      <c r="E462" s="111">
        <v>0.0</v>
      </c>
      <c r="F462" s="111">
        <v>0.307</v>
      </c>
      <c r="G462" s="111">
        <v>0.1532</v>
      </c>
      <c r="H462" s="110" t="s">
        <v>276</v>
      </c>
      <c r="I462" s="112">
        <f t="shared" si="1"/>
        <v>1.003916449</v>
      </c>
      <c r="J462" s="82">
        <f t="shared" si="2"/>
        <v>0.4990228013</v>
      </c>
    </row>
    <row r="463">
      <c r="A463" s="101">
        <v>44665.0</v>
      </c>
      <c r="B463" s="111">
        <v>2380.0</v>
      </c>
      <c r="C463" s="111">
        <v>1.0</v>
      </c>
      <c r="D463" s="110" t="s">
        <v>227</v>
      </c>
      <c r="E463" s="111">
        <v>0.0</v>
      </c>
      <c r="F463" s="111">
        <v>0.0565</v>
      </c>
      <c r="G463" s="111">
        <v>0.0183</v>
      </c>
      <c r="H463" s="110" t="s">
        <v>276</v>
      </c>
      <c r="I463" s="112">
        <f t="shared" si="1"/>
        <v>2.087431694</v>
      </c>
      <c r="J463" s="82">
        <f t="shared" si="2"/>
        <v>0.3238938053</v>
      </c>
    </row>
    <row r="464">
      <c r="A464" s="101">
        <v>44665.0</v>
      </c>
      <c r="B464" s="111">
        <v>2380.0</v>
      </c>
      <c r="C464" s="111">
        <v>2.0</v>
      </c>
      <c r="D464" s="110" t="s">
        <v>228</v>
      </c>
      <c r="E464" s="111">
        <v>1.0</v>
      </c>
      <c r="F464" s="111">
        <v>0.9541</v>
      </c>
      <c r="G464" s="111">
        <v>0.5747</v>
      </c>
      <c r="H464" s="110" t="s">
        <v>276</v>
      </c>
      <c r="I464" s="112">
        <f t="shared" si="1"/>
        <v>0.6601705238</v>
      </c>
      <c r="J464" s="82">
        <f t="shared" si="2"/>
        <v>0.6023477623</v>
      </c>
    </row>
    <row r="465">
      <c r="A465" s="101">
        <v>44665.0</v>
      </c>
      <c r="B465" s="111">
        <v>2380.0</v>
      </c>
      <c r="C465" s="111">
        <v>2.0</v>
      </c>
      <c r="D465" s="110" t="s">
        <v>227</v>
      </c>
      <c r="E465" s="111">
        <v>1.0</v>
      </c>
      <c r="F465" s="111">
        <v>0.1664</v>
      </c>
      <c r="G465" s="111">
        <v>0.0908</v>
      </c>
      <c r="H465" s="110" t="s">
        <v>276</v>
      </c>
      <c r="I465" s="112">
        <f t="shared" si="1"/>
        <v>0.8325991189</v>
      </c>
      <c r="J465" s="82">
        <f t="shared" si="2"/>
        <v>0.5456730769</v>
      </c>
    </row>
    <row r="466">
      <c r="A466" s="101">
        <v>44665.0</v>
      </c>
      <c r="B466" s="111">
        <v>2381.0</v>
      </c>
      <c r="C466" s="111">
        <v>1.0</v>
      </c>
      <c r="D466" s="110" t="s">
        <v>228</v>
      </c>
      <c r="E466" s="111">
        <v>1.0</v>
      </c>
      <c r="F466" s="111">
        <v>0.8082</v>
      </c>
      <c r="G466" s="111">
        <v>0.4023</v>
      </c>
      <c r="H466" s="110" t="s">
        <v>276</v>
      </c>
      <c r="I466" s="112">
        <f t="shared" si="1"/>
        <v>1.008948546</v>
      </c>
      <c r="J466" s="82">
        <f t="shared" si="2"/>
        <v>0.4977728285</v>
      </c>
    </row>
    <row r="467">
      <c r="A467" s="101">
        <v>44665.0</v>
      </c>
      <c r="B467" s="111">
        <v>2381.0</v>
      </c>
      <c r="C467" s="111">
        <v>1.0</v>
      </c>
      <c r="D467" s="110" t="s">
        <v>227</v>
      </c>
      <c r="E467" s="111">
        <v>1.0</v>
      </c>
      <c r="F467" s="111">
        <v>0.6439</v>
      </c>
      <c r="G467" s="111">
        <v>0.3046</v>
      </c>
      <c r="H467" s="110" t="s">
        <v>276</v>
      </c>
      <c r="I467" s="112">
        <f t="shared" si="1"/>
        <v>1.113919895</v>
      </c>
      <c r="J467" s="82">
        <f t="shared" si="2"/>
        <v>0.4730548222</v>
      </c>
    </row>
    <row r="468">
      <c r="A468" s="101">
        <v>44665.0</v>
      </c>
      <c r="B468" s="111">
        <v>2381.0</v>
      </c>
      <c r="C468" s="111">
        <v>1.0</v>
      </c>
      <c r="D468" s="110" t="s">
        <v>228</v>
      </c>
      <c r="E468" s="111">
        <v>0.0</v>
      </c>
      <c r="F468" s="111">
        <v>2.0931</v>
      </c>
      <c r="G468" s="111">
        <v>0.9718</v>
      </c>
      <c r="H468" s="110" t="s">
        <v>276</v>
      </c>
      <c r="I468" s="112">
        <f t="shared" si="1"/>
        <v>1.153838238</v>
      </c>
      <c r="J468" s="82">
        <f t="shared" si="2"/>
        <v>0.4642874206</v>
      </c>
    </row>
    <row r="469">
      <c r="A469" s="101">
        <v>44665.0</v>
      </c>
      <c r="B469" s="111">
        <v>2381.0</v>
      </c>
      <c r="C469" s="111">
        <v>1.0</v>
      </c>
      <c r="D469" s="110" t="s">
        <v>227</v>
      </c>
      <c r="E469" s="111">
        <v>0.0</v>
      </c>
      <c r="F469" s="111">
        <v>0.1252</v>
      </c>
      <c r="G469" s="111">
        <v>0.0508</v>
      </c>
      <c r="H469" s="110" t="s">
        <v>276</v>
      </c>
      <c r="I469" s="112">
        <f t="shared" si="1"/>
        <v>1.464566929</v>
      </c>
      <c r="J469" s="82">
        <f t="shared" si="2"/>
        <v>0.4057507987</v>
      </c>
    </row>
    <row r="470">
      <c r="A470" s="101">
        <v>44665.0</v>
      </c>
      <c r="B470" s="111">
        <v>2381.0</v>
      </c>
      <c r="C470" s="111">
        <v>2.0</v>
      </c>
      <c r="D470" s="110" t="s">
        <v>228</v>
      </c>
      <c r="E470" s="111">
        <v>1.0</v>
      </c>
      <c r="F470" s="111">
        <v>2.0297</v>
      </c>
      <c r="G470" s="111">
        <v>1.005</v>
      </c>
      <c r="H470" s="110" t="s">
        <v>276</v>
      </c>
      <c r="I470" s="112">
        <f t="shared" si="1"/>
        <v>1.01960199</v>
      </c>
      <c r="J470" s="82">
        <f t="shared" si="2"/>
        <v>0.4951470661</v>
      </c>
    </row>
    <row r="471">
      <c r="A471" s="101">
        <v>44665.0</v>
      </c>
      <c r="B471" s="111">
        <v>2381.0</v>
      </c>
      <c r="C471" s="111">
        <v>2.0</v>
      </c>
      <c r="D471" s="110" t="s">
        <v>228</v>
      </c>
      <c r="E471" s="111">
        <v>0.0</v>
      </c>
      <c r="F471" s="111">
        <v>1.4029</v>
      </c>
      <c r="G471" s="111">
        <v>0.6649</v>
      </c>
      <c r="H471" s="110" t="s">
        <v>276</v>
      </c>
      <c r="I471" s="112">
        <f t="shared" si="1"/>
        <v>1.109941345</v>
      </c>
      <c r="J471" s="82">
        <f t="shared" si="2"/>
        <v>0.4739468244</v>
      </c>
    </row>
    <row r="472">
      <c r="A472" s="101">
        <v>44665.0</v>
      </c>
      <c r="B472" s="111">
        <v>2381.0</v>
      </c>
      <c r="C472" s="111">
        <v>2.0</v>
      </c>
      <c r="D472" s="110" t="s">
        <v>227</v>
      </c>
      <c r="E472" s="111">
        <v>1.0</v>
      </c>
      <c r="F472" s="111">
        <v>0.3042</v>
      </c>
      <c r="G472" s="111">
        <v>0.1412</v>
      </c>
      <c r="H472" s="110" t="s">
        <v>276</v>
      </c>
      <c r="I472" s="112">
        <f t="shared" si="1"/>
        <v>1.154390935</v>
      </c>
      <c r="J472" s="82">
        <f t="shared" si="2"/>
        <v>0.4641683103</v>
      </c>
    </row>
    <row r="473">
      <c r="A473" s="101">
        <v>44665.0</v>
      </c>
      <c r="B473" s="111">
        <v>2381.0</v>
      </c>
      <c r="C473" s="111">
        <v>2.0</v>
      </c>
      <c r="D473" s="110" t="s">
        <v>227</v>
      </c>
      <c r="E473" s="111">
        <v>0.0</v>
      </c>
      <c r="F473" s="111">
        <v>0.1745</v>
      </c>
      <c r="G473" s="111">
        <v>0.0706</v>
      </c>
      <c r="H473" s="110" t="s">
        <v>276</v>
      </c>
      <c r="I473" s="112">
        <f t="shared" si="1"/>
        <v>1.471671388</v>
      </c>
      <c r="J473" s="82">
        <f t="shared" si="2"/>
        <v>0.4045845272</v>
      </c>
    </row>
    <row r="474">
      <c r="A474" s="101">
        <v>44665.0</v>
      </c>
      <c r="B474" s="111">
        <v>2381.0</v>
      </c>
      <c r="C474" s="111">
        <v>2.0</v>
      </c>
      <c r="D474" s="110" t="s">
        <v>227</v>
      </c>
      <c r="E474" s="111">
        <v>0.0</v>
      </c>
      <c r="F474" s="111">
        <v>0.1122</v>
      </c>
      <c r="G474" s="111">
        <v>0.0443</v>
      </c>
      <c r="H474" s="110" t="s">
        <v>276</v>
      </c>
      <c r="I474" s="112">
        <f t="shared" si="1"/>
        <v>1.532731377</v>
      </c>
      <c r="J474" s="82">
        <f t="shared" si="2"/>
        <v>0.3948306595</v>
      </c>
    </row>
    <row r="475">
      <c r="A475" s="101">
        <v>44665.0</v>
      </c>
      <c r="B475" s="111">
        <v>2381.0</v>
      </c>
      <c r="C475" s="111">
        <v>3.0</v>
      </c>
      <c r="D475" s="110" t="s">
        <v>228</v>
      </c>
      <c r="E475" s="111">
        <v>1.0</v>
      </c>
      <c r="F475" s="111">
        <v>2.3696</v>
      </c>
      <c r="G475" s="111">
        <v>1.1948</v>
      </c>
      <c r="H475" s="110" t="s">
        <v>276</v>
      </c>
      <c r="I475" s="112">
        <f t="shared" si="1"/>
        <v>0.9832607968</v>
      </c>
      <c r="J475" s="82">
        <f t="shared" si="2"/>
        <v>0.5042201215</v>
      </c>
    </row>
    <row r="476">
      <c r="A476" s="101">
        <v>44665.0</v>
      </c>
      <c r="B476" s="111">
        <v>2381.0</v>
      </c>
      <c r="C476" s="111">
        <v>3.0</v>
      </c>
      <c r="D476" s="110" t="s">
        <v>227</v>
      </c>
      <c r="E476" s="111">
        <v>0.0</v>
      </c>
      <c r="F476" s="111">
        <v>0.358</v>
      </c>
      <c r="G476" s="111">
        <v>0.1649</v>
      </c>
      <c r="H476" s="110" t="s">
        <v>276</v>
      </c>
      <c r="I476" s="112">
        <f t="shared" si="1"/>
        <v>1.171012735</v>
      </c>
      <c r="J476" s="82">
        <f t="shared" si="2"/>
        <v>0.4606145251</v>
      </c>
    </row>
    <row r="477">
      <c r="A477" s="101">
        <v>44665.0</v>
      </c>
      <c r="B477" s="111">
        <v>2381.0</v>
      </c>
      <c r="C477" s="111">
        <v>3.0</v>
      </c>
      <c r="D477" s="110" t="s">
        <v>228</v>
      </c>
      <c r="E477" s="111">
        <v>0.0</v>
      </c>
      <c r="F477" s="111">
        <v>1.8003</v>
      </c>
      <c r="G477" s="111">
        <v>0.8122</v>
      </c>
      <c r="H477" s="110" t="s">
        <v>276</v>
      </c>
      <c r="I477" s="112">
        <f t="shared" si="1"/>
        <v>1.216572273</v>
      </c>
      <c r="J477" s="82">
        <f t="shared" si="2"/>
        <v>0.4511470311</v>
      </c>
    </row>
    <row r="478">
      <c r="A478" s="101">
        <v>44665.0</v>
      </c>
      <c r="B478" s="111">
        <v>2381.0</v>
      </c>
      <c r="C478" s="111">
        <v>3.0</v>
      </c>
      <c r="D478" s="110" t="s">
        <v>227</v>
      </c>
      <c r="E478" s="111">
        <v>0.0</v>
      </c>
      <c r="F478" s="111">
        <v>0.1168</v>
      </c>
      <c r="G478" s="111">
        <v>0.0526</v>
      </c>
      <c r="H478" s="110" t="s">
        <v>276</v>
      </c>
      <c r="I478" s="112">
        <f t="shared" si="1"/>
        <v>1.220532319</v>
      </c>
      <c r="J478" s="82">
        <f t="shared" si="2"/>
        <v>0.4503424658</v>
      </c>
    </row>
    <row r="479">
      <c r="A479" s="101">
        <v>44665.0</v>
      </c>
      <c r="B479" s="111">
        <v>2381.0</v>
      </c>
      <c r="C479" s="111">
        <v>3.0</v>
      </c>
      <c r="D479" s="110" t="s">
        <v>227</v>
      </c>
      <c r="E479" s="111">
        <v>1.0</v>
      </c>
      <c r="F479" s="111">
        <v>0.2095</v>
      </c>
      <c r="G479" s="111">
        <v>0.0918</v>
      </c>
      <c r="H479" s="110" t="s">
        <v>276</v>
      </c>
      <c r="I479" s="112">
        <f t="shared" si="1"/>
        <v>1.282135076</v>
      </c>
      <c r="J479" s="82">
        <f t="shared" si="2"/>
        <v>0.4381861575</v>
      </c>
    </row>
    <row r="480">
      <c r="A480" s="101">
        <v>44665.0</v>
      </c>
      <c r="B480" s="111">
        <v>2381.0</v>
      </c>
      <c r="C480" s="111">
        <v>3.0</v>
      </c>
      <c r="D480" s="110" t="s">
        <v>227</v>
      </c>
      <c r="E480" s="111">
        <v>1.0</v>
      </c>
      <c r="F480" s="111">
        <v>0.2117</v>
      </c>
      <c r="G480" s="111">
        <v>0.0885</v>
      </c>
      <c r="H480" s="110" t="s">
        <v>276</v>
      </c>
      <c r="I480" s="112">
        <f t="shared" si="1"/>
        <v>1.392090395</v>
      </c>
      <c r="J480" s="82">
        <f t="shared" si="2"/>
        <v>0.4180444025</v>
      </c>
    </row>
    <row r="481">
      <c r="A481" s="101">
        <v>44665.0</v>
      </c>
      <c r="B481" s="111">
        <v>2382.0</v>
      </c>
      <c r="C481" s="111">
        <v>1.0</v>
      </c>
      <c r="D481" s="110" t="s">
        <v>227</v>
      </c>
      <c r="E481" s="111">
        <v>0.0</v>
      </c>
      <c r="F481" s="111">
        <v>0.0442</v>
      </c>
      <c r="G481" s="111">
        <v>0.0182</v>
      </c>
      <c r="H481" s="110" t="s">
        <v>276</v>
      </c>
      <c r="I481" s="112">
        <f t="shared" si="1"/>
        <v>1.428571429</v>
      </c>
      <c r="J481" s="82">
        <f t="shared" si="2"/>
        <v>0.4117647059</v>
      </c>
    </row>
    <row r="482">
      <c r="A482" s="101">
        <v>44665.0</v>
      </c>
      <c r="B482" s="111">
        <v>2382.0</v>
      </c>
      <c r="C482" s="111">
        <v>2.0</v>
      </c>
      <c r="D482" s="110" t="s">
        <v>227</v>
      </c>
      <c r="E482" s="111">
        <v>1.0</v>
      </c>
      <c r="F482" s="111">
        <v>0.1527</v>
      </c>
      <c r="G482" s="111">
        <v>0.0697</v>
      </c>
      <c r="H482" s="110" t="s">
        <v>276</v>
      </c>
      <c r="I482" s="112">
        <f t="shared" si="1"/>
        <v>1.190817791</v>
      </c>
      <c r="J482" s="82">
        <f t="shared" si="2"/>
        <v>0.4564505566</v>
      </c>
    </row>
    <row r="483">
      <c r="A483" s="115">
        <v>44665.0</v>
      </c>
      <c r="B483" s="111">
        <v>2383.0</v>
      </c>
      <c r="C483" s="111">
        <v>1.0</v>
      </c>
      <c r="D483" s="110" t="s">
        <v>228</v>
      </c>
      <c r="E483" s="111">
        <v>0.0</v>
      </c>
      <c r="F483" s="111">
        <v>0.982</v>
      </c>
      <c r="G483" s="111">
        <v>0.491</v>
      </c>
      <c r="H483" s="110" t="s">
        <v>282</v>
      </c>
      <c r="I483" s="112">
        <f t="shared" si="1"/>
        <v>1</v>
      </c>
      <c r="J483" s="82">
        <f t="shared" si="2"/>
        <v>0.5</v>
      </c>
      <c r="K483" s="66">
        <v>1.0</v>
      </c>
    </row>
    <row r="484">
      <c r="A484" s="101">
        <v>44665.0</v>
      </c>
      <c r="B484" s="111">
        <v>2383.0</v>
      </c>
      <c r="C484" s="111">
        <v>1.0</v>
      </c>
      <c r="D484" s="110" t="s">
        <v>227</v>
      </c>
      <c r="E484" s="111">
        <v>1.0</v>
      </c>
      <c r="F484" s="111">
        <v>0.291</v>
      </c>
      <c r="G484" s="111">
        <v>0.1483</v>
      </c>
      <c r="H484" s="110" t="s">
        <v>276</v>
      </c>
      <c r="I484" s="112">
        <f t="shared" si="1"/>
        <v>0.9622387053</v>
      </c>
      <c r="J484" s="82">
        <f t="shared" si="2"/>
        <v>0.5096219931</v>
      </c>
    </row>
    <row r="485">
      <c r="A485" s="101">
        <v>44665.0</v>
      </c>
      <c r="B485" s="111">
        <v>2383.0</v>
      </c>
      <c r="C485" s="111">
        <v>1.0</v>
      </c>
      <c r="D485" s="110" t="s">
        <v>227</v>
      </c>
      <c r="E485" s="111">
        <v>0.0</v>
      </c>
      <c r="F485" s="111">
        <v>0.093</v>
      </c>
      <c r="G485" s="111">
        <v>0.0408</v>
      </c>
      <c r="H485" s="110" t="s">
        <v>276</v>
      </c>
      <c r="I485" s="112">
        <f t="shared" si="1"/>
        <v>1.279411765</v>
      </c>
      <c r="J485" s="82">
        <f t="shared" si="2"/>
        <v>0.4387096774</v>
      </c>
    </row>
    <row r="486">
      <c r="A486" s="101">
        <v>44665.0</v>
      </c>
      <c r="B486" s="111">
        <v>2383.0</v>
      </c>
      <c r="C486" s="111">
        <v>2.0</v>
      </c>
      <c r="D486" s="110" t="s">
        <v>227</v>
      </c>
      <c r="E486" s="111">
        <v>0.0</v>
      </c>
      <c r="F486" s="111">
        <v>0.1652</v>
      </c>
      <c r="G486" s="111">
        <v>0.0851</v>
      </c>
      <c r="H486" s="110" t="s">
        <v>276</v>
      </c>
      <c r="I486" s="112">
        <f t="shared" si="1"/>
        <v>0.9412455934</v>
      </c>
      <c r="J486" s="82">
        <f t="shared" si="2"/>
        <v>0.5151331719</v>
      </c>
    </row>
    <row r="487">
      <c r="A487" s="101">
        <v>44665.0</v>
      </c>
      <c r="B487" s="111">
        <v>2383.0</v>
      </c>
      <c r="C487" s="111">
        <v>2.0</v>
      </c>
      <c r="D487" s="110" t="s">
        <v>228</v>
      </c>
      <c r="E487" s="111">
        <v>0.0</v>
      </c>
      <c r="F487" s="111">
        <v>0.6657</v>
      </c>
      <c r="G487" s="111">
        <v>0.3377</v>
      </c>
      <c r="H487" s="110" t="s">
        <v>276</v>
      </c>
      <c r="I487" s="112">
        <f t="shared" si="1"/>
        <v>0.9712762807</v>
      </c>
      <c r="J487" s="82">
        <f t="shared" si="2"/>
        <v>0.5072855641</v>
      </c>
    </row>
    <row r="488">
      <c r="A488" s="101">
        <v>44665.0</v>
      </c>
      <c r="B488" s="111">
        <v>2383.0</v>
      </c>
      <c r="C488" s="111">
        <v>2.0</v>
      </c>
      <c r="D488" s="110" t="s">
        <v>227</v>
      </c>
      <c r="E488" s="111">
        <v>1.0</v>
      </c>
      <c r="F488" s="111">
        <v>0.0745</v>
      </c>
      <c r="G488" s="111">
        <v>0.0367</v>
      </c>
      <c r="H488" s="110" t="s">
        <v>276</v>
      </c>
      <c r="I488" s="112">
        <f t="shared" si="1"/>
        <v>1.029972752</v>
      </c>
      <c r="J488" s="82">
        <f t="shared" si="2"/>
        <v>0.4926174497</v>
      </c>
    </row>
    <row r="489">
      <c r="A489" s="101">
        <v>44665.0</v>
      </c>
      <c r="B489" s="111">
        <v>2383.0</v>
      </c>
      <c r="C489" s="111">
        <v>3.0</v>
      </c>
      <c r="D489" s="110" t="s">
        <v>227</v>
      </c>
      <c r="E489" s="111">
        <v>1.0</v>
      </c>
      <c r="F489" s="111">
        <v>0.3076</v>
      </c>
      <c r="G489" s="111">
        <v>0.1544</v>
      </c>
      <c r="H489" s="110" t="s">
        <v>276</v>
      </c>
      <c r="I489" s="112">
        <f t="shared" si="1"/>
        <v>0.9922279793</v>
      </c>
      <c r="J489" s="82">
        <f t="shared" si="2"/>
        <v>0.5019505852</v>
      </c>
    </row>
    <row r="490">
      <c r="A490" s="101">
        <v>44665.0</v>
      </c>
      <c r="B490" s="111">
        <v>2383.0</v>
      </c>
      <c r="C490" s="111">
        <v>3.0</v>
      </c>
      <c r="D490" s="110" t="s">
        <v>228</v>
      </c>
      <c r="E490" s="110" t="s">
        <v>58</v>
      </c>
      <c r="F490" s="111">
        <v>1.624</v>
      </c>
      <c r="G490" s="111">
        <v>0.7983</v>
      </c>
      <c r="H490" s="110" t="s">
        <v>276</v>
      </c>
      <c r="I490" s="112">
        <f t="shared" si="1"/>
        <v>1.034322936</v>
      </c>
      <c r="J490" s="82">
        <f t="shared" si="2"/>
        <v>0.4915640394</v>
      </c>
    </row>
    <row r="491">
      <c r="A491" s="101">
        <v>44665.0</v>
      </c>
      <c r="B491" s="111">
        <v>2383.0</v>
      </c>
      <c r="C491" s="111">
        <v>3.0</v>
      </c>
      <c r="D491" s="110" t="s">
        <v>227</v>
      </c>
      <c r="E491" s="111">
        <v>0.0</v>
      </c>
      <c r="F491" s="111">
        <v>0.2194</v>
      </c>
      <c r="G491" s="111">
        <v>0.0535</v>
      </c>
      <c r="H491" s="110" t="s">
        <v>276</v>
      </c>
      <c r="I491" s="112">
        <f t="shared" si="1"/>
        <v>3.100934579</v>
      </c>
      <c r="J491" s="82">
        <f t="shared" si="2"/>
        <v>0.2438468551</v>
      </c>
    </row>
    <row r="492">
      <c r="A492" s="101">
        <v>44665.0</v>
      </c>
      <c r="B492" s="111">
        <v>2384.0</v>
      </c>
      <c r="C492" s="111">
        <v>1.0</v>
      </c>
      <c r="D492" s="110" t="s">
        <v>227</v>
      </c>
      <c r="E492" s="111">
        <v>1.0</v>
      </c>
      <c r="F492" s="111">
        <v>0.4188</v>
      </c>
      <c r="G492" s="111">
        <v>0.2257</v>
      </c>
      <c r="H492" s="110" t="s">
        <v>276</v>
      </c>
      <c r="I492" s="112">
        <f t="shared" si="1"/>
        <v>0.8555604785</v>
      </c>
      <c r="J492" s="82">
        <f t="shared" si="2"/>
        <v>0.5389207259</v>
      </c>
    </row>
    <row r="493">
      <c r="A493" s="101">
        <v>44665.0</v>
      </c>
      <c r="B493" s="111">
        <v>2384.0</v>
      </c>
      <c r="C493" s="111">
        <v>1.0</v>
      </c>
      <c r="D493" s="110" t="s">
        <v>228</v>
      </c>
      <c r="E493" s="111">
        <v>0.0</v>
      </c>
      <c r="F493" s="111">
        <v>1.9089</v>
      </c>
      <c r="G493" s="111">
        <v>0.9373</v>
      </c>
      <c r="H493" s="110" t="s">
        <v>276</v>
      </c>
      <c r="I493" s="112">
        <f t="shared" si="1"/>
        <v>1.036594473</v>
      </c>
      <c r="J493" s="82">
        <f t="shared" si="2"/>
        <v>0.4910157682</v>
      </c>
    </row>
    <row r="494">
      <c r="A494" s="101">
        <v>44665.0</v>
      </c>
      <c r="B494" s="111">
        <v>2384.0</v>
      </c>
      <c r="C494" s="111">
        <v>1.0</v>
      </c>
      <c r="D494" s="110" t="s">
        <v>227</v>
      </c>
      <c r="E494" s="111">
        <v>0.0</v>
      </c>
      <c r="F494" s="111">
        <v>0.1577</v>
      </c>
      <c r="G494" s="111">
        <v>0.0688</v>
      </c>
      <c r="H494" s="110" t="s">
        <v>276</v>
      </c>
      <c r="I494" s="112">
        <f t="shared" si="1"/>
        <v>1.292151163</v>
      </c>
      <c r="J494" s="82">
        <f t="shared" si="2"/>
        <v>0.4362714014</v>
      </c>
    </row>
    <row r="495">
      <c r="A495" s="101">
        <v>44665.0</v>
      </c>
      <c r="B495" s="111">
        <v>2384.0</v>
      </c>
      <c r="C495" s="111">
        <v>2.0</v>
      </c>
      <c r="D495" s="110" t="s">
        <v>227</v>
      </c>
      <c r="E495" s="111">
        <v>1.0</v>
      </c>
      <c r="F495" s="111">
        <v>0.4017</v>
      </c>
      <c r="G495" s="111">
        <v>0.2021</v>
      </c>
      <c r="H495" s="110" t="s">
        <v>276</v>
      </c>
      <c r="I495" s="112">
        <f t="shared" si="1"/>
        <v>0.9876298862</v>
      </c>
      <c r="J495" s="82">
        <f t="shared" si="2"/>
        <v>0.503111775</v>
      </c>
    </row>
    <row r="496">
      <c r="A496" s="101">
        <v>44665.0</v>
      </c>
      <c r="B496" s="111">
        <v>2384.0</v>
      </c>
      <c r="C496" s="111">
        <v>2.0</v>
      </c>
      <c r="D496" s="110" t="s">
        <v>228</v>
      </c>
      <c r="E496" s="111">
        <v>0.0</v>
      </c>
      <c r="F496" s="111">
        <v>1.3069</v>
      </c>
      <c r="G496" s="111">
        <v>0.6255</v>
      </c>
      <c r="H496" s="110" t="s">
        <v>276</v>
      </c>
      <c r="I496" s="112">
        <f t="shared" si="1"/>
        <v>1.089368505</v>
      </c>
      <c r="J496" s="82">
        <f t="shared" si="2"/>
        <v>0.4786135129</v>
      </c>
    </row>
    <row r="497">
      <c r="A497" s="101">
        <v>44665.0</v>
      </c>
      <c r="B497" s="111">
        <v>2384.0</v>
      </c>
      <c r="C497" s="111">
        <v>2.0</v>
      </c>
      <c r="D497" s="110" t="s">
        <v>227</v>
      </c>
      <c r="E497" s="111">
        <v>0.0</v>
      </c>
      <c r="F497" s="111">
        <v>0.1334</v>
      </c>
      <c r="G497" s="111">
        <v>0.0536</v>
      </c>
      <c r="H497" s="110" t="s">
        <v>276</v>
      </c>
      <c r="I497" s="112">
        <f t="shared" si="1"/>
        <v>1.48880597</v>
      </c>
      <c r="J497" s="82">
        <f t="shared" si="2"/>
        <v>0.4017991004</v>
      </c>
    </row>
    <row r="498">
      <c r="A498" s="101">
        <v>44665.0</v>
      </c>
      <c r="B498" s="111">
        <v>2384.0</v>
      </c>
      <c r="C498" s="111">
        <v>3.0</v>
      </c>
      <c r="D498" s="110" t="s">
        <v>227</v>
      </c>
      <c r="E498" s="111">
        <v>1.0</v>
      </c>
      <c r="F498" s="111">
        <v>0.1061</v>
      </c>
      <c r="G498" s="111">
        <v>0.0577</v>
      </c>
      <c r="H498" s="110" t="s">
        <v>276</v>
      </c>
      <c r="I498" s="112">
        <f t="shared" si="1"/>
        <v>0.8388214905</v>
      </c>
      <c r="J498" s="82">
        <f t="shared" si="2"/>
        <v>0.5438265787</v>
      </c>
    </row>
    <row r="499">
      <c r="A499" s="101">
        <v>44665.0</v>
      </c>
      <c r="B499" s="111">
        <v>2384.0</v>
      </c>
      <c r="C499" s="111">
        <v>3.0</v>
      </c>
      <c r="D499" s="110" t="s">
        <v>228</v>
      </c>
      <c r="E499" s="111">
        <v>0.0</v>
      </c>
      <c r="F499" s="111">
        <v>1.651</v>
      </c>
      <c r="G499" s="111">
        <v>0.8004</v>
      </c>
      <c r="H499" s="110" t="s">
        <v>276</v>
      </c>
      <c r="I499" s="112">
        <f t="shared" si="1"/>
        <v>1.062718641</v>
      </c>
      <c r="J499" s="82">
        <f t="shared" si="2"/>
        <v>0.4847970927</v>
      </c>
    </row>
    <row r="500">
      <c r="A500" s="101">
        <v>44665.0</v>
      </c>
      <c r="B500" s="111">
        <v>2384.0</v>
      </c>
      <c r="C500" s="111">
        <v>3.0</v>
      </c>
      <c r="D500" s="110" t="s">
        <v>227</v>
      </c>
      <c r="E500" s="111">
        <v>0.0</v>
      </c>
      <c r="F500" s="111">
        <v>0.1618</v>
      </c>
      <c r="G500" s="111">
        <v>0.0706</v>
      </c>
      <c r="H500" s="110" t="s">
        <v>276</v>
      </c>
      <c r="I500" s="112">
        <f t="shared" si="1"/>
        <v>1.291784703</v>
      </c>
      <c r="J500" s="82">
        <f t="shared" si="2"/>
        <v>0.4363411619</v>
      </c>
    </row>
    <row r="501">
      <c r="A501" s="101">
        <v>44684.0</v>
      </c>
      <c r="B501" s="111">
        <v>2009.0</v>
      </c>
      <c r="C501" s="111">
        <v>1.0</v>
      </c>
      <c r="D501" s="110" t="s">
        <v>227</v>
      </c>
      <c r="E501" s="111">
        <v>1.0</v>
      </c>
      <c r="F501" s="111">
        <v>0.309</v>
      </c>
      <c r="G501" s="111">
        <v>0.1654</v>
      </c>
      <c r="H501" s="110" t="s">
        <v>280</v>
      </c>
      <c r="I501" s="112">
        <f t="shared" si="1"/>
        <v>0.8681983071</v>
      </c>
      <c r="J501" s="82">
        <f t="shared" si="2"/>
        <v>0.5352750809</v>
      </c>
    </row>
    <row r="502">
      <c r="A502" s="101">
        <v>44684.0</v>
      </c>
      <c r="B502" s="111">
        <v>2009.0</v>
      </c>
      <c r="C502" s="111">
        <v>1.0</v>
      </c>
      <c r="D502" s="110" t="s">
        <v>228</v>
      </c>
      <c r="E502" s="111">
        <v>0.0</v>
      </c>
      <c r="F502" s="111">
        <v>1.1472</v>
      </c>
      <c r="G502" s="111">
        <v>0.597</v>
      </c>
      <c r="H502" s="110" t="s">
        <v>280</v>
      </c>
      <c r="I502" s="112">
        <f t="shared" si="1"/>
        <v>0.9216080402</v>
      </c>
      <c r="J502" s="82">
        <f t="shared" si="2"/>
        <v>0.5203974895</v>
      </c>
    </row>
    <row r="503">
      <c r="A503" s="101">
        <v>44684.0</v>
      </c>
      <c r="B503" s="111">
        <v>2009.0</v>
      </c>
      <c r="C503" s="111">
        <v>1.0</v>
      </c>
      <c r="D503" s="110" t="s">
        <v>227</v>
      </c>
      <c r="E503" s="111">
        <v>0.0</v>
      </c>
      <c r="F503" s="111">
        <v>0.1373</v>
      </c>
      <c r="G503" s="111">
        <v>0.0653</v>
      </c>
      <c r="H503" s="110" t="s">
        <v>280</v>
      </c>
      <c r="I503" s="112">
        <f t="shared" si="1"/>
        <v>1.102603369</v>
      </c>
      <c r="J503" s="82">
        <f t="shared" si="2"/>
        <v>0.475600874</v>
      </c>
    </row>
    <row r="504">
      <c r="A504" s="101">
        <v>44684.0</v>
      </c>
      <c r="B504" s="111">
        <v>2009.0</v>
      </c>
      <c r="C504" s="111">
        <v>2.0</v>
      </c>
      <c r="D504" s="110" t="s">
        <v>227</v>
      </c>
      <c r="E504" s="111">
        <v>1.0</v>
      </c>
      <c r="F504" s="111">
        <v>0.6048</v>
      </c>
      <c r="G504" s="111">
        <v>0.3237</v>
      </c>
      <c r="H504" s="110" t="s">
        <v>280</v>
      </c>
      <c r="I504" s="112">
        <f t="shared" si="1"/>
        <v>0.8683966636</v>
      </c>
      <c r="J504" s="82">
        <f t="shared" si="2"/>
        <v>0.535218254</v>
      </c>
    </row>
    <row r="505">
      <c r="A505" s="101">
        <v>44684.0</v>
      </c>
      <c r="B505" s="111">
        <v>2009.0</v>
      </c>
      <c r="C505" s="111">
        <v>2.0</v>
      </c>
      <c r="D505" s="110" t="s">
        <v>228</v>
      </c>
      <c r="E505" s="111">
        <v>0.0</v>
      </c>
      <c r="F505" s="111">
        <v>0.975</v>
      </c>
      <c r="G505" s="111">
        <v>0.5202</v>
      </c>
      <c r="H505" s="110" t="s">
        <v>280</v>
      </c>
      <c r="I505" s="112">
        <f t="shared" si="1"/>
        <v>0.8742791234</v>
      </c>
      <c r="J505" s="82">
        <f t="shared" si="2"/>
        <v>0.5335384615</v>
      </c>
    </row>
    <row r="506">
      <c r="A506" s="101">
        <v>44684.0</v>
      </c>
      <c r="B506" s="111">
        <v>2009.0</v>
      </c>
      <c r="C506" s="111">
        <v>2.0</v>
      </c>
      <c r="D506" s="110" t="s">
        <v>227</v>
      </c>
      <c r="E506" s="111">
        <v>0.0</v>
      </c>
      <c r="F506" s="111">
        <v>0.2143</v>
      </c>
      <c r="G506" s="111">
        <v>0.0993</v>
      </c>
      <c r="H506" s="110" t="s">
        <v>280</v>
      </c>
      <c r="I506" s="112">
        <f t="shared" si="1"/>
        <v>1.158106747</v>
      </c>
      <c r="J506" s="82">
        <f t="shared" si="2"/>
        <v>0.4633691087</v>
      </c>
    </row>
    <row r="507">
      <c r="A507" s="101">
        <v>44684.0</v>
      </c>
      <c r="B507" s="111">
        <v>2009.0</v>
      </c>
      <c r="C507" s="111">
        <v>3.0</v>
      </c>
      <c r="D507" s="110" t="s">
        <v>227</v>
      </c>
      <c r="E507" s="111">
        <v>1.0</v>
      </c>
      <c r="F507" s="111">
        <v>0.3108</v>
      </c>
      <c r="G507" s="111">
        <v>0.1727</v>
      </c>
      <c r="H507" s="110" t="s">
        <v>280</v>
      </c>
      <c r="I507" s="112">
        <f t="shared" si="1"/>
        <v>0.7996525767</v>
      </c>
      <c r="J507" s="82">
        <f t="shared" si="2"/>
        <v>0.5556628057</v>
      </c>
    </row>
    <row r="508">
      <c r="A508" s="101">
        <v>44684.0</v>
      </c>
      <c r="B508" s="111">
        <v>2009.0</v>
      </c>
      <c r="C508" s="111">
        <v>3.0</v>
      </c>
      <c r="D508" s="110" t="s">
        <v>228</v>
      </c>
      <c r="E508" s="111">
        <v>0.0</v>
      </c>
      <c r="F508" s="111">
        <v>1.6147</v>
      </c>
      <c r="G508" s="111">
        <v>0.8674</v>
      </c>
      <c r="H508" s="110" t="s">
        <v>280</v>
      </c>
      <c r="I508" s="112">
        <f t="shared" si="1"/>
        <v>0.8615402352</v>
      </c>
      <c r="J508" s="82">
        <f t="shared" si="2"/>
        <v>0.5371895708</v>
      </c>
    </row>
    <row r="509">
      <c r="A509" s="101">
        <v>44684.0</v>
      </c>
      <c r="B509" s="111">
        <v>2009.0</v>
      </c>
      <c r="C509" s="111">
        <v>3.0</v>
      </c>
      <c r="D509" s="110" t="s">
        <v>227</v>
      </c>
      <c r="E509" s="111">
        <v>0.0</v>
      </c>
      <c r="F509" s="111">
        <v>0.2221</v>
      </c>
      <c r="G509" s="111">
        <v>0.113</v>
      </c>
      <c r="H509" s="110" t="s">
        <v>280</v>
      </c>
      <c r="I509" s="112">
        <f t="shared" si="1"/>
        <v>0.9654867257</v>
      </c>
      <c r="J509" s="82">
        <f t="shared" si="2"/>
        <v>0.5087798289</v>
      </c>
    </row>
    <row r="510">
      <c r="A510" s="101">
        <v>44684.0</v>
      </c>
      <c r="B510" s="111">
        <v>2010.0</v>
      </c>
      <c r="C510" s="111">
        <v>1.0</v>
      </c>
      <c r="D510" s="110" t="s">
        <v>228</v>
      </c>
      <c r="E510" s="111">
        <v>0.0</v>
      </c>
      <c r="F510" s="111">
        <v>1.7985</v>
      </c>
      <c r="G510" s="111">
        <v>0.9225</v>
      </c>
      <c r="H510" s="110" t="s">
        <v>280</v>
      </c>
      <c r="I510" s="112">
        <f t="shared" si="1"/>
        <v>0.9495934959</v>
      </c>
      <c r="J510" s="82">
        <f t="shared" si="2"/>
        <v>0.5129274395</v>
      </c>
    </row>
    <row r="511">
      <c r="A511" s="101">
        <v>44684.0</v>
      </c>
      <c r="B511" s="111">
        <v>2010.0</v>
      </c>
      <c r="C511" s="111">
        <v>1.0</v>
      </c>
      <c r="D511" s="110" t="s">
        <v>227</v>
      </c>
      <c r="E511" s="111">
        <v>0.0</v>
      </c>
      <c r="F511" s="111">
        <v>0.2798</v>
      </c>
      <c r="G511" s="111">
        <v>0.1316</v>
      </c>
      <c r="H511" s="110" t="s">
        <v>280</v>
      </c>
      <c r="I511" s="112">
        <f t="shared" si="1"/>
        <v>1.126139818</v>
      </c>
      <c r="J511" s="82">
        <f t="shared" si="2"/>
        <v>0.4703359543</v>
      </c>
    </row>
    <row r="512">
      <c r="A512" s="101">
        <v>44684.0</v>
      </c>
      <c r="B512" s="111">
        <v>2010.0</v>
      </c>
      <c r="C512" s="111">
        <v>2.0</v>
      </c>
      <c r="D512" s="110" t="s">
        <v>227</v>
      </c>
      <c r="E512" s="111">
        <v>1.0</v>
      </c>
      <c r="F512" s="111">
        <v>0.1819</v>
      </c>
      <c r="G512" s="111">
        <v>0.0955</v>
      </c>
      <c r="H512" s="110" t="s">
        <v>280</v>
      </c>
      <c r="I512" s="112">
        <f t="shared" si="1"/>
        <v>0.9047120419</v>
      </c>
      <c r="J512" s="82">
        <f t="shared" si="2"/>
        <v>0.5250137438</v>
      </c>
    </row>
    <row r="513">
      <c r="A513" s="101">
        <v>44684.0</v>
      </c>
      <c r="B513" s="111">
        <v>2010.0</v>
      </c>
      <c r="C513" s="111">
        <v>2.0</v>
      </c>
      <c r="D513" s="110" t="s">
        <v>228</v>
      </c>
      <c r="E513" s="111">
        <v>0.0</v>
      </c>
      <c r="F513" s="111">
        <v>0.9331</v>
      </c>
      <c r="G513" s="111">
        <v>0.4825</v>
      </c>
      <c r="H513" s="110" t="s">
        <v>280</v>
      </c>
      <c r="I513" s="112">
        <f t="shared" si="1"/>
        <v>0.9338860104</v>
      </c>
      <c r="J513" s="82">
        <f t="shared" si="2"/>
        <v>0.5170935591</v>
      </c>
    </row>
    <row r="514">
      <c r="A514" s="101">
        <v>44684.0</v>
      </c>
      <c r="B514" s="111">
        <v>2010.0</v>
      </c>
      <c r="C514" s="111">
        <v>2.0</v>
      </c>
      <c r="D514" s="110" t="s">
        <v>227</v>
      </c>
      <c r="E514" s="111">
        <v>0.0</v>
      </c>
      <c r="F514" s="111">
        <v>0.1451</v>
      </c>
      <c r="G514" s="111">
        <v>0.0681</v>
      </c>
      <c r="H514" s="110" t="s">
        <v>280</v>
      </c>
      <c r="I514" s="112">
        <f t="shared" si="1"/>
        <v>1.130690162</v>
      </c>
      <c r="J514" s="82">
        <f t="shared" si="2"/>
        <v>0.4693314955</v>
      </c>
    </row>
    <row r="515">
      <c r="A515" s="101">
        <v>44684.0</v>
      </c>
      <c r="B515" s="111">
        <v>2010.0</v>
      </c>
      <c r="C515" s="111">
        <v>3.0</v>
      </c>
      <c r="D515" s="110" t="s">
        <v>227</v>
      </c>
      <c r="E515" s="111">
        <v>1.0</v>
      </c>
      <c r="F515" s="111">
        <v>0.2281</v>
      </c>
      <c r="G515" s="111">
        <v>0.1239</v>
      </c>
      <c r="H515" s="110" t="s">
        <v>280</v>
      </c>
      <c r="I515" s="112">
        <f t="shared" si="1"/>
        <v>0.8410008071</v>
      </c>
      <c r="J515" s="82">
        <f t="shared" si="2"/>
        <v>0.5431828146</v>
      </c>
    </row>
    <row r="516">
      <c r="A516" s="101">
        <v>44684.0</v>
      </c>
      <c r="B516" s="111">
        <v>2010.0</v>
      </c>
      <c r="C516" s="111">
        <v>3.0</v>
      </c>
      <c r="D516" s="110" t="s">
        <v>228</v>
      </c>
      <c r="E516" s="111">
        <v>0.0</v>
      </c>
      <c r="F516" s="111">
        <v>1.1733</v>
      </c>
      <c r="G516" s="111">
        <v>0.6053</v>
      </c>
      <c r="H516" s="110" t="s">
        <v>280</v>
      </c>
      <c r="I516" s="112">
        <f t="shared" si="1"/>
        <v>0.938377664</v>
      </c>
      <c r="J516" s="82">
        <f t="shared" si="2"/>
        <v>0.5158953379</v>
      </c>
    </row>
    <row r="517">
      <c r="A517" s="101">
        <v>44684.0</v>
      </c>
      <c r="B517" s="111">
        <v>2010.0</v>
      </c>
      <c r="C517" s="111">
        <v>3.0</v>
      </c>
      <c r="D517" s="110" t="s">
        <v>227</v>
      </c>
      <c r="E517" s="111">
        <v>0.0</v>
      </c>
      <c r="F517" s="111">
        <v>0.1511</v>
      </c>
      <c r="G517" s="111">
        <v>0.0687</v>
      </c>
      <c r="H517" s="110" t="s">
        <v>280</v>
      </c>
      <c r="I517" s="112">
        <f t="shared" si="1"/>
        <v>1.199417758</v>
      </c>
      <c r="J517" s="82">
        <f t="shared" si="2"/>
        <v>0.4546657842</v>
      </c>
    </row>
    <row r="518">
      <c r="A518" s="101">
        <v>44684.0</v>
      </c>
      <c r="B518" s="111">
        <v>2081.0</v>
      </c>
      <c r="C518" s="111">
        <v>1.0</v>
      </c>
      <c r="D518" s="110" t="s">
        <v>228</v>
      </c>
      <c r="E518" s="111">
        <v>0.0</v>
      </c>
      <c r="F518" s="111">
        <v>0.118</v>
      </c>
      <c r="G518" s="111">
        <v>0.0608</v>
      </c>
      <c r="H518" s="110" t="s">
        <v>280</v>
      </c>
      <c r="I518" s="112">
        <f t="shared" si="1"/>
        <v>0.9407894737</v>
      </c>
      <c r="J518" s="82">
        <f t="shared" si="2"/>
        <v>0.5152542373</v>
      </c>
    </row>
    <row r="519">
      <c r="A519" s="101">
        <v>44684.0</v>
      </c>
      <c r="B519" s="111">
        <v>2081.0</v>
      </c>
      <c r="C519" s="111">
        <v>1.0</v>
      </c>
      <c r="D519" s="110" t="s">
        <v>227</v>
      </c>
      <c r="E519" s="111">
        <v>1.0</v>
      </c>
      <c r="F519" s="111">
        <v>0.985</v>
      </c>
      <c r="G519" s="111">
        <v>0.5008</v>
      </c>
      <c r="H519" s="110" t="s">
        <v>280</v>
      </c>
      <c r="I519" s="112">
        <f t="shared" si="1"/>
        <v>0.9668530351</v>
      </c>
      <c r="J519" s="82">
        <f t="shared" si="2"/>
        <v>0.5084263959</v>
      </c>
    </row>
    <row r="520">
      <c r="A520" s="101">
        <v>44684.0</v>
      </c>
      <c r="B520" s="111">
        <v>2081.0</v>
      </c>
      <c r="C520" s="111">
        <v>1.0</v>
      </c>
      <c r="D520" s="110" t="s">
        <v>227</v>
      </c>
      <c r="E520" s="111">
        <v>0.0</v>
      </c>
      <c r="F520" s="111">
        <v>0.081</v>
      </c>
      <c r="G520" s="111">
        <v>0.0397</v>
      </c>
      <c r="H520" s="110" t="s">
        <v>280</v>
      </c>
      <c r="I520" s="112">
        <f t="shared" si="1"/>
        <v>1.040302267</v>
      </c>
      <c r="J520" s="82">
        <f t="shared" si="2"/>
        <v>0.4901234568</v>
      </c>
    </row>
    <row r="521">
      <c r="A521" s="101">
        <v>44684.0</v>
      </c>
      <c r="B521" s="111">
        <v>2081.0</v>
      </c>
      <c r="C521" s="111">
        <v>2.0</v>
      </c>
      <c r="D521" s="110" t="s">
        <v>227</v>
      </c>
      <c r="E521" s="111">
        <v>1.0</v>
      </c>
      <c r="F521" s="111">
        <v>0.302</v>
      </c>
      <c r="G521" s="111">
        <v>0.1601</v>
      </c>
      <c r="H521" s="110" t="s">
        <v>280</v>
      </c>
      <c r="I521" s="112">
        <f t="shared" si="1"/>
        <v>0.8863210493</v>
      </c>
      <c r="J521" s="82">
        <f t="shared" si="2"/>
        <v>0.5301324503</v>
      </c>
    </row>
    <row r="522">
      <c r="A522" s="101">
        <v>44684.0</v>
      </c>
      <c r="B522" s="111">
        <v>2081.0</v>
      </c>
      <c r="C522" s="111">
        <v>2.0</v>
      </c>
      <c r="D522" s="110" t="s">
        <v>228</v>
      </c>
      <c r="E522" s="111">
        <v>0.0</v>
      </c>
      <c r="F522" s="111">
        <v>0.8622</v>
      </c>
      <c r="G522" s="111">
        <v>0.4311</v>
      </c>
      <c r="H522" s="110" t="s">
        <v>280</v>
      </c>
      <c r="I522" s="112">
        <f t="shared" si="1"/>
        <v>1</v>
      </c>
      <c r="J522" s="82">
        <f t="shared" si="2"/>
        <v>0.5</v>
      </c>
    </row>
    <row r="523">
      <c r="A523" s="101">
        <v>44684.0</v>
      </c>
      <c r="B523" s="111">
        <v>2081.0</v>
      </c>
      <c r="C523" s="111">
        <v>2.0</v>
      </c>
      <c r="D523" s="110" t="s">
        <v>227</v>
      </c>
      <c r="E523" s="111">
        <v>0.0</v>
      </c>
      <c r="F523" s="111">
        <v>0.0715</v>
      </c>
      <c r="G523" s="111">
        <v>0.0346</v>
      </c>
      <c r="H523" s="110" t="s">
        <v>280</v>
      </c>
      <c r="I523" s="112">
        <f t="shared" si="1"/>
        <v>1.066473988</v>
      </c>
      <c r="J523" s="82">
        <f t="shared" si="2"/>
        <v>0.4839160839</v>
      </c>
    </row>
    <row r="524">
      <c r="A524" s="101">
        <v>44684.0</v>
      </c>
      <c r="B524" s="111">
        <v>2081.0</v>
      </c>
      <c r="C524" s="111">
        <v>3.0</v>
      </c>
      <c r="D524" s="110" t="s">
        <v>227</v>
      </c>
      <c r="E524" s="111">
        <v>1.0</v>
      </c>
      <c r="F524" s="111">
        <v>0.1608</v>
      </c>
      <c r="G524" s="111">
        <v>0.084</v>
      </c>
      <c r="H524" s="110" t="s">
        <v>280</v>
      </c>
      <c r="I524" s="112">
        <f t="shared" si="1"/>
        <v>0.9142857143</v>
      </c>
      <c r="J524" s="82">
        <f t="shared" si="2"/>
        <v>0.5223880597</v>
      </c>
    </row>
    <row r="525">
      <c r="A525" s="101">
        <v>44684.0</v>
      </c>
      <c r="B525" s="111">
        <v>2081.0</v>
      </c>
      <c r="C525" s="111">
        <v>3.0</v>
      </c>
      <c r="D525" s="110" t="s">
        <v>228</v>
      </c>
      <c r="E525" s="111">
        <v>0.0</v>
      </c>
      <c r="F525" s="111">
        <v>1.1032</v>
      </c>
      <c r="G525" s="111">
        <v>0.5524</v>
      </c>
      <c r="H525" s="110" t="s">
        <v>280</v>
      </c>
      <c r="I525" s="112">
        <f t="shared" si="1"/>
        <v>0.9971035482</v>
      </c>
      <c r="J525" s="82">
        <f t="shared" si="2"/>
        <v>0.5007251632</v>
      </c>
    </row>
    <row r="526">
      <c r="A526" s="101">
        <v>44684.0</v>
      </c>
      <c r="B526" s="111">
        <v>2081.0</v>
      </c>
      <c r="C526" s="111">
        <v>3.0</v>
      </c>
      <c r="D526" s="110" t="s">
        <v>227</v>
      </c>
      <c r="E526" s="111">
        <v>0.0</v>
      </c>
      <c r="F526" s="111">
        <v>0.1593</v>
      </c>
      <c r="G526" s="111">
        <v>0.0609</v>
      </c>
      <c r="H526" s="110" t="s">
        <v>280</v>
      </c>
      <c r="I526" s="112">
        <f t="shared" si="1"/>
        <v>1.615763547</v>
      </c>
      <c r="J526" s="82">
        <f t="shared" si="2"/>
        <v>0.3822975518</v>
      </c>
    </row>
    <row r="527">
      <c r="A527" s="101">
        <v>44684.0</v>
      </c>
      <c r="B527" s="111">
        <v>2343.0</v>
      </c>
      <c r="C527" s="111">
        <v>1.0</v>
      </c>
      <c r="D527" s="110" t="s">
        <v>228</v>
      </c>
      <c r="E527" s="111">
        <v>0.0</v>
      </c>
      <c r="F527" s="111">
        <v>4.1228</v>
      </c>
      <c r="G527" s="111">
        <v>2.131</v>
      </c>
      <c r="H527" s="110" t="s">
        <v>280</v>
      </c>
      <c r="I527" s="112">
        <f t="shared" si="1"/>
        <v>0.9346785547</v>
      </c>
      <c r="J527" s="82">
        <f t="shared" si="2"/>
        <v>0.5168817309</v>
      </c>
    </row>
    <row r="528">
      <c r="A528" s="101">
        <v>44684.0</v>
      </c>
      <c r="B528" s="111">
        <v>2343.0</v>
      </c>
      <c r="C528" s="111">
        <v>1.0</v>
      </c>
      <c r="D528" s="110" t="s">
        <v>227</v>
      </c>
      <c r="E528" s="111">
        <v>1.0</v>
      </c>
      <c r="F528" s="111">
        <v>0.3603</v>
      </c>
      <c r="G528" s="111">
        <v>0.1808</v>
      </c>
      <c r="H528" s="110" t="s">
        <v>280</v>
      </c>
      <c r="I528" s="112">
        <f t="shared" si="1"/>
        <v>0.9928097345</v>
      </c>
      <c r="J528" s="82">
        <f t="shared" si="2"/>
        <v>0.5018040522</v>
      </c>
    </row>
    <row r="529">
      <c r="A529" s="101">
        <v>44684.0</v>
      </c>
      <c r="B529" s="111">
        <v>2343.0</v>
      </c>
      <c r="C529" s="111">
        <v>1.0</v>
      </c>
      <c r="D529" s="110" t="s">
        <v>227</v>
      </c>
      <c r="E529" s="111">
        <v>0.0</v>
      </c>
      <c r="F529" s="111">
        <v>0.8364</v>
      </c>
      <c r="G529" s="111">
        <v>0.4013</v>
      </c>
      <c r="H529" s="110" t="s">
        <v>280</v>
      </c>
      <c r="I529" s="112">
        <f t="shared" si="1"/>
        <v>1.084226265</v>
      </c>
      <c r="J529" s="82">
        <f t="shared" si="2"/>
        <v>0.4797943568</v>
      </c>
    </row>
    <row r="530">
      <c r="A530" s="101">
        <v>44684.0</v>
      </c>
      <c r="B530" s="111">
        <v>2343.0</v>
      </c>
      <c r="C530" s="111">
        <v>2.0</v>
      </c>
      <c r="D530" s="110" t="s">
        <v>227</v>
      </c>
      <c r="E530" s="111">
        <v>1.0</v>
      </c>
      <c r="F530" s="111">
        <v>0.1471</v>
      </c>
      <c r="G530" s="111">
        <v>0.0716</v>
      </c>
      <c r="H530" s="110" t="s">
        <v>280</v>
      </c>
      <c r="I530" s="112">
        <f t="shared" si="1"/>
        <v>1.054469274</v>
      </c>
      <c r="J530" s="82">
        <f t="shared" si="2"/>
        <v>0.4867437118</v>
      </c>
    </row>
    <row r="531">
      <c r="A531" s="101">
        <v>44684.0</v>
      </c>
      <c r="B531" s="111">
        <v>2343.0</v>
      </c>
      <c r="C531" s="111">
        <v>2.0</v>
      </c>
      <c r="D531" s="110" t="s">
        <v>227</v>
      </c>
      <c r="E531" s="111">
        <v>0.0</v>
      </c>
      <c r="F531" s="111">
        <v>0.2143</v>
      </c>
      <c r="G531" s="111">
        <v>0.0996</v>
      </c>
      <c r="H531" s="110" t="s">
        <v>280</v>
      </c>
      <c r="I531" s="112">
        <f t="shared" si="1"/>
        <v>1.151606426</v>
      </c>
      <c r="J531" s="82">
        <f t="shared" si="2"/>
        <v>0.4647690154</v>
      </c>
    </row>
    <row r="532">
      <c r="A532" s="101">
        <v>44684.0</v>
      </c>
      <c r="B532" s="111">
        <v>2343.0</v>
      </c>
      <c r="C532" s="111">
        <v>3.0</v>
      </c>
      <c r="D532" s="110" t="s">
        <v>227</v>
      </c>
      <c r="E532" s="111">
        <v>1.0</v>
      </c>
      <c r="F532" s="111">
        <v>0.3074</v>
      </c>
      <c r="G532" s="111">
        <v>0.1624</v>
      </c>
      <c r="H532" s="110" t="s">
        <v>280</v>
      </c>
      <c r="I532" s="112">
        <f t="shared" si="1"/>
        <v>0.8928571429</v>
      </c>
      <c r="J532" s="82">
        <f t="shared" si="2"/>
        <v>0.5283018868</v>
      </c>
    </row>
    <row r="533">
      <c r="A533" s="101">
        <v>44684.0</v>
      </c>
      <c r="B533" s="111">
        <v>2343.0</v>
      </c>
      <c r="C533" s="111">
        <v>3.0</v>
      </c>
      <c r="D533" s="110" t="s">
        <v>228</v>
      </c>
      <c r="E533" s="111">
        <v>0.0</v>
      </c>
      <c r="F533" s="111">
        <v>2.4119</v>
      </c>
      <c r="G533" s="111">
        <v>1.265</v>
      </c>
      <c r="H533" s="110" t="s">
        <v>280</v>
      </c>
      <c r="I533" s="112">
        <f t="shared" si="1"/>
        <v>0.9066403162</v>
      </c>
      <c r="J533" s="82">
        <f t="shared" si="2"/>
        <v>0.5244827729</v>
      </c>
    </row>
    <row r="534">
      <c r="A534" s="101">
        <v>44684.0</v>
      </c>
      <c r="B534" s="111">
        <v>2343.0</v>
      </c>
      <c r="C534" s="111">
        <v>3.0</v>
      </c>
      <c r="D534" s="110" t="s">
        <v>227</v>
      </c>
      <c r="E534" s="111">
        <v>0.0</v>
      </c>
      <c r="F534" s="111">
        <v>0.2654</v>
      </c>
      <c r="G534" s="111">
        <v>0.1306</v>
      </c>
      <c r="H534" s="110" t="s">
        <v>280</v>
      </c>
      <c r="I534" s="112">
        <f t="shared" si="1"/>
        <v>1.032159265</v>
      </c>
      <c r="J534" s="82">
        <f t="shared" si="2"/>
        <v>0.4920874152</v>
      </c>
    </row>
    <row r="535">
      <c r="A535" s="101">
        <v>44684.0</v>
      </c>
      <c r="B535" s="111">
        <v>2346.0</v>
      </c>
      <c r="C535" s="111">
        <v>1.0</v>
      </c>
      <c r="D535" s="110" t="s">
        <v>228</v>
      </c>
      <c r="E535" s="111">
        <v>0.0</v>
      </c>
      <c r="F535" s="111">
        <v>0.4463</v>
      </c>
      <c r="G535" s="111">
        <v>0.2303</v>
      </c>
      <c r="H535" s="110" t="s">
        <v>280</v>
      </c>
      <c r="I535" s="112">
        <f t="shared" si="1"/>
        <v>0.9379070777</v>
      </c>
      <c r="J535" s="82">
        <f t="shared" si="2"/>
        <v>0.5160206139</v>
      </c>
    </row>
    <row r="536">
      <c r="A536" s="101">
        <v>44684.0</v>
      </c>
      <c r="B536" s="111">
        <v>2346.0</v>
      </c>
      <c r="C536" s="111">
        <v>1.0</v>
      </c>
      <c r="D536" s="110" t="s">
        <v>228</v>
      </c>
      <c r="E536" s="111">
        <v>0.0</v>
      </c>
      <c r="F536" s="111">
        <v>1.8388</v>
      </c>
      <c r="G536" s="111">
        <v>0.9389</v>
      </c>
      <c r="H536" s="110" t="s">
        <v>280</v>
      </c>
      <c r="I536" s="112">
        <f t="shared" si="1"/>
        <v>0.95846203</v>
      </c>
      <c r="J536" s="82">
        <f t="shared" si="2"/>
        <v>0.5106047422</v>
      </c>
    </row>
    <row r="537">
      <c r="A537" s="101">
        <v>44684.0</v>
      </c>
      <c r="B537" s="111">
        <v>2346.0</v>
      </c>
      <c r="C537" s="111">
        <v>1.0</v>
      </c>
      <c r="D537" s="110" t="s">
        <v>227</v>
      </c>
      <c r="E537" s="111">
        <v>1.0</v>
      </c>
      <c r="F537" s="111">
        <v>0.1506</v>
      </c>
      <c r="G537" s="111">
        <v>0.0759</v>
      </c>
      <c r="H537" s="110" t="s">
        <v>280</v>
      </c>
      <c r="I537" s="112">
        <f t="shared" si="1"/>
        <v>0.9841897233</v>
      </c>
      <c r="J537" s="82">
        <f t="shared" si="2"/>
        <v>0.5039840637</v>
      </c>
    </row>
    <row r="538">
      <c r="A538" s="101">
        <v>44684.0</v>
      </c>
      <c r="B538" s="111">
        <v>2346.0</v>
      </c>
      <c r="C538" s="111">
        <v>1.0</v>
      </c>
      <c r="D538" s="110" t="s">
        <v>227</v>
      </c>
      <c r="E538" s="111">
        <v>0.0</v>
      </c>
      <c r="F538" s="111">
        <v>0.0568</v>
      </c>
      <c r="G538" s="111">
        <v>0.0264</v>
      </c>
      <c r="H538" s="110" t="s">
        <v>280</v>
      </c>
      <c r="I538" s="112">
        <f t="shared" si="1"/>
        <v>1.151515152</v>
      </c>
      <c r="J538" s="82">
        <f t="shared" si="2"/>
        <v>0.4647887324</v>
      </c>
    </row>
    <row r="539">
      <c r="A539" s="101">
        <v>44684.0</v>
      </c>
      <c r="B539" s="111">
        <v>2346.0</v>
      </c>
      <c r="C539" s="111">
        <v>2.0</v>
      </c>
      <c r="D539" s="110" t="s">
        <v>227</v>
      </c>
      <c r="E539" s="111">
        <v>1.0</v>
      </c>
      <c r="F539" s="111">
        <v>0.7042</v>
      </c>
      <c r="G539" s="111">
        <v>0.3779</v>
      </c>
      <c r="H539" s="110" t="s">
        <v>280</v>
      </c>
      <c r="I539" s="112">
        <f t="shared" si="1"/>
        <v>0.8634559407</v>
      </c>
      <c r="J539" s="82">
        <f t="shared" si="2"/>
        <v>0.5366373189</v>
      </c>
    </row>
    <row r="540">
      <c r="A540" s="101">
        <v>44684.0</v>
      </c>
      <c r="B540" s="111">
        <v>2346.0</v>
      </c>
      <c r="C540" s="111">
        <v>2.0</v>
      </c>
      <c r="D540" s="110" t="s">
        <v>228</v>
      </c>
      <c r="E540" s="111">
        <v>0.0</v>
      </c>
      <c r="F540" s="111">
        <v>1.4549</v>
      </c>
      <c r="G540" s="111">
        <v>0.7705</v>
      </c>
      <c r="H540" s="110" t="s">
        <v>280</v>
      </c>
      <c r="I540" s="112">
        <f t="shared" si="1"/>
        <v>0.8882543803</v>
      </c>
      <c r="J540" s="82">
        <f t="shared" si="2"/>
        <v>0.5295896625</v>
      </c>
    </row>
    <row r="541">
      <c r="A541" s="101">
        <v>44684.0</v>
      </c>
      <c r="B541" s="111">
        <v>2346.0</v>
      </c>
      <c r="C541" s="111">
        <v>2.0</v>
      </c>
      <c r="D541" s="110" t="s">
        <v>227</v>
      </c>
      <c r="E541" s="111">
        <v>0.0</v>
      </c>
      <c r="F541" s="111">
        <v>0.1386</v>
      </c>
      <c r="G541" s="111">
        <v>0.0695</v>
      </c>
      <c r="H541" s="110" t="s">
        <v>280</v>
      </c>
      <c r="I541" s="112">
        <f t="shared" si="1"/>
        <v>0.9942446043</v>
      </c>
      <c r="J541" s="82">
        <f t="shared" si="2"/>
        <v>0.5014430014</v>
      </c>
    </row>
    <row r="542">
      <c r="A542" s="101">
        <v>44684.0</v>
      </c>
      <c r="B542" s="111">
        <v>2346.0</v>
      </c>
      <c r="C542" s="111">
        <v>3.0</v>
      </c>
      <c r="D542" s="110" t="s">
        <v>227</v>
      </c>
      <c r="E542" s="111">
        <v>1.0</v>
      </c>
      <c r="F542" s="111">
        <v>0.1937</v>
      </c>
      <c r="G542" s="111">
        <v>0.1024</v>
      </c>
      <c r="H542" s="110" t="s">
        <v>280</v>
      </c>
      <c r="I542" s="112">
        <f t="shared" si="1"/>
        <v>0.8916015625</v>
      </c>
      <c r="J542" s="82">
        <f t="shared" si="2"/>
        <v>0.5286525555</v>
      </c>
    </row>
    <row r="543">
      <c r="A543" s="101">
        <v>44684.0</v>
      </c>
      <c r="B543" s="111">
        <v>2346.0</v>
      </c>
      <c r="C543" s="111">
        <v>3.0</v>
      </c>
      <c r="D543" s="110" t="s">
        <v>227</v>
      </c>
      <c r="E543" s="111">
        <v>0.0</v>
      </c>
      <c r="F543" s="111">
        <v>0.0361</v>
      </c>
      <c r="G543" s="111">
        <v>0.0169</v>
      </c>
      <c r="H543" s="110" t="s">
        <v>280</v>
      </c>
      <c r="I543" s="112">
        <f t="shared" si="1"/>
        <v>1.136094675</v>
      </c>
      <c r="J543" s="82">
        <f t="shared" si="2"/>
        <v>0.4681440443</v>
      </c>
    </row>
    <row r="544">
      <c r="A544" s="101">
        <v>44684.0</v>
      </c>
      <c r="B544" s="111">
        <v>2347.0</v>
      </c>
      <c r="C544" s="111">
        <v>1.0</v>
      </c>
      <c r="D544" s="110" t="s">
        <v>228</v>
      </c>
      <c r="E544" s="111">
        <v>0.0</v>
      </c>
      <c r="F544" s="111">
        <v>1.2466</v>
      </c>
      <c r="G544" s="111">
        <v>0.6414</v>
      </c>
      <c r="H544" s="110" t="s">
        <v>280</v>
      </c>
      <c r="I544" s="112">
        <f t="shared" si="1"/>
        <v>0.9435609604</v>
      </c>
      <c r="J544" s="82">
        <f t="shared" si="2"/>
        <v>0.514519493</v>
      </c>
    </row>
    <row r="545">
      <c r="A545" s="101">
        <v>44684.0</v>
      </c>
      <c r="B545" s="111">
        <v>2347.0</v>
      </c>
      <c r="C545" s="111">
        <v>1.0</v>
      </c>
      <c r="D545" s="110" t="s">
        <v>227</v>
      </c>
      <c r="E545" s="111">
        <v>1.0</v>
      </c>
      <c r="F545" s="111">
        <v>0.2391</v>
      </c>
      <c r="G545" s="111">
        <v>0.1202</v>
      </c>
      <c r="H545" s="110" t="s">
        <v>280</v>
      </c>
      <c r="I545" s="112">
        <f t="shared" si="1"/>
        <v>0.9891846922</v>
      </c>
      <c r="J545" s="82">
        <f t="shared" si="2"/>
        <v>0.5027185278</v>
      </c>
    </row>
    <row r="546">
      <c r="A546" s="101">
        <v>44684.0</v>
      </c>
      <c r="B546" s="111">
        <v>2347.0</v>
      </c>
      <c r="C546" s="111">
        <v>1.0</v>
      </c>
      <c r="D546" s="110" t="s">
        <v>227</v>
      </c>
      <c r="E546" s="111">
        <v>0.0</v>
      </c>
      <c r="F546" s="111">
        <v>0.2014</v>
      </c>
      <c r="G546" s="111">
        <v>0.0998</v>
      </c>
      <c r="H546" s="110" t="s">
        <v>280</v>
      </c>
      <c r="I546" s="112">
        <f t="shared" si="1"/>
        <v>1.018036072</v>
      </c>
      <c r="J546" s="82">
        <f t="shared" si="2"/>
        <v>0.495531281</v>
      </c>
    </row>
    <row r="547">
      <c r="A547" s="101">
        <v>44684.0</v>
      </c>
      <c r="B547" s="111">
        <v>2347.0</v>
      </c>
      <c r="C547" s="111">
        <v>2.0</v>
      </c>
      <c r="D547" s="110" t="s">
        <v>228</v>
      </c>
      <c r="E547" s="111">
        <v>0.0</v>
      </c>
      <c r="F547" s="111">
        <v>0.9126</v>
      </c>
      <c r="G547" s="111">
        <v>0.4707</v>
      </c>
      <c r="H547" s="110" t="s">
        <v>280</v>
      </c>
      <c r="I547" s="112">
        <f t="shared" si="1"/>
        <v>0.9388145315</v>
      </c>
      <c r="J547" s="82">
        <f t="shared" si="2"/>
        <v>0.5157790927</v>
      </c>
    </row>
    <row r="548">
      <c r="A548" s="101">
        <v>44684.0</v>
      </c>
      <c r="B548" s="111">
        <v>2347.0</v>
      </c>
      <c r="C548" s="111">
        <v>2.0</v>
      </c>
      <c r="D548" s="110" t="s">
        <v>227</v>
      </c>
      <c r="E548" s="111">
        <v>1.0</v>
      </c>
      <c r="F548" s="111">
        <v>0.24</v>
      </c>
      <c r="G548" s="111">
        <v>0.1229</v>
      </c>
      <c r="H548" s="110" t="s">
        <v>280</v>
      </c>
      <c r="I548" s="112">
        <f t="shared" si="1"/>
        <v>0.9528071603</v>
      </c>
      <c r="J548" s="82">
        <f t="shared" si="2"/>
        <v>0.5120833333</v>
      </c>
    </row>
    <row r="549">
      <c r="A549" s="101">
        <v>44684.0</v>
      </c>
      <c r="B549" s="111">
        <v>2347.0</v>
      </c>
      <c r="C549" s="111">
        <v>2.0</v>
      </c>
      <c r="D549" s="110" t="s">
        <v>227</v>
      </c>
      <c r="E549" s="111">
        <v>0.0</v>
      </c>
      <c r="F549" s="111">
        <v>0.124</v>
      </c>
      <c r="G549" s="111">
        <v>0.0606</v>
      </c>
      <c r="H549" s="110" t="s">
        <v>280</v>
      </c>
      <c r="I549" s="112">
        <f t="shared" si="1"/>
        <v>1.04620462</v>
      </c>
      <c r="J549" s="82">
        <f t="shared" si="2"/>
        <v>0.4887096774</v>
      </c>
    </row>
    <row r="550">
      <c r="A550" s="101">
        <v>44684.0</v>
      </c>
      <c r="B550" s="111">
        <v>2347.0</v>
      </c>
      <c r="C550" s="111">
        <v>3.0</v>
      </c>
      <c r="D550" s="110" t="s">
        <v>227</v>
      </c>
      <c r="E550" s="111">
        <v>1.0</v>
      </c>
      <c r="F550" s="111">
        <v>0.2814</v>
      </c>
      <c r="G550" s="111">
        <v>0.1434</v>
      </c>
      <c r="H550" s="110" t="s">
        <v>280</v>
      </c>
      <c r="I550" s="112">
        <f t="shared" si="1"/>
        <v>0.9623430962</v>
      </c>
      <c r="J550" s="82">
        <f t="shared" si="2"/>
        <v>0.5095948827</v>
      </c>
    </row>
    <row r="551">
      <c r="A551" s="101">
        <v>44684.0</v>
      </c>
      <c r="B551" s="111">
        <v>2347.0</v>
      </c>
      <c r="C551" s="111">
        <v>3.0</v>
      </c>
      <c r="D551" s="110" t="s">
        <v>228</v>
      </c>
      <c r="E551" s="111">
        <v>0.0</v>
      </c>
      <c r="F551" s="111">
        <v>1.2971</v>
      </c>
      <c r="G551" s="111">
        <v>0.6548</v>
      </c>
      <c r="H551" s="110" t="s">
        <v>280</v>
      </c>
      <c r="I551" s="112">
        <f t="shared" si="1"/>
        <v>0.9809102016</v>
      </c>
      <c r="J551" s="82">
        <f t="shared" si="2"/>
        <v>0.5048184411</v>
      </c>
    </row>
    <row r="552">
      <c r="A552" s="101">
        <v>44684.0</v>
      </c>
      <c r="B552" s="111">
        <v>2347.0</v>
      </c>
      <c r="C552" s="111">
        <v>3.0</v>
      </c>
      <c r="D552" s="110" t="s">
        <v>227</v>
      </c>
      <c r="E552" s="111">
        <v>0.0</v>
      </c>
      <c r="F552" s="111">
        <v>0.1789</v>
      </c>
      <c r="G552" s="111">
        <v>0.0873</v>
      </c>
      <c r="H552" s="110" t="s">
        <v>280</v>
      </c>
      <c r="I552" s="112">
        <f t="shared" si="1"/>
        <v>1.049255441</v>
      </c>
      <c r="J552" s="82">
        <f t="shared" si="2"/>
        <v>0.4879821129</v>
      </c>
    </row>
    <row r="553">
      <c r="A553" s="101">
        <v>44684.0</v>
      </c>
      <c r="B553" s="111">
        <v>2364.0</v>
      </c>
      <c r="C553" s="111">
        <v>1.0</v>
      </c>
      <c r="D553" s="110" t="s">
        <v>227</v>
      </c>
      <c r="E553" s="111">
        <v>1.0</v>
      </c>
      <c r="F553" s="111">
        <v>1.0405</v>
      </c>
      <c r="G553" s="111">
        <v>0.5704</v>
      </c>
      <c r="H553" s="110" t="s">
        <v>280</v>
      </c>
      <c r="I553" s="112">
        <f t="shared" si="1"/>
        <v>0.8241584853</v>
      </c>
      <c r="J553" s="82">
        <f t="shared" si="2"/>
        <v>0.5481979817</v>
      </c>
    </row>
    <row r="554">
      <c r="A554" s="101">
        <v>44684.0</v>
      </c>
      <c r="B554" s="111">
        <v>2364.0</v>
      </c>
      <c r="C554" s="111">
        <v>1.0</v>
      </c>
      <c r="D554" s="110" t="s">
        <v>228</v>
      </c>
      <c r="E554" s="111">
        <v>0.0</v>
      </c>
      <c r="F554" s="111">
        <v>2.9396</v>
      </c>
      <c r="G554" s="111">
        <v>1.5115</v>
      </c>
      <c r="H554" s="110" t="s">
        <v>280</v>
      </c>
      <c r="I554" s="112">
        <f t="shared" si="1"/>
        <v>0.9448230235</v>
      </c>
      <c r="J554" s="82">
        <f t="shared" si="2"/>
        <v>0.5141856035</v>
      </c>
    </row>
    <row r="555">
      <c r="A555" s="101">
        <v>44684.0</v>
      </c>
      <c r="B555" s="111">
        <v>2364.0</v>
      </c>
      <c r="C555" s="111">
        <v>1.0</v>
      </c>
      <c r="D555" s="110" t="s">
        <v>227</v>
      </c>
      <c r="E555" s="111">
        <v>0.0</v>
      </c>
      <c r="F555" s="111">
        <v>0.4489</v>
      </c>
      <c r="G555" s="111">
        <v>0.2304</v>
      </c>
      <c r="H555" s="110" t="s">
        <v>280</v>
      </c>
      <c r="I555" s="112">
        <f t="shared" si="1"/>
        <v>0.9483506944</v>
      </c>
      <c r="J555" s="82">
        <f t="shared" si="2"/>
        <v>0.5132546224</v>
      </c>
    </row>
    <row r="556">
      <c r="A556" s="101">
        <v>44684.0</v>
      </c>
      <c r="B556" s="111">
        <v>2364.0</v>
      </c>
      <c r="C556" s="111">
        <v>2.0</v>
      </c>
      <c r="D556" s="110" t="s">
        <v>227</v>
      </c>
      <c r="E556" s="111">
        <v>1.0</v>
      </c>
      <c r="F556" s="111">
        <v>0.1546</v>
      </c>
      <c r="G556" s="111">
        <v>0.0851</v>
      </c>
      <c r="H556" s="110" t="s">
        <v>280</v>
      </c>
      <c r="I556" s="112">
        <f t="shared" si="1"/>
        <v>0.8166862515</v>
      </c>
      <c r="J556" s="82">
        <f t="shared" si="2"/>
        <v>0.5504527814</v>
      </c>
    </row>
    <row r="557">
      <c r="A557" s="101">
        <v>44684.0</v>
      </c>
      <c r="B557" s="111">
        <v>2364.0</v>
      </c>
      <c r="C557" s="111">
        <v>2.0</v>
      </c>
      <c r="D557" s="110" t="s">
        <v>227</v>
      </c>
      <c r="E557" s="111">
        <v>0.0</v>
      </c>
      <c r="F557" s="111">
        <v>0.2099</v>
      </c>
      <c r="G557" s="111">
        <v>0.1054</v>
      </c>
      <c r="H557" s="110" t="s">
        <v>280</v>
      </c>
      <c r="I557" s="112">
        <f t="shared" si="1"/>
        <v>0.9914611006</v>
      </c>
      <c r="J557" s="82">
        <f t="shared" si="2"/>
        <v>0.502143878</v>
      </c>
    </row>
    <row r="558">
      <c r="A558" s="101">
        <v>44684.0</v>
      </c>
      <c r="B558" s="111">
        <v>2364.0</v>
      </c>
      <c r="C558" s="111">
        <v>3.0</v>
      </c>
      <c r="D558" s="110" t="s">
        <v>227</v>
      </c>
      <c r="E558" s="111">
        <v>1.0</v>
      </c>
      <c r="F558" s="111">
        <v>0.2915</v>
      </c>
      <c r="G558" s="111">
        <v>0.1538</v>
      </c>
      <c r="H558" s="110" t="s">
        <v>280</v>
      </c>
      <c r="I558" s="112">
        <f t="shared" si="1"/>
        <v>0.8953185956</v>
      </c>
      <c r="J558" s="82">
        <f t="shared" si="2"/>
        <v>0.5276157804</v>
      </c>
    </row>
    <row r="559">
      <c r="A559" s="101">
        <v>44684.0</v>
      </c>
      <c r="B559" s="111">
        <v>2364.0</v>
      </c>
      <c r="C559" s="111">
        <v>3.0</v>
      </c>
      <c r="D559" s="110" t="s">
        <v>228</v>
      </c>
      <c r="E559" s="111">
        <v>0.0</v>
      </c>
      <c r="F559" s="111">
        <v>0.4769</v>
      </c>
      <c r="G559" s="111">
        <v>0.2422</v>
      </c>
      <c r="H559" s="110" t="s">
        <v>280</v>
      </c>
      <c r="I559" s="112">
        <f t="shared" si="1"/>
        <v>0.9690338563</v>
      </c>
      <c r="J559" s="82">
        <f t="shared" si="2"/>
        <v>0.5078632837</v>
      </c>
    </row>
    <row r="560">
      <c r="A560" s="101">
        <v>44684.0</v>
      </c>
      <c r="B560" s="111">
        <v>2364.0</v>
      </c>
      <c r="C560" s="111">
        <v>3.0</v>
      </c>
      <c r="D560" s="110" t="s">
        <v>227</v>
      </c>
      <c r="E560" s="111">
        <v>0.0</v>
      </c>
      <c r="F560" s="111">
        <v>0.0868</v>
      </c>
      <c r="G560" s="111">
        <v>0.0395</v>
      </c>
      <c r="H560" s="110" t="s">
        <v>280</v>
      </c>
      <c r="I560" s="112">
        <f t="shared" si="1"/>
        <v>1.197468354</v>
      </c>
      <c r="J560" s="82">
        <f t="shared" si="2"/>
        <v>0.4550691244</v>
      </c>
    </row>
    <row r="561">
      <c r="A561" s="101">
        <v>44684.0</v>
      </c>
      <c r="B561" s="111">
        <v>2365.0</v>
      </c>
      <c r="C561" s="111">
        <v>1.0</v>
      </c>
      <c r="D561" s="110" t="s">
        <v>227</v>
      </c>
      <c r="E561" s="111">
        <v>1.0</v>
      </c>
      <c r="F561" s="111">
        <v>0.093</v>
      </c>
      <c r="G561" s="111">
        <v>0.0475</v>
      </c>
      <c r="H561" s="110" t="s">
        <v>280</v>
      </c>
      <c r="I561" s="112">
        <f t="shared" si="1"/>
        <v>0.9578947368</v>
      </c>
      <c r="J561" s="82">
        <f t="shared" si="2"/>
        <v>0.5107526882</v>
      </c>
    </row>
    <row r="562">
      <c r="A562" s="101">
        <v>44684.0</v>
      </c>
      <c r="B562" s="111">
        <v>2365.0</v>
      </c>
      <c r="C562" s="111">
        <v>1.0</v>
      </c>
      <c r="D562" s="110" t="s">
        <v>227</v>
      </c>
      <c r="E562" s="111">
        <v>0.0</v>
      </c>
      <c r="F562" s="111">
        <v>0.0738</v>
      </c>
      <c r="G562" s="111">
        <v>0.031</v>
      </c>
      <c r="H562" s="110" t="s">
        <v>280</v>
      </c>
      <c r="I562" s="112">
        <f t="shared" si="1"/>
        <v>1.380645161</v>
      </c>
      <c r="J562" s="82">
        <f t="shared" si="2"/>
        <v>0.4200542005</v>
      </c>
    </row>
    <row r="563">
      <c r="A563" s="101">
        <v>44684.0</v>
      </c>
      <c r="B563" s="111">
        <v>2365.0</v>
      </c>
      <c r="C563" s="111">
        <v>2.0</v>
      </c>
      <c r="D563" s="110" t="s">
        <v>227</v>
      </c>
      <c r="E563" s="111">
        <v>1.0</v>
      </c>
      <c r="F563" s="111">
        <v>0.1148</v>
      </c>
      <c r="G563" s="111">
        <v>0.0608</v>
      </c>
      <c r="H563" s="110" t="s">
        <v>280</v>
      </c>
      <c r="I563" s="112">
        <f t="shared" si="1"/>
        <v>0.8881578947</v>
      </c>
      <c r="J563" s="82">
        <f t="shared" si="2"/>
        <v>0.5296167247</v>
      </c>
    </row>
    <row r="564">
      <c r="A564" s="101">
        <v>44684.0</v>
      </c>
      <c r="B564" s="111">
        <v>2365.0</v>
      </c>
      <c r="C564" s="111">
        <v>2.0</v>
      </c>
      <c r="D564" s="110" t="s">
        <v>228</v>
      </c>
      <c r="E564" s="111">
        <v>0.0</v>
      </c>
      <c r="F564" s="111">
        <v>0.6841</v>
      </c>
      <c r="G564" s="111">
        <v>0.3339</v>
      </c>
      <c r="H564" s="110" t="s">
        <v>280</v>
      </c>
      <c r="I564" s="112">
        <f t="shared" si="1"/>
        <v>1.048817011</v>
      </c>
      <c r="J564" s="82">
        <f t="shared" si="2"/>
        <v>0.4880865371</v>
      </c>
    </row>
    <row r="565">
      <c r="A565" s="101">
        <v>44684.0</v>
      </c>
      <c r="B565" s="111">
        <v>2365.0</v>
      </c>
      <c r="C565" s="111">
        <v>2.0</v>
      </c>
      <c r="D565" s="110" t="s">
        <v>227</v>
      </c>
      <c r="E565" s="111">
        <v>0.0</v>
      </c>
      <c r="F565" s="111">
        <v>0.0681</v>
      </c>
      <c r="G565" s="111">
        <v>0.0331</v>
      </c>
      <c r="H565" s="110" t="s">
        <v>280</v>
      </c>
      <c r="I565" s="112">
        <f t="shared" si="1"/>
        <v>1.057401813</v>
      </c>
      <c r="J565" s="82">
        <f t="shared" si="2"/>
        <v>0.4860499266</v>
      </c>
    </row>
    <row r="566">
      <c r="A566" s="101">
        <v>44684.0</v>
      </c>
      <c r="B566" s="111">
        <v>2365.0</v>
      </c>
      <c r="C566" s="111">
        <v>3.0</v>
      </c>
      <c r="D566" s="110" t="s">
        <v>227</v>
      </c>
      <c r="E566" s="111">
        <v>1.0</v>
      </c>
      <c r="F566" s="111">
        <v>0.3383</v>
      </c>
      <c r="G566" s="111">
        <v>0.1805</v>
      </c>
      <c r="H566" s="110" t="s">
        <v>280</v>
      </c>
      <c r="I566" s="112">
        <f t="shared" si="1"/>
        <v>0.8742382271</v>
      </c>
      <c r="J566" s="82">
        <f t="shared" si="2"/>
        <v>0.5335501035</v>
      </c>
    </row>
    <row r="567">
      <c r="A567" s="101">
        <v>44684.0</v>
      </c>
      <c r="B567" s="111">
        <v>2365.0</v>
      </c>
      <c r="C567" s="111">
        <v>3.0</v>
      </c>
      <c r="D567" s="110" t="s">
        <v>227</v>
      </c>
      <c r="E567" s="111">
        <v>0.0</v>
      </c>
      <c r="F567" s="111">
        <v>0.1463</v>
      </c>
      <c r="G567" s="111">
        <v>0.0739</v>
      </c>
      <c r="H567" s="110" t="s">
        <v>280</v>
      </c>
      <c r="I567" s="112">
        <f t="shared" si="1"/>
        <v>0.9797023004</v>
      </c>
      <c r="J567" s="82">
        <f t="shared" si="2"/>
        <v>0.5051264525</v>
      </c>
    </row>
    <row r="568">
      <c r="A568" s="101">
        <v>44684.0</v>
      </c>
      <c r="B568" s="111">
        <v>2365.0</v>
      </c>
      <c r="C568" s="111">
        <v>3.0</v>
      </c>
      <c r="D568" s="110" t="s">
        <v>228</v>
      </c>
      <c r="E568" s="111">
        <v>0.0</v>
      </c>
      <c r="F568" s="111">
        <v>0.9666</v>
      </c>
      <c r="G568" s="111">
        <v>0.4772</v>
      </c>
      <c r="H568" s="110" t="s">
        <v>280</v>
      </c>
      <c r="I568" s="112">
        <f t="shared" si="1"/>
        <v>1.025565801</v>
      </c>
      <c r="J568" s="82">
        <f t="shared" si="2"/>
        <v>0.4936892199</v>
      </c>
    </row>
    <row r="569">
      <c r="A569" s="101">
        <v>44684.0</v>
      </c>
      <c r="B569" s="111">
        <v>2367.0</v>
      </c>
      <c r="C569" s="111">
        <v>1.0</v>
      </c>
      <c r="D569" s="110" t="s">
        <v>227</v>
      </c>
      <c r="E569" s="111">
        <v>1.0</v>
      </c>
      <c r="F569" s="111">
        <v>0.2484</v>
      </c>
      <c r="G569" s="111">
        <v>0.1289</v>
      </c>
      <c r="H569" s="110" t="s">
        <v>280</v>
      </c>
      <c r="I569" s="112">
        <f t="shared" si="1"/>
        <v>0.9270752521</v>
      </c>
      <c r="J569" s="82">
        <f t="shared" si="2"/>
        <v>0.518921095</v>
      </c>
    </row>
    <row r="570">
      <c r="A570" s="101">
        <v>44684.0</v>
      </c>
      <c r="B570" s="111">
        <v>2367.0</v>
      </c>
      <c r="C570" s="111">
        <v>1.0</v>
      </c>
      <c r="D570" s="110" t="s">
        <v>227</v>
      </c>
      <c r="E570" s="111">
        <v>0.0</v>
      </c>
      <c r="F570" s="111">
        <v>0.0469</v>
      </c>
      <c r="G570" s="111">
        <v>0.0227</v>
      </c>
      <c r="H570" s="110" t="s">
        <v>280</v>
      </c>
      <c r="I570" s="112">
        <f t="shared" si="1"/>
        <v>1.066079295</v>
      </c>
      <c r="J570" s="82">
        <f t="shared" si="2"/>
        <v>0.4840085288</v>
      </c>
    </row>
    <row r="571">
      <c r="A571" s="101">
        <v>44684.0</v>
      </c>
      <c r="B571" s="111">
        <v>2367.0</v>
      </c>
      <c r="C571" s="111">
        <v>1.0</v>
      </c>
      <c r="D571" s="110" t="s">
        <v>228</v>
      </c>
      <c r="E571" s="111">
        <v>0.0</v>
      </c>
      <c r="F571" s="111">
        <v>0.8544</v>
      </c>
      <c r="G571" s="111">
        <v>0.3987</v>
      </c>
      <c r="H571" s="110" t="s">
        <v>280</v>
      </c>
      <c r="I571" s="112">
        <f t="shared" si="1"/>
        <v>1.142964635</v>
      </c>
      <c r="J571" s="82">
        <f t="shared" si="2"/>
        <v>0.4666432584</v>
      </c>
    </row>
    <row r="572">
      <c r="A572" s="101">
        <v>44684.0</v>
      </c>
      <c r="B572" s="111">
        <v>2367.0</v>
      </c>
      <c r="C572" s="111">
        <v>2.0</v>
      </c>
      <c r="D572" s="110" t="s">
        <v>227</v>
      </c>
      <c r="E572" s="111">
        <v>1.0</v>
      </c>
      <c r="F572" s="111">
        <v>0.1356</v>
      </c>
      <c r="G572" s="111">
        <v>0.072</v>
      </c>
      <c r="H572" s="110" t="s">
        <v>280</v>
      </c>
      <c r="I572" s="112">
        <f t="shared" si="1"/>
        <v>0.8833333333</v>
      </c>
      <c r="J572" s="82">
        <f t="shared" si="2"/>
        <v>0.5309734513</v>
      </c>
    </row>
    <row r="573">
      <c r="A573" s="101">
        <v>44684.0</v>
      </c>
      <c r="B573" s="111">
        <v>2367.0</v>
      </c>
      <c r="C573" s="111">
        <v>2.0</v>
      </c>
      <c r="D573" s="110" t="s">
        <v>228</v>
      </c>
      <c r="E573" s="111">
        <v>0.0</v>
      </c>
      <c r="F573" s="111">
        <v>0.2862</v>
      </c>
      <c r="G573" s="111">
        <v>0.1403</v>
      </c>
      <c r="H573" s="110" t="s">
        <v>280</v>
      </c>
      <c r="I573" s="112">
        <f t="shared" si="1"/>
        <v>1.039914469</v>
      </c>
      <c r="J573" s="82">
        <f t="shared" si="2"/>
        <v>0.4902166317</v>
      </c>
    </row>
    <row r="574">
      <c r="A574" s="101">
        <v>44684.0</v>
      </c>
      <c r="B574" s="111">
        <v>2367.0</v>
      </c>
      <c r="C574" s="111">
        <v>2.0</v>
      </c>
      <c r="D574" s="110" t="s">
        <v>227</v>
      </c>
      <c r="E574" s="111">
        <v>0.0</v>
      </c>
      <c r="F574" s="111">
        <v>0.0186</v>
      </c>
      <c r="G574" s="111">
        <v>0.0091</v>
      </c>
      <c r="H574" s="110" t="s">
        <v>280</v>
      </c>
      <c r="I574" s="112">
        <f t="shared" si="1"/>
        <v>1.043956044</v>
      </c>
      <c r="J574" s="82">
        <f t="shared" si="2"/>
        <v>0.4892473118</v>
      </c>
    </row>
    <row r="575">
      <c r="A575" s="101">
        <v>44684.0</v>
      </c>
      <c r="B575" s="111">
        <v>2367.0</v>
      </c>
      <c r="C575" s="111">
        <v>3.0</v>
      </c>
      <c r="D575" s="110" t="s">
        <v>227</v>
      </c>
      <c r="E575" s="111">
        <v>1.0</v>
      </c>
      <c r="F575" s="111">
        <v>0.1504</v>
      </c>
      <c r="G575" s="111">
        <v>0.0791</v>
      </c>
      <c r="H575" s="110" t="s">
        <v>280</v>
      </c>
      <c r="I575" s="112">
        <f t="shared" si="1"/>
        <v>0.9013906448</v>
      </c>
      <c r="J575" s="82">
        <f t="shared" si="2"/>
        <v>0.5259308511</v>
      </c>
    </row>
    <row r="576">
      <c r="A576" s="101">
        <v>44684.0</v>
      </c>
      <c r="B576" s="111">
        <v>2367.0</v>
      </c>
      <c r="C576" s="111">
        <v>3.0</v>
      </c>
      <c r="D576" s="110" t="s">
        <v>227</v>
      </c>
      <c r="E576" s="111">
        <v>0.0</v>
      </c>
      <c r="F576" s="111">
        <v>0.0584</v>
      </c>
      <c r="G576" s="111">
        <v>0.028</v>
      </c>
      <c r="H576" s="110" t="s">
        <v>280</v>
      </c>
      <c r="I576" s="112">
        <f t="shared" si="1"/>
        <v>1.085714286</v>
      </c>
      <c r="J576" s="82">
        <f t="shared" si="2"/>
        <v>0.4794520548</v>
      </c>
    </row>
    <row r="577">
      <c r="A577" s="101">
        <v>44684.0</v>
      </c>
      <c r="B577" s="111">
        <v>2367.0</v>
      </c>
      <c r="C577" s="111">
        <v>3.0</v>
      </c>
      <c r="D577" s="110" t="s">
        <v>228</v>
      </c>
      <c r="E577" s="111">
        <v>0.0</v>
      </c>
      <c r="F577" s="111">
        <v>0.6539</v>
      </c>
      <c r="G577" s="111">
        <v>0.312</v>
      </c>
      <c r="H577" s="110" t="s">
        <v>280</v>
      </c>
      <c r="I577" s="112">
        <f t="shared" si="1"/>
        <v>1.095833333</v>
      </c>
      <c r="J577" s="82">
        <f t="shared" si="2"/>
        <v>0.4771371769</v>
      </c>
    </row>
    <row r="578">
      <c r="A578" s="101">
        <v>44684.0</v>
      </c>
      <c r="B578" s="111">
        <v>2369.0</v>
      </c>
      <c r="C578" s="111">
        <v>1.0</v>
      </c>
      <c r="D578" s="110" t="s">
        <v>227</v>
      </c>
      <c r="E578" s="111">
        <v>1.0</v>
      </c>
      <c r="F578" s="111">
        <v>0.1613</v>
      </c>
      <c r="G578" s="111">
        <v>0.0857</v>
      </c>
      <c r="H578" s="110" t="s">
        <v>280</v>
      </c>
      <c r="I578" s="112">
        <f t="shared" si="1"/>
        <v>0.8821470245</v>
      </c>
      <c r="J578" s="82">
        <f t="shared" si="2"/>
        <v>0.5313081215</v>
      </c>
    </row>
    <row r="579">
      <c r="A579" s="101">
        <v>44684.0</v>
      </c>
      <c r="B579" s="111">
        <v>2369.0</v>
      </c>
      <c r="C579" s="111">
        <v>1.0</v>
      </c>
      <c r="D579" s="110" t="s">
        <v>228</v>
      </c>
      <c r="E579" s="111">
        <v>0.0</v>
      </c>
      <c r="F579" s="111">
        <v>0.9136</v>
      </c>
      <c r="G579" s="111">
        <v>0.4766</v>
      </c>
      <c r="H579" s="110" t="s">
        <v>280</v>
      </c>
      <c r="I579" s="112">
        <f t="shared" si="1"/>
        <v>0.9169114561</v>
      </c>
      <c r="J579" s="82">
        <f t="shared" si="2"/>
        <v>0.5216725044</v>
      </c>
    </row>
    <row r="580">
      <c r="A580" s="101">
        <v>44684.0</v>
      </c>
      <c r="B580" s="111">
        <v>2369.0</v>
      </c>
      <c r="C580" s="111">
        <v>1.0</v>
      </c>
      <c r="D580" s="110" t="s">
        <v>227</v>
      </c>
      <c r="E580" s="111">
        <v>0.0</v>
      </c>
      <c r="F580" s="111">
        <v>0.0879</v>
      </c>
      <c r="G580" s="111">
        <v>0.0434</v>
      </c>
      <c r="H580" s="110" t="s">
        <v>280</v>
      </c>
      <c r="I580" s="112">
        <f t="shared" si="1"/>
        <v>1.025345622</v>
      </c>
      <c r="J580" s="82">
        <f t="shared" si="2"/>
        <v>0.4937428896</v>
      </c>
    </row>
    <row r="581">
      <c r="A581" s="101">
        <v>44684.0</v>
      </c>
      <c r="B581" s="111">
        <v>2369.0</v>
      </c>
      <c r="C581" s="111">
        <v>2.0</v>
      </c>
      <c r="D581" s="110" t="s">
        <v>227</v>
      </c>
      <c r="E581" s="111">
        <v>1.0</v>
      </c>
      <c r="F581" s="111">
        <v>0.1445</v>
      </c>
      <c r="G581" s="111">
        <v>0.0805</v>
      </c>
      <c r="H581" s="110" t="s">
        <v>280</v>
      </c>
      <c r="I581" s="112">
        <f t="shared" si="1"/>
        <v>0.7950310559</v>
      </c>
      <c r="J581" s="82">
        <f t="shared" si="2"/>
        <v>0.5570934256</v>
      </c>
    </row>
    <row r="582">
      <c r="A582" s="101">
        <v>44684.0</v>
      </c>
      <c r="B582" s="111">
        <v>2369.0</v>
      </c>
      <c r="C582" s="111">
        <v>2.0</v>
      </c>
      <c r="D582" s="110" t="s">
        <v>228</v>
      </c>
      <c r="E582" s="111">
        <v>0.0</v>
      </c>
      <c r="F582" s="111">
        <v>1.1453</v>
      </c>
      <c r="G582" s="111">
        <v>0.6056</v>
      </c>
      <c r="H582" s="110" t="s">
        <v>280</v>
      </c>
      <c r="I582" s="112">
        <f t="shared" si="1"/>
        <v>0.8911822985</v>
      </c>
      <c r="J582" s="82">
        <f t="shared" si="2"/>
        <v>0.5287697546</v>
      </c>
    </row>
    <row r="583">
      <c r="A583" s="101">
        <v>44684.0</v>
      </c>
      <c r="B583" s="111">
        <v>2369.0</v>
      </c>
      <c r="C583" s="111">
        <v>3.0</v>
      </c>
      <c r="D583" s="110" t="s">
        <v>227</v>
      </c>
      <c r="E583" s="111">
        <v>1.0</v>
      </c>
      <c r="F583" s="111">
        <v>0.0982</v>
      </c>
      <c r="G583" s="111">
        <v>0.054</v>
      </c>
      <c r="H583" s="110" t="s">
        <v>280</v>
      </c>
      <c r="I583" s="112">
        <f t="shared" si="1"/>
        <v>0.8185185185</v>
      </c>
      <c r="J583" s="82">
        <f t="shared" si="2"/>
        <v>0.549898167</v>
      </c>
    </row>
    <row r="584">
      <c r="A584" s="101">
        <v>44684.0</v>
      </c>
      <c r="B584" s="111">
        <v>2369.0</v>
      </c>
      <c r="C584" s="111">
        <v>3.0</v>
      </c>
      <c r="D584" s="110" t="s">
        <v>228</v>
      </c>
      <c r="E584" s="111">
        <v>0.0</v>
      </c>
      <c r="F584" s="111">
        <v>1.3846</v>
      </c>
      <c r="G584" s="111">
        <v>0.7246</v>
      </c>
      <c r="H584" s="110" t="s">
        <v>280</v>
      </c>
      <c r="I584" s="112">
        <f t="shared" si="1"/>
        <v>0.9108473641</v>
      </c>
      <c r="J584" s="82">
        <f t="shared" si="2"/>
        <v>0.523328037</v>
      </c>
    </row>
    <row r="585">
      <c r="A585" s="101">
        <v>44684.0</v>
      </c>
      <c r="B585" s="111">
        <v>2369.0</v>
      </c>
      <c r="C585" s="111">
        <v>3.0</v>
      </c>
      <c r="D585" s="110" t="s">
        <v>227</v>
      </c>
      <c r="E585" s="111">
        <v>0.0</v>
      </c>
      <c r="F585" s="111">
        <v>0.2101</v>
      </c>
      <c r="G585" s="111">
        <v>0.1045</v>
      </c>
      <c r="H585" s="110" t="s">
        <v>280</v>
      </c>
      <c r="I585" s="112">
        <f t="shared" si="1"/>
        <v>1.010526316</v>
      </c>
      <c r="J585" s="82">
        <f t="shared" si="2"/>
        <v>0.497382199</v>
      </c>
    </row>
    <row r="586">
      <c r="A586" s="101">
        <v>44684.0</v>
      </c>
      <c r="B586" s="111">
        <v>2382.0</v>
      </c>
      <c r="C586" s="111">
        <v>1.0</v>
      </c>
      <c r="D586" s="110" t="s">
        <v>227</v>
      </c>
      <c r="E586" s="111">
        <v>1.0</v>
      </c>
      <c r="F586" s="111">
        <v>0.3527</v>
      </c>
      <c r="G586" s="111">
        <v>0.1926</v>
      </c>
      <c r="H586" s="110" t="s">
        <v>280</v>
      </c>
      <c r="I586" s="112">
        <f t="shared" si="1"/>
        <v>0.8312564901</v>
      </c>
      <c r="J586" s="82">
        <f t="shared" si="2"/>
        <v>0.54607315</v>
      </c>
    </row>
    <row r="587">
      <c r="A587" s="101">
        <v>44684.0</v>
      </c>
      <c r="B587" s="111">
        <v>2382.0</v>
      </c>
      <c r="C587" s="111">
        <v>1.0</v>
      </c>
      <c r="D587" s="110" t="s">
        <v>228</v>
      </c>
      <c r="E587" s="111">
        <v>0.0</v>
      </c>
      <c r="F587" s="111">
        <v>1.8023</v>
      </c>
      <c r="G587" s="111">
        <v>0.9798</v>
      </c>
      <c r="H587" s="110" t="s">
        <v>280</v>
      </c>
      <c r="I587" s="112">
        <f t="shared" si="1"/>
        <v>0.839457032</v>
      </c>
      <c r="J587" s="82">
        <f t="shared" si="2"/>
        <v>0.5436386839</v>
      </c>
    </row>
    <row r="588">
      <c r="A588" s="101">
        <v>44684.0</v>
      </c>
      <c r="B588" s="111">
        <v>2382.0</v>
      </c>
      <c r="C588" s="111">
        <v>1.0</v>
      </c>
      <c r="D588" s="110" t="s">
        <v>227</v>
      </c>
      <c r="E588" s="111">
        <v>0.0</v>
      </c>
      <c r="F588" s="111">
        <v>0.2761</v>
      </c>
      <c r="G588" s="111">
        <v>0.1407</v>
      </c>
      <c r="H588" s="110" t="s">
        <v>280</v>
      </c>
      <c r="I588" s="112">
        <f t="shared" si="1"/>
        <v>0.9623312011</v>
      </c>
      <c r="J588" s="82">
        <f t="shared" si="2"/>
        <v>0.5095979717</v>
      </c>
    </row>
    <row r="589">
      <c r="A589" s="101">
        <v>44684.0</v>
      </c>
      <c r="B589" s="111">
        <v>2382.0</v>
      </c>
      <c r="C589" s="111">
        <v>2.0</v>
      </c>
      <c r="D589" s="110" t="s">
        <v>228</v>
      </c>
      <c r="E589" s="111">
        <v>0.0</v>
      </c>
      <c r="F589" s="111">
        <v>1.7716</v>
      </c>
      <c r="G589" s="111">
        <v>0.9747</v>
      </c>
      <c r="H589" s="110" t="s">
        <v>280</v>
      </c>
      <c r="I589" s="112">
        <f t="shared" si="1"/>
        <v>0.8175848979</v>
      </c>
      <c r="J589" s="82">
        <f t="shared" si="2"/>
        <v>0.5501806277</v>
      </c>
    </row>
    <row r="590">
      <c r="A590" s="101">
        <v>44684.0</v>
      </c>
      <c r="B590" s="111">
        <v>2382.0</v>
      </c>
      <c r="C590" s="111">
        <v>2.0</v>
      </c>
      <c r="D590" s="110" t="s">
        <v>227</v>
      </c>
      <c r="E590" s="111">
        <v>1.0</v>
      </c>
      <c r="F590" s="111">
        <v>0.4173</v>
      </c>
      <c r="G590" s="111">
        <v>0.2272</v>
      </c>
      <c r="H590" s="110" t="s">
        <v>280</v>
      </c>
      <c r="I590" s="112">
        <f t="shared" si="1"/>
        <v>0.8367077465</v>
      </c>
      <c r="J590" s="82">
        <f t="shared" si="2"/>
        <v>0.5444524323</v>
      </c>
    </row>
    <row r="591">
      <c r="A591" s="101">
        <v>44684.0</v>
      </c>
      <c r="B591" s="111">
        <v>2382.0</v>
      </c>
      <c r="C591" s="111">
        <v>2.0</v>
      </c>
      <c r="D591" s="110" t="s">
        <v>227</v>
      </c>
      <c r="E591" s="111">
        <v>0.0</v>
      </c>
      <c r="F591" s="111">
        <v>0.1639</v>
      </c>
      <c r="G591" s="111">
        <v>0.0808</v>
      </c>
      <c r="H591" s="110" t="s">
        <v>280</v>
      </c>
      <c r="I591" s="112">
        <f t="shared" si="1"/>
        <v>1.028465347</v>
      </c>
      <c r="J591" s="82">
        <f t="shared" si="2"/>
        <v>0.4929835265</v>
      </c>
    </row>
    <row r="592">
      <c r="A592" s="101">
        <v>44684.0</v>
      </c>
      <c r="B592" s="111">
        <v>2382.0</v>
      </c>
      <c r="C592" s="111">
        <v>3.0</v>
      </c>
      <c r="D592" s="110" t="s">
        <v>228</v>
      </c>
      <c r="E592" s="111">
        <v>0.0</v>
      </c>
      <c r="F592" s="111">
        <v>0.7293</v>
      </c>
      <c r="G592" s="111">
        <v>0.3999</v>
      </c>
      <c r="H592" s="110" t="s">
        <v>280</v>
      </c>
      <c r="I592" s="112">
        <f t="shared" si="1"/>
        <v>0.8237059265</v>
      </c>
      <c r="J592" s="82">
        <f t="shared" si="2"/>
        <v>0.5483340189</v>
      </c>
    </row>
    <row r="593">
      <c r="A593" s="101">
        <v>44684.0</v>
      </c>
      <c r="B593" s="111">
        <v>2382.0</v>
      </c>
      <c r="C593" s="111">
        <v>3.0</v>
      </c>
      <c r="D593" s="110" t="s">
        <v>227</v>
      </c>
      <c r="E593" s="111">
        <v>1.0</v>
      </c>
      <c r="F593" s="111">
        <v>0.0587</v>
      </c>
      <c r="G593" s="111">
        <v>0.032</v>
      </c>
      <c r="H593" s="110" t="s">
        <v>280</v>
      </c>
      <c r="I593" s="112">
        <f t="shared" si="1"/>
        <v>0.834375</v>
      </c>
      <c r="J593" s="82">
        <f t="shared" si="2"/>
        <v>0.5451448041</v>
      </c>
    </row>
    <row r="594">
      <c r="A594" s="101">
        <v>44684.0</v>
      </c>
      <c r="B594" s="111">
        <v>2382.0</v>
      </c>
      <c r="C594" s="111">
        <v>3.0</v>
      </c>
      <c r="D594" s="110" t="s">
        <v>227</v>
      </c>
      <c r="E594" s="111">
        <v>0.0</v>
      </c>
      <c r="F594" s="111">
        <v>0.1564</v>
      </c>
      <c r="G594" s="111">
        <v>0.0791</v>
      </c>
      <c r="H594" s="110" t="s">
        <v>280</v>
      </c>
      <c r="I594" s="112">
        <f t="shared" si="1"/>
        <v>0.9772439949</v>
      </c>
      <c r="J594" s="82">
        <f t="shared" si="2"/>
        <v>0.5057544757</v>
      </c>
    </row>
    <row r="595">
      <c r="A595" s="101">
        <v>44684.0</v>
      </c>
      <c r="B595" s="111">
        <v>2384.0</v>
      </c>
      <c r="C595" s="111">
        <v>1.0</v>
      </c>
      <c r="D595" s="110" t="s">
        <v>227</v>
      </c>
      <c r="E595" s="111">
        <v>1.0</v>
      </c>
      <c r="F595" s="111">
        <v>0.6232</v>
      </c>
      <c r="G595" s="111">
        <v>0.3561</v>
      </c>
      <c r="H595" s="110" t="s">
        <v>280</v>
      </c>
      <c r="I595" s="112">
        <f t="shared" si="1"/>
        <v>0.750070205</v>
      </c>
      <c r="J595" s="82">
        <f t="shared" si="2"/>
        <v>0.5714056483</v>
      </c>
    </row>
    <row r="596">
      <c r="A596" s="101">
        <v>44684.0</v>
      </c>
      <c r="B596" s="111">
        <v>2384.0</v>
      </c>
      <c r="C596" s="111">
        <v>1.0</v>
      </c>
      <c r="D596" s="110" t="s">
        <v>228</v>
      </c>
      <c r="E596" s="111">
        <v>0.0</v>
      </c>
      <c r="F596" s="111">
        <v>1.0126</v>
      </c>
      <c r="G596" s="111">
        <v>0.5578</v>
      </c>
      <c r="H596" s="110" t="s">
        <v>280</v>
      </c>
      <c r="I596" s="112">
        <f t="shared" si="1"/>
        <v>0.8153460022</v>
      </c>
      <c r="J596" s="82">
        <f t="shared" si="2"/>
        <v>0.5508591744</v>
      </c>
    </row>
    <row r="597">
      <c r="A597" s="101">
        <v>44684.0</v>
      </c>
      <c r="B597" s="111">
        <v>2384.0</v>
      </c>
      <c r="C597" s="111">
        <v>1.0</v>
      </c>
      <c r="D597" s="110" t="s">
        <v>227</v>
      </c>
      <c r="E597" s="111">
        <v>0.0</v>
      </c>
      <c r="F597" s="111">
        <v>0.1131</v>
      </c>
      <c r="G597" s="111">
        <v>0.0555</v>
      </c>
      <c r="H597" s="110" t="s">
        <v>280</v>
      </c>
      <c r="I597" s="112">
        <f t="shared" si="1"/>
        <v>1.037837838</v>
      </c>
      <c r="J597" s="82">
        <f t="shared" si="2"/>
        <v>0.4907161804</v>
      </c>
    </row>
    <row r="598">
      <c r="A598" s="101">
        <v>44684.0</v>
      </c>
      <c r="B598" s="111">
        <v>2384.0</v>
      </c>
      <c r="C598" s="111">
        <v>2.0</v>
      </c>
      <c r="D598" s="110" t="s">
        <v>227</v>
      </c>
      <c r="E598" s="111">
        <v>1.0</v>
      </c>
      <c r="F598" s="111">
        <v>0.1245</v>
      </c>
      <c r="G598" s="111">
        <v>0.0697</v>
      </c>
      <c r="H598" s="110" t="s">
        <v>280</v>
      </c>
      <c r="I598" s="112">
        <f t="shared" si="1"/>
        <v>0.7862266858</v>
      </c>
      <c r="J598" s="82">
        <f t="shared" si="2"/>
        <v>0.5598393574</v>
      </c>
    </row>
    <row r="599">
      <c r="A599" s="101">
        <v>44684.0</v>
      </c>
      <c r="B599" s="111">
        <v>2384.0</v>
      </c>
      <c r="C599" s="111">
        <v>2.0</v>
      </c>
      <c r="D599" s="110" t="s">
        <v>228</v>
      </c>
      <c r="E599" s="111">
        <v>0.0</v>
      </c>
      <c r="F599" s="111">
        <v>0.7331</v>
      </c>
      <c r="G599" s="111">
        <v>0.401</v>
      </c>
      <c r="H599" s="110" t="s">
        <v>280</v>
      </c>
      <c r="I599" s="112">
        <f t="shared" si="1"/>
        <v>0.8281795511</v>
      </c>
      <c r="J599" s="82">
        <f t="shared" si="2"/>
        <v>0.5469922248</v>
      </c>
    </row>
    <row r="600">
      <c r="A600" s="101">
        <v>44684.0</v>
      </c>
      <c r="B600" s="111">
        <v>2384.0</v>
      </c>
      <c r="C600" s="111">
        <v>2.0</v>
      </c>
      <c r="D600" s="110" t="s">
        <v>227</v>
      </c>
      <c r="E600" s="111">
        <v>0.0</v>
      </c>
      <c r="F600" s="111">
        <v>0.0663</v>
      </c>
      <c r="G600" s="111">
        <v>0.0337</v>
      </c>
      <c r="H600" s="110" t="s">
        <v>280</v>
      </c>
      <c r="I600" s="112">
        <f t="shared" si="1"/>
        <v>0.9673590504</v>
      </c>
      <c r="J600" s="82">
        <f t="shared" si="2"/>
        <v>0.5082956259</v>
      </c>
    </row>
    <row r="601">
      <c r="A601" s="101">
        <v>44684.0</v>
      </c>
      <c r="B601" s="111">
        <v>2384.0</v>
      </c>
      <c r="C601" s="111">
        <v>3.0</v>
      </c>
      <c r="D601" s="110" t="s">
        <v>227</v>
      </c>
      <c r="E601" s="111">
        <v>1.0</v>
      </c>
      <c r="F601" s="111">
        <v>0.3968</v>
      </c>
      <c r="G601" s="111">
        <v>0.2147</v>
      </c>
      <c r="H601" s="110" t="s">
        <v>280</v>
      </c>
      <c r="I601" s="112">
        <f t="shared" si="1"/>
        <v>0.8481602236</v>
      </c>
      <c r="J601" s="82">
        <f t="shared" si="2"/>
        <v>0.541078629</v>
      </c>
    </row>
    <row r="602">
      <c r="A602" s="101">
        <v>44684.0</v>
      </c>
      <c r="B602" s="111">
        <v>2384.0</v>
      </c>
      <c r="C602" s="111">
        <v>3.0</v>
      </c>
      <c r="D602" s="110" t="s">
        <v>228</v>
      </c>
      <c r="E602" s="111">
        <v>0.0</v>
      </c>
      <c r="F602" s="111">
        <v>0.772</v>
      </c>
      <c r="G602" s="111">
        <v>0.4129</v>
      </c>
      <c r="H602" s="110" t="s">
        <v>280</v>
      </c>
      <c r="I602" s="112">
        <f t="shared" si="1"/>
        <v>0.869702107</v>
      </c>
      <c r="J602" s="82">
        <f t="shared" si="2"/>
        <v>0.5348445596</v>
      </c>
    </row>
    <row r="603">
      <c r="A603" s="101">
        <v>44684.0</v>
      </c>
      <c r="B603" s="111">
        <v>2384.0</v>
      </c>
      <c r="C603" s="111">
        <v>3.0</v>
      </c>
      <c r="D603" s="110" t="s">
        <v>227</v>
      </c>
      <c r="E603" s="111">
        <v>0.0</v>
      </c>
      <c r="F603" s="111">
        <v>0.1242</v>
      </c>
      <c r="G603" s="111">
        <v>0.0606</v>
      </c>
      <c r="H603" s="110" t="s">
        <v>280</v>
      </c>
      <c r="I603" s="112">
        <f t="shared" si="1"/>
        <v>1.04950495</v>
      </c>
      <c r="J603" s="82">
        <f t="shared" si="2"/>
        <v>0.4879227053</v>
      </c>
    </row>
    <row r="604">
      <c r="A604" s="101">
        <v>44684.0</v>
      </c>
      <c r="B604" s="111">
        <v>2434.0</v>
      </c>
      <c r="C604" s="111">
        <v>2.0</v>
      </c>
      <c r="D604" s="110" t="s">
        <v>228</v>
      </c>
      <c r="E604" s="111">
        <v>0.0</v>
      </c>
      <c r="F604" s="111">
        <v>1.6221</v>
      </c>
      <c r="G604" s="111">
        <v>0.8433</v>
      </c>
      <c r="H604" s="110" t="s">
        <v>280</v>
      </c>
      <c r="I604" s="112">
        <f t="shared" si="1"/>
        <v>0.9235147634</v>
      </c>
      <c r="J604" s="82">
        <f t="shared" si="2"/>
        <v>0.5198816349</v>
      </c>
    </row>
    <row r="605">
      <c r="A605" s="101">
        <v>44685.0</v>
      </c>
      <c r="B605" s="111">
        <v>2010.0</v>
      </c>
      <c r="C605" s="111">
        <v>1.0</v>
      </c>
      <c r="D605" s="110" t="s">
        <v>227</v>
      </c>
      <c r="E605" s="111">
        <v>1.0</v>
      </c>
      <c r="F605" s="111">
        <v>0.2059</v>
      </c>
      <c r="G605" s="111">
        <v>0.1088</v>
      </c>
      <c r="H605" s="110" t="s">
        <v>280</v>
      </c>
      <c r="I605" s="112">
        <f t="shared" si="1"/>
        <v>0.8924632353</v>
      </c>
      <c r="J605" s="82">
        <f t="shared" si="2"/>
        <v>0.5284118504</v>
      </c>
    </row>
    <row r="606">
      <c r="A606" s="101">
        <v>44685.0</v>
      </c>
      <c r="B606" s="111">
        <v>2011.0</v>
      </c>
      <c r="C606" s="111">
        <v>1.0</v>
      </c>
      <c r="D606" s="110" t="s">
        <v>228</v>
      </c>
      <c r="E606" s="111">
        <v>0.0</v>
      </c>
      <c r="F606" s="111">
        <v>0.7551</v>
      </c>
      <c r="G606" s="111">
        <v>0.3743</v>
      </c>
      <c r="H606" s="110" t="s">
        <v>280</v>
      </c>
      <c r="I606" s="112">
        <f t="shared" si="1"/>
        <v>1.017365749</v>
      </c>
      <c r="J606" s="82">
        <f t="shared" si="2"/>
        <v>0.4956959343</v>
      </c>
    </row>
    <row r="607">
      <c r="A607" s="101">
        <v>44685.0</v>
      </c>
      <c r="B607" s="111">
        <v>2011.0</v>
      </c>
      <c r="C607" s="111">
        <v>1.0</v>
      </c>
      <c r="D607" s="110" t="s">
        <v>227</v>
      </c>
      <c r="E607" s="111">
        <v>1.0</v>
      </c>
      <c r="F607" s="111">
        <v>0.1023</v>
      </c>
      <c r="G607" s="111">
        <v>0.0491</v>
      </c>
      <c r="H607" s="110" t="s">
        <v>280</v>
      </c>
      <c r="I607" s="112">
        <f t="shared" si="1"/>
        <v>1.083503055</v>
      </c>
      <c r="J607" s="82">
        <f t="shared" si="2"/>
        <v>0.4799608993</v>
      </c>
    </row>
    <row r="608">
      <c r="A608" s="101">
        <v>44685.0</v>
      </c>
      <c r="B608" s="111">
        <v>2011.0</v>
      </c>
      <c r="C608" s="111">
        <v>1.0</v>
      </c>
      <c r="D608" s="110" t="s">
        <v>227</v>
      </c>
      <c r="E608" s="111">
        <v>0.0</v>
      </c>
      <c r="F608" s="111">
        <v>0.0936</v>
      </c>
      <c r="G608" s="111">
        <v>0.0399</v>
      </c>
      <c r="H608" s="110" t="s">
        <v>280</v>
      </c>
      <c r="I608" s="112">
        <f t="shared" si="1"/>
        <v>1.345864662</v>
      </c>
      <c r="J608" s="82">
        <f t="shared" si="2"/>
        <v>0.4262820513</v>
      </c>
    </row>
    <row r="609">
      <c r="A609" s="101">
        <v>44685.0</v>
      </c>
      <c r="B609" s="111">
        <v>2011.0</v>
      </c>
      <c r="C609" s="111">
        <v>2.0</v>
      </c>
      <c r="D609" s="110" t="s">
        <v>228</v>
      </c>
      <c r="E609" s="111">
        <v>0.0</v>
      </c>
      <c r="F609" s="111">
        <v>0.7998</v>
      </c>
      <c r="G609" s="111">
        <v>0.4103</v>
      </c>
      <c r="H609" s="110" t="s">
        <v>280</v>
      </c>
      <c r="I609" s="112">
        <f t="shared" si="1"/>
        <v>0.9493053863</v>
      </c>
      <c r="J609" s="82">
        <f t="shared" si="2"/>
        <v>0.5130032508</v>
      </c>
    </row>
    <row r="610">
      <c r="A610" s="101">
        <v>44685.0</v>
      </c>
      <c r="B610" s="111">
        <v>2011.0</v>
      </c>
      <c r="C610" s="111">
        <v>2.0</v>
      </c>
      <c r="D610" s="110" t="s">
        <v>227</v>
      </c>
      <c r="E610" s="111">
        <v>1.0</v>
      </c>
      <c r="F610" s="111">
        <v>0.1144</v>
      </c>
      <c r="G610" s="111">
        <v>0.0578</v>
      </c>
      <c r="H610" s="110" t="s">
        <v>280</v>
      </c>
      <c r="I610" s="112">
        <f t="shared" si="1"/>
        <v>0.9792387543</v>
      </c>
      <c r="J610" s="82">
        <f t="shared" si="2"/>
        <v>0.5052447552</v>
      </c>
    </row>
    <row r="611">
      <c r="A611" s="101">
        <v>44685.0</v>
      </c>
      <c r="B611" s="111">
        <v>2011.0</v>
      </c>
      <c r="C611" s="111">
        <v>2.0</v>
      </c>
      <c r="D611" s="110" t="s">
        <v>227</v>
      </c>
      <c r="E611" s="111">
        <v>0.0</v>
      </c>
      <c r="F611" s="111">
        <v>0.1137</v>
      </c>
      <c r="G611" s="111">
        <v>0.0524</v>
      </c>
      <c r="H611" s="110" t="s">
        <v>280</v>
      </c>
      <c r="I611" s="112">
        <f t="shared" si="1"/>
        <v>1.169847328</v>
      </c>
      <c r="J611" s="82">
        <f t="shared" si="2"/>
        <v>0.4608619173</v>
      </c>
    </row>
    <row r="612">
      <c r="A612" s="101">
        <v>44685.0</v>
      </c>
      <c r="B612" s="111">
        <v>2011.0</v>
      </c>
      <c r="C612" s="111">
        <v>3.0</v>
      </c>
      <c r="D612" s="110" t="s">
        <v>228</v>
      </c>
      <c r="E612" s="111">
        <v>0.0</v>
      </c>
      <c r="F612" s="111">
        <v>0.6026</v>
      </c>
      <c r="G612" s="111">
        <v>0.3132</v>
      </c>
      <c r="H612" s="110" t="s">
        <v>280</v>
      </c>
      <c r="I612" s="112">
        <f t="shared" si="1"/>
        <v>0.9240102171</v>
      </c>
      <c r="J612" s="82">
        <f t="shared" si="2"/>
        <v>0.5197477597</v>
      </c>
    </row>
    <row r="613">
      <c r="A613" s="101">
        <v>44685.0</v>
      </c>
      <c r="B613" s="111">
        <v>2011.0</v>
      </c>
      <c r="C613" s="111">
        <v>3.0</v>
      </c>
      <c r="D613" s="110" t="s">
        <v>227</v>
      </c>
      <c r="E613" s="111">
        <v>1.0</v>
      </c>
      <c r="F613" s="111">
        <v>0.1331</v>
      </c>
      <c r="G613" s="111">
        <v>0.0659</v>
      </c>
      <c r="H613" s="110" t="s">
        <v>280</v>
      </c>
      <c r="I613" s="112">
        <f t="shared" si="1"/>
        <v>1.019726859</v>
      </c>
      <c r="J613" s="82">
        <f t="shared" si="2"/>
        <v>0.4951164538</v>
      </c>
    </row>
    <row r="614">
      <c r="A614" s="101">
        <v>44685.0</v>
      </c>
      <c r="B614" s="111">
        <v>2011.0</v>
      </c>
      <c r="C614" s="111">
        <v>3.0</v>
      </c>
      <c r="D614" s="110" t="s">
        <v>227</v>
      </c>
      <c r="E614" s="111">
        <v>0.0</v>
      </c>
      <c r="F614" s="111">
        <v>0.0824</v>
      </c>
      <c r="G614" s="111">
        <v>0.0364</v>
      </c>
      <c r="H614" s="110" t="s">
        <v>280</v>
      </c>
      <c r="I614" s="112">
        <f t="shared" si="1"/>
        <v>1.263736264</v>
      </c>
      <c r="J614" s="82">
        <f t="shared" si="2"/>
        <v>0.4417475728</v>
      </c>
    </row>
    <row r="615">
      <c r="A615" s="101">
        <v>44685.0</v>
      </c>
      <c r="B615" s="111">
        <v>2301.0</v>
      </c>
      <c r="C615" s="111">
        <v>1.0</v>
      </c>
      <c r="D615" s="110" t="s">
        <v>228</v>
      </c>
      <c r="E615" s="111">
        <v>1.0</v>
      </c>
      <c r="F615" s="111">
        <v>2.6315</v>
      </c>
      <c r="G615" s="111">
        <v>1.5956</v>
      </c>
      <c r="H615" s="110" t="s">
        <v>280</v>
      </c>
      <c r="I615" s="112">
        <f t="shared" si="1"/>
        <v>0.6492228629</v>
      </c>
      <c r="J615" s="82">
        <f t="shared" si="2"/>
        <v>0.6063461904</v>
      </c>
    </row>
    <row r="616">
      <c r="A616" s="101">
        <v>44685.0</v>
      </c>
      <c r="B616" s="111">
        <v>2301.0</v>
      </c>
      <c r="C616" s="111">
        <v>1.0</v>
      </c>
      <c r="D616" s="110" t="s">
        <v>227</v>
      </c>
      <c r="E616" s="111">
        <v>1.0</v>
      </c>
      <c r="F616" s="111">
        <v>0.5862</v>
      </c>
      <c r="G616" s="111">
        <v>0.3087</v>
      </c>
      <c r="H616" s="110" t="s">
        <v>280</v>
      </c>
      <c r="I616" s="112">
        <f t="shared" si="1"/>
        <v>0.898931001</v>
      </c>
      <c r="J616" s="82">
        <f t="shared" si="2"/>
        <v>0.5266120778</v>
      </c>
    </row>
    <row r="617">
      <c r="A617" s="101">
        <v>44685.0</v>
      </c>
      <c r="B617" s="111">
        <v>2301.0</v>
      </c>
      <c r="C617" s="111">
        <v>2.0</v>
      </c>
      <c r="D617" s="110" t="s">
        <v>228</v>
      </c>
      <c r="E617" s="111">
        <v>1.0</v>
      </c>
      <c r="F617" s="111">
        <v>1.6757</v>
      </c>
      <c r="G617" s="111">
        <v>0.9784</v>
      </c>
      <c r="H617" s="110" t="s">
        <v>280</v>
      </c>
      <c r="I617" s="112">
        <f t="shared" si="1"/>
        <v>0.7126941946</v>
      </c>
      <c r="J617" s="82">
        <f t="shared" si="2"/>
        <v>0.5838753954</v>
      </c>
    </row>
    <row r="618">
      <c r="A618" s="101">
        <v>44685.0</v>
      </c>
      <c r="B618" s="111">
        <v>2301.0</v>
      </c>
      <c r="C618" s="111">
        <v>2.0</v>
      </c>
      <c r="D618" s="110" t="s">
        <v>227</v>
      </c>
      <c r="E618" s="111">
        <v>1.0</v>
      </c>
      <c r="F618" s="111">
        <v>0.2107</v>
      </c>
      <c r="G618" s="111">
        <v>0.1085</v>
      </c>
      <c r="H618" s="110" t="s">
        <v>280</v>
      </c>
      <c r="I618" s="112">
        <f t="shared" si="1"/>
        <v>0.9419354839</v>
      </c>
      <c r="J618" s="82">
        <f t="shared" si="2"/>
        <v>0.5149501661</v>
      </c>
    </row>
    <row r="619">
      <c r="A619" s="101">
        <v>44685.0</v>
      </c>
      <c r="B619" s="111">
        <v>2301.0</v>
      </c>
      <c r="C619" s="111">
        <v>3.0</v>
      </c>
      <c r="D619" s="110" t="s">
        <v>228</v>
      </c>
      <c r="E619" s="111">
        <v>1.0</v>
      </c>
      <c r="F619" s="111">
        <v>2.3647</v>
      </c>
      <c r="G619" s="111">
        <v>1.4143</v>
      </c>
      <c r="H619" s="110" t="s">
        <v>280</v>
      </c>
      <c r="I619" s="112">
        <f t="shared" si="1"/>
        <v>0.6719932122</v>
      </c>
      <c r="J619" s="82">
        <f t="shared" si="2"/>
        <v>0.5980885525</v>
      </c>
    </row>
    <row r="620">
      <c r="A620" s="101">
        <v>44685.0</v>
      </c>
      <c r="B620" s="111">
        <v>2301.0</v>
      </c>
      <c r="C620" s="111">
        <v>3.0</v>
      </c>
      <c r="D620" s="110" t="s">
        <v>227</v>
      </c>
      <c r="E620" s="111">
        <v>1.0</v>
      </c>
      <c r="F620" s="111">
        <v>0.2319</v>
      </c>
      <c r="G620" s="111">
        <v>0.123</v>
      </c>
      <c r="H620" s="110" t="s">
        <v>280</v>
      </c>
      <c r="I620" s="112">
        <f t="shared" si="1"/>
        <v>0.8853658537</v>
      </c>
      <c r="J620" s="82">
        <f t="shared" si="2"/>
        <v>0.5304010349</v>
      </c>
    </row>
    <row r="621">
      <c r="A621" s="101">
        <v>44685.0</v>
      </c>
      <c r="B621" s="111">
        <v>2331.0</v>
      </c>
      <c r="C621" s="111">
        <v>1.0</v>
      </c>
      <c r="D621" s="110" t="s">
        <v>228</v>
      </c>
      <c r="E621" s="111">
        <v>1.0</v>
      </c>
      <c r="F621" s="111">
        <v>1.9995</v>
      </c>
      <c r="G621" s="111">
        <v>1.2164</v>
      </c>
      <c r="H621" s="110" t="s">
        <v>280</v>
      </c>
      <c r="I621" s="112">
        <f t="shared" si="1"/>
        <v>0.6437849392</v>
      </c>
      <c r="J621" s="82">
        <f t="shared" si="2"/>
        <v>0.608352088</v>
      </c>
    </row>
    <row r="622">
      <c r="A622" s="101">
        <v>44685.0</v>
      </c>
      <c r="B622" s="111">
        <v>2331.0</v>
      </c>
      <c r="C622" s="111">
        <v>1.0</v>
      </c>
      <c r="D622" s="110" t="s">
        <v>227</v>
      </c>
      <c r="E622" s="111">
        <v>1.0</v>
      </c>
      <c r="F622" s="111">
        <v>0.3237</v>
      </c>
      <c r="G622" s="111">
        <v>0.1932</v>
      </c>
      <c r="H622" s="110" t="s">
        <v>280</v>
      </c>
      <c r="I622" s="112">
        <f t="shared" si="1"/>
        <v>0.6754658385</v>
      </c>
      <c r="J622" s="82">
        <f t="shared" si="2"/>
        <v>0.5968489342</v>
      </c>
    </row>
    <row r="623">
      <c r="A623" s="101">
        <v>44685.0</v>
      </c>
      <c r="B623" s="111">
        <v>2331.0</v>
      </c>
      <c r="C623" s="111">
        <v>2.0</v>
      </c>
      <c r="D623" s="110" t="s">
        <v>228</v>
      </c>
      <c r="E623" s="111">
        <v>1.0</v>
      </c>
      <c r="F623" s="111">
        <v>1.0574</v>
      </c>
      <c r="G623" s="111">
        <v>0.6598</v>
      </c>
      <c r="H623" s="110" t="s">
        <v>280</v>
      </c>
      <c r="I623" s="112">
        <f t="shared" si="1"/>
        <v>0.6026068506</v>
      </c>
      <c r="J623" s="82">
        <f t="shared" si="2"/>
        <v>0.6239833554</v>
      </c>
    </row>
    <row r="624">
      <c r="A624" s="101">
        <v>44685.0</v>
      </c>
      <c r="B624" s="111">
        <v>2331.0</v>
      </c>
      <c r="C624" s="111">
        <v>2.0</v>
      </c>
      <c r="D624" s="110" t="s">
        <v>227</v>
      </c>
      <c r="E624" s="111">
        <v>1.0</v>
      </c>
      <c r="F624" s="111">
        <v>0.2737</v>
      </c>
      <c r="G624" s="111">
        <v>0.1513</v>
      </c>
      <c r="H624" s="110" t="s">
        <v>280</v>
      </c>
      <c r="I624" s="112">
        <f t="shared" si="1"/>
        <v>0.808988764</v>
      </c>
      <c r="J624" s="82">
        <f t="shared" si="2"/>
        <v>0.5527950311</v>
      </c>
    </row>
    <row r="625">
      <c r="A625" s="101">
        <v>44685.0</v>
      </c>
      <c r="B625" s="111">
        <v>2331.0</v>
      </c>
      <c r="C625" s="111">
        <v>2.0</v>
      </c>
      <c r="D625" s="110" t="s">
        <v>228</v>
      </c>
      <c r="E625" s="111">
        <v>0.0</v>
      </c>
      <c r="F625" s="111">
        <v>0.196</v>
      </c>
      <c r="G625" s="111">
        <v>0.1068</v>
      </c>
      <c r="H625" s="110" t="s">
        <v>280</v>
      </c>
      <c r="I625" s="112">
        <f t="shared" si="1"/>
        <v>0.8352059925</v>
      </c>
      <c r="J625" s="82">
        <f t="shared" si="2"/>
        <v>0.5448979592</v>
      </c>
    </row>
    <row r="626">
      <c r="A626" s="101">
        <v>44685.0</v>
      </c>
      <c r="B626" s="111">
        <v>2331.0</v>
      </c>
      <c r="C626" s="111">
        <v>2.0</v>
      </c>
      <c r="D626" s="110" t="s">
        <v>227</v>
      </c>
      <c r="E626" s="111">
        <v>0.0</v>
      </c>
      <c r="F626" s="111">
        <v>0.0499</v>
      </c>
      <c r="G626" s="111">
        <v>0.0202</v>
      </c>
      <c r="H626" s="110" t="s">
        <v>280</v>
      </c>
      <c r="I626" s="112">
        <f t="shared" si="1"/>
        <v>1.47029703</v>
      </c>
      <c r="J626" s="82">
        <f t="shared" si="2"/>
        <v>0.4048096192</v>
      </c>
    </row>
    <row r="627">
      <c r="A627" s="101">
        <v>44685.0</v>
      </c>
      <c r="B627" s="111">
        <v>2331.0</v>
      </c>
      <c r="C627" s="111">
        <v>3.0</v>
      </c>
      <c r="D627" s="110" t="s">
        <v>228</v>
      </c>
      <c r="E627" s="111">
        <v>1.0</v>
      </c>
      <c r="F627" s="111">
        <v>1.6048</v>
      </c>
      <c r="G627" s="111">
        <v>1.0087</v>
      </c>
      <c r="H627" s="110" t="s">
        <v>280</v>
      </c>
      <c r="I627" s="112">
        <f t="shared" si="1"/>
        <v>0.5909586597</v>
      </c>
      <c r="J627" s="82">
        <f t="shared" si="2"/>
        <v>0.6285518445</v>
      </c>
    </row>
    <row r="628">
      <c r="A628" s="101">
        <v>44685.0</v>
      </c>
      <c r="B628" s="111">
        <v>2331.0</v>
      </c>
      <c r="C628" s="111">
        <v>3.0</v>
      </c>
      <c r="D628" s="110" t="s">
        <v>227</v>
      </c>
      <c r="E628" s="111">
        <v>1.0</v>
      </c>
      <c r="F628" s="111">
        <v>0.2568</v>
      </c>
      <c r="G628" s="111">
        <v>0.1482</v>
      </c>
      <c r="H628" s="110" t="s">
        <v>280</v>
      </c>
      <c r="I628" s="112">
        <f t="shared" si="1"/>
        <v>0.7327935223</v>
      </c>
      <c r="J628" s="82">
        <f t="shared" si="2"/>
        <v>0.5771028037</v>
      </c>
    </row>
    <row r="629">
      <c r="A629" s="101">
        <v>44685.0</v>
      </c>
      <c r="B629" s="111">
        <v>2343.0</v>
      </c>
      <c r="C629" s="111">
        <v>3.0</v>
      </c>
      <c r="D629" s="110" t="s">
        <v>228</v>
      </c>
      <c r="E629" s="111">
        <v>0.0</v>
      </c>
      <c r="F629" s="111">
        <v>1.3416</v>
      </c>
      <c r="G629" s="111">
        <v>0.6849</v>
      </c>
      <c r="H629" s="110" t="s">
        <v>280</v>
      </c>
      <c r="I629" s="112">
        <f t="shared" si="1"/>
        <v>0.958826106</v>
      </c>
      <c r="J629" s="82">
        <f t="shared" si="2"/>
        <v>0.510509839</v>
      </c>
    </row>
    <row r="630">
      <c r="A630" s="101">
        <v>44685.0</v>
      </c>
      <c r="B630" s="111">
        <v>2343.0</v>
      </c>
      <c r="C630" s="111">
        <v>3.0</v>
      </c>
      <c r="D630" s="110" t="s">
        <v>227</v>
      </c>
      <c r="E630" s="111">
        <v>1.0</v>
      </c>
      <c r="F630" s="111">
        <v>0.373</v>
      </c>
      <c r="G630" s="111">
        <v>0.1904</v>
      </c>
      <c r="H630" s="110" t="s">
        <v>280</v>
      </c>
      <c r="I630" s="112">
        <f t="shared" si="1"/>
        <v>0.9590336134</v>
      </c>
      <c r="J630" s="82">
        <f t="shared" si="2"/>
        <v>0.5104557641</v>
      </c>
    </row>
    <row r="631">
      <c r="A631" s="101">
        <v>44685.0</v>
      </c>
      <c r="B631" s="111">
        <v>2343.0</v>
      </c>
      <c r="C631" s="111">
        <v>3.0</v>
      </c>
      <c r="D631" s="110" t="s">
        <v>227</v>
      </c>
      <c r="E631" s="111">
        <v>0.0</v>
      </c>
      <c r="F631" s="111">
        <v>0.0773</v>
      </c>
      <c r="G631" s="111">
        <v>0.0359</v>
      </c>
      <c r="H631" s="110" t="s">
        <v>280</v>
      </c>
      <c r="I631" s="112">
        <f t="shared" si="1"/>
        <v>1.153203343</v>
      </c>
      <c r="J631" s="82">
        <f t="shared" si="2"/>
        <v>0.4644243208</v>
      </c>
    </row>
    <row r="632">
      <c r="A632" s="101">
        <v>44685.0</v>
      </c>
      <c r="B632" s="111">
        <v>2345.0</v>
      </c>
      <c r="C632" s="111">
        <v>1.0</v>
      </c>
      <c r="D632" s="110" t="s">
        <v>228</v>
      </c>
      <c r="E632" s="111">
        <v>1.0</v>
      </c>
      <c r="F632" s="111">
        <v>0.9864</v>
      </c>
      <c r="G632" s="111">
        <v>0.5879</v>
      </c>
      <c r="H632" s="110" t="s">
        <v>280</v>
      </c>
      <c r="I632" s="112">
        <f t="shared" si="1"/>
        <v>0.6778363667</v>
      </c>
      <c r="J632" s="82">
        <f t="shared" si="2"/>
        <v>0.5960056772</v>
      </c>
    </row>
    <row r="633">
      <c r="A633" s="101">
        <v>44685.0</v>
      </c>
      <c r="B633" s="111">
        <v>2345.0</v>
      </c>
      <c r="C633" s="111">
        <v>1.0</v>
      </c>
      <c r="D633" s="110" t="s">
        <v>227</v>
      </c>
      <c r="E633" s="111">
        <v>1.0</v>
      </c>
      <c r="F633" s="111">
        <v>0.3142</v>
      </c>
      <c r="G633" s="111">
        <v>0.1719</v>
      </c>
      <c r="H633" s="110" t="s">
        <v>280</v>
      </c>
      <c r="I633" s="112">
        <f t="shared" si="1"/>
        <v>0.8278068645</v>
      </c>
      <c r="J633" s="82">
        <f t="shared" si="2"/>
        <v>0.5471037556</v>
      </c>
    </row>
    <row r="634">
      <c r="A634" s="101">
        <v>44685.0</v>
      </c>
      <c r="B634" s="111">
        <v>2345.0</v>
      </c>
      <c r="C634" s="111">
        <v>2.0</v>
      </c>
      <c r="D634" s="110" t="s">
        <v>228</v>
      </c>
      <c r="E634" s="111">
        <v>1.0</v>
      </c>
      <c r="F634" s="111">
        <v>1.3682</v>
      </c>
      <c r="G634" s="111">
        <v>0.8126</v>
      </c>
      <c r="H634" s="110" t="s">
        <v>280</v>
      </c>
      <c r="I634" s="112">
        <f t="shared" si="1"/>
        <v>0.6837312331</v>
      </c>
      <c r="J634" s="82">
        <f t="shared" si="2"/>
        <v>0.5939190177</v>
      </c>
    </row>
    <row r="635">
      <c r="A635" s="101">
        <v>44685.0</v>
      </c>
      <c r="B635" s="111">
        <v>2345.0</v>
      </c>
      <c r="C635" s="111">
        <v>2.0</v>
      </c>
      <c r="D635" s="110" t="s">
        <v>227</v>
      </c>
      <c r="E635" s="111">
        <v>1.0</v>
      </c>
      <c r="F635" s="111">
        <v>0.3434</v>
      </c>
      <c r="G635" s="111">
        <v>0.1907</v>
      </c>
      <c r="H635" s="110" t="s">
        <v>280</v>
      </c>
      <c r="I635" s="112">
        <f t="shared" si="1"/>
        <v>0.8007341374</v>
      </c>
      <c r="J635" s="82">
        <f t="shared" si="2"/>
        <v>0.5553290623</v>
      </c>
    </row>
    <row r="636">
      <c r="A636" s="101">
        <v>44685.0</v>
      </c>
      <c r="B636" s="111">
        <v>2345.0</v>
      </c>
      <c r="C636" s="111">
        <v>3.0</v>
      </c>
      <c r="D636" s="110" t="s">
        <v>227</v>
      </c>
      <c r="E636" s="111">
        <v>1.0</v>
      </c>
      <c r="F636" s="111">
        <v>0.1953</v>
      </c>
      <c r="G636" s="111">
        <v>0.1118</v>
      </c>
      <c r="H636" s="110" t="s">
        <v>280</v>
      </c>
      <c r="I636" s="112">
        <f t="shared" si="1"/>
        <v>0.7468694097</v>
      </c>
      <c r="J636" s="82">
        <f t="shared" si="2"/>
        <v>0.572452637</v>
      </c>
    </row>
    <row r="637">
      <c r="A637" s="101">
        <v>44685.0</v>
      </c>
      <c r="B637" s="111">
        <v>2345.0</v>
      </c>
      <c r="C637" s="111">
        <v>3.0</v>
      </c>
      <c r="D637" s="110" t="s">
        <v>228</v>
      </c>
      <c r="E637" s="111">
        <v>1.0</v>
      </c>
      <c r="F637" s="111">
        <v>0.9794</v>
      </c>
      <c r="G637" s="111">
        <v>0.4723</v>
      </c>
      <c r="H637" s="110" t="s">
        <v>280</v>
      </c>
      <c r="I637" s="112">
        <f t="shared" si="1"/>
        <v>1.073681982</v>
      </c>
      <c r="J637" s="82">
        <f t="shared" si="2"/>
        <v>0.4822340208</v>
      </c>
    </row>
    <row r="638">
      <c r="A638" s="101">
        <v>44685.0</v>
      </c>
      <c r="B638" s="111">
        <v>2346.0</v>
      </c>
      <c r="C638" s="111">
        <v>3.0</v>
      </c>
      <c r="D638" s="110" t="s">
        <v>228</v>
      </c>
      <c r="E638" s="111">
        <v>0.0</v>
      </c>
      <c r="F638" s="111">
        <v>0.5437</v>
      </c>
      <c r="G638" s="111">
        <v>0.2774</v>
      </c>
      <c r="H638" s="110" t="s">
        <v>280</v>
      </c>
      <c r="I638" s="112">
        <f t="shared" si="1"/>
        <v>0.9599855804</v>
      </c>
      <c r="J638" s="82">
        <f t="shared" si="2"/>
        <v>0.5102078352</v>
      </c>
    </row>
    <row r="639">
      <c r="A639" s="101">
        <v>44685.0</v>
      </c>
      <c r="B639" s="111">
        <v>2352.0</v>
      </c>
      <c r="C639" s="111">
        <v>1.0</v>
      </c>
      <c r="D639" s="110" t="s">
        <v>228</v>
      </c>
      <c r="E639" s="111">
        <v>1.0</v>
      </c>
      <c r="F639" s="111">
        <v>0.563</v>
      </c>
      <c r="G639" s="111">
        <v>0.3534</v>
      </c>
      <c r="H639" s="110" t="s">
        <v>280</v>
      </c>
      <c r="I639" s="112">
        <f t="shared" si="1"/>
        <v>0.5930956423</v>
      </c>
      <c r="J639" s="82">
        <f t="shared" si="2"/>
        <v>0.6277087034</v>
      </c>
    </row>
    <row r="640">
      <c r="A640" s="101">
        <v>44685.0</v>
      </c>
      <c r="B640" s="111">
        <v>2352.0</v>
      </c>
      <c r="C640" s="111">
        <v>1.0</v>
      </c>
      <c r="D640" s="110" t="s">
        <v>227</v>
      </c>
      <c r="E640" s="111">
        <v>1.0</v>
      </c>
      <c r="F640" s="111">
        <v>0.1941</v>
      </c>
      <c r="G640" s="111">
        <v>0.1096</v>
      </c>
      <c r="H640" s="110" t="s">
        <v>280</v>
      </c>
      <c r="I640" s="112">
        <f t="shared" si="1"/>
        <v>0.7709854015</v>
      </c>
      <c r="J640" s="82">
        <f t="shared" si="2"/>
        <v>0.5646573931</v>
      </c>
    </row>
    <row r="641">
      <c r="A641" s="101">
        <v>44685.0</v>
      </c>
      <c r="B641" s="111">
        <v>2352.0</v>
      </c>
      <c r="C641" s="111">
        <v>2.0</v>
      </c>
      <c r="D641" s="110" t="s">
        <v>228</v>
      </c>
      <c r="E641" s="111">
        <v>1.0</v>
      </c>
      <c r="F641" s="111">
        <v>0.6096</v>
      </c>
      <c r="G641" s="111">
        <v>0.372</v>
      </c>
      <c r="H641" s="110" t="s">
        <v>280</v>
      </c>
      <c r="I641" s="112">
        <f t="shared" si="1"/>
        <v>0.6387096774</v>
      </c>
      <c r="J641" s="82">
        <f t="shared" si="2"/>
        <v>0.6102362205</v>
      </c>
    </row>
    <row r="642">
      <c r="A642" s="101">
        <v>44685.0</v>
      </c>
      <c r="B642" s="111">
        <v>2352.0</v>
      </c>
      <c r="C642" s="111">
        <v>2.0</v>
      </c>
      <c r="D642" s="110" t="s">
        <v>227</v>
      </c>
      <c r="E642" s="111">
        <v>1.0</v>
      </c>
      <c r="F642" s="111">
        <v>0.1565</v>
      </c>
      <c r="G642" s="111">
        <v>0.0828</v>
      </c>
      <c r="H642" s="110" t="s">
        <v>280</v>
      </c>
      <c r="I642" s="112">
        <f t="shared" si="1"/>
        <v>0.8900966184</v>
      </c>
      <c r="J642" s="82">
        <f t="shared" si="2"/>
        <v>0.5290734824</v>
      </c>
    </row>
    <row r="643">
      <c r="A643" s="101">
        <v>44685.0</v>
      </c>
      <c r="B643" s="111">
        <v>2352.0</v>
      </c>
      <c r="C643" s="111">
        <v>3.0</v>
      </c>
      <c r="D643" s="110" t="s">
        <v>228</v>
      </c>
      <c r="E643" s="111">
        <v>1.0</v>
      </c>
      <c r="F643" s="111">
        <v>0.458</v>
      </c>
      <c r="G643" s="111">
        <v>0.2947</v>
      </c>
      <c r="H643" s="110" t="s">
        <v>280</v>
      </c>
      <c r="I643" s="112">
        <f t="shared" si="1"/>
        <v>0.5541228368</v>
      </c>
      <c r="J643" s="82">
        <f t="shared" si="2"/>
        <v>0.6434497817</v>
      </c>
    </row>
    <row r="644">
      <c r="A644" s="101">
        <v>44685.0</v>
      </c>
      <c r="B644" s="111">
        <v>2352.0</v>
      </c>
      <c r="C644" s="111">
        <v>3.0</v>
      </c>
      <c r="D644" s="110" t="s">
        <v>227</v>
      </c>
      <c r="E644" s="111">
        <v>0.0</v>
      </c>
      <c r="F644" s="111">
        <v>0.0999</v>
      </c>
      <c r="G644" s="111">
        <v>0.0585</v>
      </c>
      <c r="H644" s="110" t="s">
        <v>280</v>
      </c>
      <c r="I644" s="112">
        <f t="shared" si="1"/>
        <v>0.7076923077</v>
      </c>
      <c r="J644" s="82">
        <f t="shared" si="2"/>
        <v>0.5855855856</v>
      </c>
    </row>
    <row r="645">
      <c r="A645" s="101">
        <v>44685.0</v>
      </c>
      <c r="B645" s="111">
        <v>2354.0</v>
      </c>
      <c r="C645" s="111">
        <v>1.0</v>
      </c>
      <c r="D645" s="110" t="s">
        <v>228</v>
      </c>
      <c r="E645" s="111">
        <v>1.0</v>
      </c>
      <c r="F645" s="111">
        <v>1.0381</v>
      </c>
      <c r="G645" s="111">
        <v>0.6125</v>
      </c>
      <c r="H645" s="110" t="s">
        <v>280</v>
      </c>
      <c r="I645" s="112">
        <f t="shared" si="1"/>
        <v>0.6948571429</v>
      </c>
      <c r="J645" s="82">
        <f t="shared" si="2"/>
        <v>0.5900202293</v>
      </c>
    </row>
    <row r="646">
      <c r="A646" s="101">
        <v>44685.0</v>
      </c>
      <c r="B646" s="111">
        <v>2354.0</v>
      </c>
      <c r="C646" s="111">
        <v>1.0</v>
      </c>
      <c r="D646" s="110" t="s">
        <v>228</v>
      </c>
      <c r="E646" s="111">
        <v>0.0</v>
      </c>
      <c r="F646" s="111">
        <v>0.2839</v>
      </c>
      <c r="G646" s="111">
        <v>0.1451</v>
      </c>
      <c r="H646" s="110" t="s">
        <v>280</v>
      </c>
      <c r="I646" s="112">
        <f t="shared" si="1"/>
        <v>0.9565816678</v>
      </c>
      <c r="J646" s="82">
        <f t="shared" si="2"/>
        <v>0.5110954561</v>
      </c>
    </row>
    <row r="647">
      <c r="A647" s="101">
        <v>44685.0</v>
      </c>
      <c r="B647" s="111">
        <v>2354.0</v>
      </c>
      <c r="C647" s="111">
        <v>1.0</v>
      </c>
      <c r="D647" s="110" t="s">
        <v>227</v>
      </c>
      <c r="E647" s="111">
        <v>1.0</v>
      </c>
      <c r="F647" s="111">
        <v>0.2101</v>
      </c>
      <c r="G647" s="111">
        <v>0.1064</v>
      </c>
      <c r="H647" s="110" t="s">
        <v>280</v>
      </c>
      <c r="I647" s="112">
        <f t="shared" si="1"/>
        <v>0.9746240602</v>
      </c>
      <c r="J647" s="82">
        <f t="shared" si="2"/>
        <v>0.5064255117</v>
      </c>
    </row>
    <row r="648">
      <c r="A648" s="101">
        <v>44685.0</v>
      </c>
      <c r="B648" s="111">
        <v>2354.0</v>
      </c>
      <c r="C648" s="111">
        <v>1.0</v>
      </c>
      <c r="D648" s="110" t="s">
        <v>227</v>
      </c>
      <c r="E648" s="111">
        <v>0.0</v>
      </c>
      <c r="F648" s="111">
        <v>0.0246</v>
      </c>
      <c r="G648" s="111">
        <v>0.0107</v>
      </c>
      <c r="H648" s="110" t="s">
        <v>280</v>
      </c>
      <c r="I648" s="112">
        <f t="shared" si="1"/>
        <v>1.299065421</v>
      </c>
      <c r="J648" s="82">
        <f t="shared" si="2"/>
        <v>0.4349593496</v>
      </c>
    </row>
    <row r="649">
      <c r="A649" s="101">
        <v>44685.0</v>
      </c>
      <c r="B649" s="111">
        <v>2354.0</v>
      </c>
      <c r="C649" s="111">
        <v>2.0</v>
      </c>
      <c r="D649" s="110" t="s">
        <v>228</v>
      </c>
      <c r="E649" s="111">
        <v>1.0</v>
      </c>
      <c r="F649" s="111">
        <v>0.9092</v>
      </c>
      <c r="G649" s="111">
        <v>0.5397</v>
      </c>
      <c r="H649" s="110" t="s">
        <v>280</v>
      </c>
      <c r="I649" s="112">
        <f t="shared" si="1"/>
        <v>0.6846396146</v>
      </c>
      <c r="J649" s="82">
        <f t="shared" si="2"/>
        <v>0.5935987681</v>
      </c>
    </row>
    <row r="650">
      <c r="A650" s="101">
        <v>44685.0</v>
      </c>
      <c r="B650" s="111">
        <v>2354.0</v>
      </c>
      <c r="C650" s="111">
        <v>2.0</v>
      </c>
      <c r="D650" s="110" t="s">
        <v>228</v>
      </c>
      <c r="E650" s="111">
        <v>0.0</v>
      </c>
      <c r="F650" s="111">
        <v>1.2975</v>
      </c>
      <c r="G650" s="111">
        <v>0.688</v>
      </c>
      <c r="H650" s="110" t="s">
        <v>280</v>
      </c>
      <c r="I650" s="112">
        <f t="shared" si="1"/>
        <v>0.8859011628</v>
      </c>
      <c r="J650" s="82">
        <f t="shared" si="2"/>
        <v>0.5302504817</v>
      </c>
    </row>
    <row r="651">
      <c r="A651" s="101">
        <v>44685.0</v>
      </c>
      <c r="B651" s="111">
        <v>2354.0</v>
      </c>
      <c r="C651" s="111">
        <v>2.0</v>
      </c>
      <c r="D651" s="110" t="s">
        <v>227</v>
      </c>
      <c r="E651" s="111">
        <v>1.0</v>
      </c>
      <c r="F651" s="111">
        <v>0.1861</v>
      </c>
      <c r="G651" s="111">
        <v>0.0938</v>
      </c>
      <c r="H651" s="110" t="s">
        <v>280</v>
      </c>
      <c r="I651" s="112">
        <f t="shared" si="1"/>
        <v>0.9840085288</v>
      </c>
      <c r="J651" s="82">
        <f t="shared" si="2"/>
        <v>0.5040300913</v>
      </c>
    </row>
    <row r="652">
      <c r="A652" s="101">
        <v>44685.0</v>
      </c>
      <c r="B652" s="111">
        <v>2354.0</v>
      </c>
      <c r="C652" s="111">
        <v>2.0</v>
      </c>
      <c r="D652" s="110" t="s">
        <v>227</v>
      </c>
      <c r="E652" s="111">
        <v>0.0</v>
      </c>
      <c r="F652" s="111">
        <v>0.0781</v>
      </c>
      <c r="G652" s="111">
        <v>0.0354</v>
      </c>
      <c r="H652" s="110" t="s">
        <v>280</v>
      </c>
      <c r="I652" s="112">
        <f t="shared" si="1"/>
        <v>1.206214689</v>
      </c>
      <c r="J652" s="82">
        <f t="shared" si="2"/>
        <v>0.4532650448</v>
      </c>
    </row>
    <row r="653">
      <c r="A653" s="101">
        <v>44685.0</v>
      </c>
      <c r="B653" s="111">
        <v>2354.0</v>
      </c>
      <c r="C653" s="111">
        <v>3.0</v>
      </c>
      <c r="D653" s="110" t="s">
        <v>228</v>
      </c>
      <c r="E653" s="111">
        <v>1.0</v>
      </c>
      <c r="F653" s="111">
        <v>0.4324</v>
      </c>
      <c r="G653" s="111">
        <v>0.2488</v>
      </c>
      <c r="H653" s="110" t="s">
        <v>280</v>
      </c>
      <c r="I653" s="112">
        <f t="shared" si="1"/>
        <v>0.7379421222</v>
      </c>
      <c r="J653" s="82">
        <f t="shared" si="2"/>
        <v>0.5753931545</v>
      </c>
    </row>
    <row r="654">
      <c r="A654" s="101">
        <v>44685.0</v>
      </c>
      <c r="B654" s="111">
        <v>2354.0</v>
      </c>
      <c r="C654" s="111">
        <v>3.0</v>
      </c>
      <c r="D654" s="110" t="s">
        <v>228</v>
      </c>
      <c r="E654" s="111">
        <v>0.0</v>
      </c>
      <c r="F654" s="111">
        <v>2.1312</v>
      </c>
      <c r="G654" s="111">
        <v>1.1045</v>
      </c>
      <c r="H654" s="110" t="s">
        <v>280</v>
      </c>
      <c r="I654" s="112">
        <f t="shared" si="1"/>
        <v>0.9295608873</v>
      </c>
      <c r="J654" s="82">
        <f t="shared" si="2"/>
        <v>0.5182526276</v>
      </c>
    </row>
    <row r="655">
      <c r="A655" s="101">
        <v>44685.0</v>
      </c>
      <c r="B655" s="111">
        <v>2354.0</v>
      </c>
      <c r="C655" s="111">
        <v>3.0</v>
      </c>
      <c r="D655" s="110" t="s">
        <v>227</v>
      </c>
      <c r="E655" s="111">
        <v>1.0</v>
      </c>
      <c r="F655" s="111">
        <v>0.1968</v>
      </c>
      <c r="G655" s="111">
        <v>0.0956</v>
      </c>
      <c r="H655" s="110" t="s">
        <v>280</v>
      </c>
      <c r="I655" s="112">
        <f t="shared" si="1"/>
        <v>1.058577406</v>
      </c>
      <c r="J655" s="82">
        <f t="shared" si="2"/>
        <v>0.4857723577</v>
      </c>
    </row>
    <row r="656">
      <c r="A656" s="101">
        <v>44685.0</v>
      </c>
      <c r="B656" s="111">
        <v>2354.0</v>
      </c>
      <c r="C656" s="111">
        <v>3.0</v>
      </c>
      <c r="D656" s="110" t="s">
        <v>227</v>
      </c>
      <c r="E656" s="111">
        <v>0.0</v>
      </c>
      <c r="F656" s="111">
        <v>0.2149</v>
      </c>
      <c r="G656" s="111">
        <v>0.0928</v>
      </c>
      <c r="H656" s="110" t="s">
        <v>280</v>
      </c>
      <c r="I656" s="112">
        <f t="shared" si="1"/>
        <v>1.315732759</v>
      </c>
      <c r="J656" s="82">
        <f t="shared" si="2"/>
        <v>0.4318287576</v>
      </c>
    </row>
    <row r="657">
      <c r="A657" s="101">
        <v>44685.0</v>
      </c>
      <c r="B657" s="111">
        <v>2360.0</v>
      </c>
      <c r="C657" s="111">
        <v>1.0</v>
      </c>
      <c r="D657" s="110" t="s">
        <v>227</v>
      </c>
      <c r="E657" s="111">
        <v>0.0</v>
      </c>
      <c r="F657" s="111">
        <v>0.0501</v>
      </c>
      <c r="G657" s="111">
        <v>0.0296</v>
      </c>
      <c r="H657" s="110" t="s">
        <v>280</v>
      </c>
      <c r="I657" s="112">
        <f t="shared" si="1"/>
        <v>0.6925675676</v>
      </c>
      <c r="J657" s="82">
        <f t="shared" si="2"/>
        <v>0.5908183633</v>
      </c>
    </row>
    <row r="658">
      <c r="A658" s="101">
        <v>44685.0</v>
      </c>
      <c r="B658" s="111">
        <v>2360.0</v>
      </c>
      <c r="C658" s="111">
        <v>1.0</v>
      </c>
      <c r="D658" s="110" t="s">
        <v>227</v>
      </c>
      <c r="E658" s="111">
        <v>1.0</v>
      </c>
      <c r="F658" s="111">
        <v>0.11</v>
      </c>
      <c r="G658" s="111">
        <v>0.0603</v>
      </c>
      <c r="H658" s="110" t="s">
        <v>280</v>
      </c>
      <c r="I658" s="112">
        <f t="shared" si="1"/>
        <v>0.824212272</v>
      </c>
      <c r="J658" s="82">
        <f t="shared" si="2"/>
        <v>0.5481818182</v>
      </c>
    </row>
    <row r="659">
      <c r="A659" s="101">
        <v>44685.0</v>
      </c>
      <c r="B659" s="111">
        <v>2360.0</v>
      </c>
      <c r="C659" s="111">
        <v>1.0</v>
      </c>
      <c r="D659" s="110" t="s">
        <v>228</v>
      </c>
      <c r="E659" s="111">
        <v>0.0</v>
      </c>
      <c r="F659" s="111">
        <v>0.7262</v>
      </c>
      <c r="G659" s="111">
        <v>0.3686</v>
      </c>
      <c r="H659" s="110" t="s">
        <v>280</v>
      </c>
      <c r="I659" s="112">
        <f t="shared" si="1"/>
        <v>0.9701573521</v>
      </c>
      <c r="J659" s="82">
        <f t="shared" si="2"/>
        <v>0.5075736712</v>
      </c>
    </row>
    <row r="660">
      <c r="A660" s="101">
        <v>44685.0</v>
      </c>
      <c r="B660" s="111">
        <v>2360.0</v>
      </c>
      <c r="C660" s="111">
        <v>2.0</v>
      </c>
      <c r="D660" s="110" t="s">
        <v>227</v>
      </c>
      <c r="E660" s="111">
        <v>1.0</v>
      </c>
      <c r="F660" s="111">
        <v>0.2772</v>
      </c>
      <c r="G660" s="111">
        <v>0.1522</v>
      </c>
      <c r="H660" s="110" t="s">
        <v>280</v>
      </c>
      <c r="I660" s="112">
        <f t="shared" si="1"/>
        <v>0.8212877792</v>
      </c>
      <c r="J660" s="82">
        <f t="shared" si="2"/>
        <v>0.5490620491</v>
      </c>
    </row>
    <row r="661">
      <c r="A661" s="101">
        <v>44685.0</v>
      </c>
      <c r="B661" s="111">
        <v>2360.0</v>
      </c>
      <c r="C661" s="111">
        <v>2.0</v>
      </c>
      <c r="D661" s="110" t="s">
        <v>227</v>
      </c>
      <c r="E661" s="111">
        <v>0.0</v>
      </c>
      <c r="F661" s="111">
        <v>0.1189</v>
      </c>
      <c r="G661" s="111">
        <v>0.0599</v>
      </c>
      <c r="H661" s="110" t="s">
        <v>280</v>
      </c>
      <c r="I661" s="112">
        <f t="shared" si="1"/>
        <v>0.9849749583</v>
      </c>
      <c r="J661" s="82">
        <f t="shared" si="2"/>
        <v>0.503784693</v>
      </c>
    </row>
    <row r="662">
      <c r="A662" s="101">
        <v>44685.0</v>
      </c>
      <c r="B662" s="111">
        <v>2360.0</v>
      </c>
      <c r="C662" s="111">
        <v>2.0</v>
      </c>
      <c r="D662" s="110" t="s">
        <v>228</v>
      </c>
      <c r="E662" s="111">
        <v>0.0</v>
      </c>
      <c r="F662" s="111">
        <v>1.4021</v>
      </c>
      <c r="G662" s="111">
        <v>0.6997</v>
      </c>
      <c r="H662" s="110" t="s">
        <v>280</v>
      </c>
      <c r="I662" s="112">
        <f t="shared" si="1"/>
        <v>1.003858797</v>
      </c>
      <c r="J662" s="82">
        <f t="shared" si="2"/>
        <v>0.4990371585</v>
      </c>
    </row>
    <row r="663">
      <c r="A663" s="101">
        <v>44685.0</v>
      </c>
      <c r="B663" s="111">
        <v>2360.0</v>
      </c>
      <c r="C663" s="111">
        <v>3.0</v>
      </c>
      <c r="D663" s="110" t="s">
        <v>227</v>
      </c>
      <c r="E663" s="111">
        <v>1.0</v>
      </c>
      <c r="F663" s="111">
        <v>0.3633</v>
      </c>
      <c r="G663" s="111">
        <v>0.195</v>
      </c>
      <c r="H663" s="110" t="s">
        <v>280</v>
      </c>
      <c r="I663" s="112">
        <f t="shared" si="1"/>
        <v>0.8630769231</v>
      </c>
      <c r="J663" s="82">
        <f t="shared" si="2"/>
        <v>0.5367464905</v>
      </c>
    </row>
    <row r="664">
      <c r="A664" s="101">
        <v>44685.0</v>
      </c>
      <c r="B664" s="111">
        <v>2360.0</v>
      </c>
      <c r="C664" s="111">
        <v>3.0</v>
      </c>
      <c r="D664" s="110" t="s">
        <v>228</v>
      </c>
      <c r="E664" s="111">
        <v>0.0</v>
      </c>
      <c r="F664" s="111">
        <v>1.8793</v>
      </c>
      <c r="G664" s="111">
        <v>0.9752</v>
      </c>
      <c r="H664" s="110" t="s">
        <v>280</v>
      </c>
      <c r="I664" s="112">
        <f t="shared" si="1"/>
        <v>0.9270918786</v>
      </c>
      <c r="J664" s="82">
        <f t="shared" si="2"/>
        <v>0.5189166179</v>
      </c>
    </row>
    <row r="665">
      <c r="A665" s="101">
        <v>44685.0</v>
      </c>
      <c r="B665" s="111">
        <v>2360.0</v>
      </c>
      <c r="C665" s="111">
        <v>3.0</v>
      </c>
      <c r="D665" s="110" t="s">
        <v>227</v>
      </c>
      <c r="E665" s="111">
        <v>0.0</v>
      </c>
      <c r="F665" s="111">
        <v>0.2559</v>
      </c>
      <c r="G665" s="111">
        <v>0.1254</v>
      </c>
      <c r="H665" s="110" t="s">
        <v>280</v>
      </c>
      <c r="I665" s="112">
        <f t="shared" si="1"/>
        <v>1.040669856</v>
      </c>
      <c r="J665" s="82">
        <f t="shared" si="2"/>
        <v>0.49003517</v>
      </c>
    </row>
    <row r="666">
      <c r="A666" s="101">
        <v>44685.0</v>
      </c>
      <c r="B666" s="111">
        <v>2365.0</v>
      </c>
      <c r="C666" s="111">
        <v>1.0</v>
      </c>
      <c r="D666" s="110" t="s">
        <v>228</v>
      </c>
      <c r="E666" s="111">
        <v>0.0</v>
      </c>
      <c r="F666" s="111">
        <v>0.7713</v>
      </c>
      <c r="G666" s="111">
        <v>0.3762</v>
      </c>
      <c r="H666" s="110" t="s">
        <v>280</v>
      </c>
      <c r="I666" s="112">
        <f t="shared" si="1"/>
        <v>1.050239234</v>
      </c>
      <c r="J666" s="82">
        <f t="shared" si="2"/>
        <v>0.487747958</v>
      </c>
    </row>
    <row r="667">
      <c r="A667" s="101">
        <v>44685.0</v>
      </c>
      <c r="B667" s="111">
        <v>2370.0</v>
      </c>
      <c r="C667" s="111">
        <v>1.0</v>
      </c>
      <c r="D667" s="110" t="s">
        <v>227</v>
      </c>
      <c r="E667" s="111">
        <v>1.0</v>
      </c>
      <c r="F667" s="111">
        <v>0.3195</v>
      </c>
      <c r="G667" s="111">
        <v>0.1628</v>
      </c>
      <c r="H667" s="110" t="s">
        <v>280</v>
      </c>
      <c r="I667" s="112">
        <f t="shared" si="1"/>
        <v>0.9625307125</v>
      </c>
      <c r="J667" s="82">
        <f t="shared" si="2"/>
        <v>0.5095461659</v>
      </c>
    </row>
    <row r="668">
      <c r="A668" s="101">
        <v>44685.0</v>
      </c>
      <c r="B668" s="111">
        <v>2370.0</v>
      </c>
      <c r="C668" s="111">
        <v>1.0</v>
      </c>
      <c r="D668" s="110" t="s">
        <v>228</v>
      </c>
      <c r="E668" s="111">
        <v>0.0</v>
      </c>
      <c r="F668" s="111">
        <v>0.7779</v>
      </c>
      <c r="G668" s="111">
        <v>0.3816</v>
      </c>
      <c r="H668" s="110" t="s">
        <v>280</v>
      </c>
      <c r="I668" s="112">
        <f t="shared" si="1"/>
        <v>1.038522013</v>
      </c>
      <c r="J668" s="82">
        <f t="shared" si="2"/>
        <v>0.4905514848</v>
      </c>
    </row>
    <row r="669">
      <c r="A669" s="101">
        <v>44685.0</v>
      </c>
      <c r="B669" s="111">
        <v>2370.0</v>
      </c>
      <c r="C669" s="111">
        <v>1.0</v>
      </c>
      <c r="D669" s="110" t="s">
        <v>227</v>
      </c>
      <c r="E669" s="111">
        <v>0.0</v>
      </c>
      <c r="F669" s="111">
        <v>0.0428</v>
      </c>
      <c r="G669" s="111">
        <v>0.0191</v>
      </c>
      <c r="H669" s="110" t="s">
        <v>280</v>
      </c>
      <c r="I669" s="112">
        <f t="shared" si="1"/>
        <v>1.240837696</v>
      </c>
      <c r="J669" s="82">
        <f t="shared" si="2"/>
        <v>0.4462616822</v>
      </c>
    </row>
    <row r="670">
      <c r="A670" s="101">
        <v>44685.0</v>
      </c>
      <c r="B670" s="111">
        <v>2370.0</v>
      </c>
      <c r="C670" s="111">
        <v>2.0</v>
      </c>
      <c r="D670" s="110" t="s">
        <v>228</v>
      </c>
      <c r="E670" s="111">
        <v>0.0</v>
      </c>
      <c r="F670" s="111">
        <v>1.0301</v>
      </c>
      <c r="G670" s="111">
        <v>0.522</v>
      </c>
      <c r="H670" s="110" t="s">
        <v>280</v>
      </c>
      <c r="I670" s="112">
        <f t="shared" si="1"/>
        <v>0.9733716475</v>
      </c>
      <c r="J670" s="82">
        <f t="shared" si="2"/>
        <v>0.5067469178</v>
      </c>
    </row>
    <row r="671">
      <c r="A671" s="101">
        <v>44685.0</v>
      </c>
      <c r="B671" s="111">
        <v>2370.0</v>
      </c>
      <c r="C671" s="111">
        <v>2.0</v>
      </c>
      <c r="D671" s="110" t="s">
        <v>227</v>
      </c>
      <c r="E671" s="111">
        <v>1.0</v>
      </c>
      <c r="F671" s="111">
        <v>0.2436</v>
      </c>
      <c r="G671" s="111">
        <v>0.1221</v>
      </c>
      <c r="H671" s="110" t="s">
        <v>280</v>
      </c>
      <c r="I671" s="112">
        <f t="shared" si="1"/>
        <v>0.9950859951</v>
      </c>
      <c r="J671" s="82">
        <f t="shared" si="2"/>
        <v>0.5012315271</v>
      </c>
    </row>
    <row r="672">
      <c r="A672" s="101">
        <v>44685.0</v>
      </c>
      <c r="B672" s="111">
        <v>2370.0</v>
      </c>
      <c r="C672" s="111">
        <v>2.0</v>
      </c>
      <c r="D672" s="110" t="s">
        <v>227</v>
      </c>
      <c r="E672" s="111">
        <v>0.0</v>
      </c>
      <c r="F672" s="111">
        <v>0.0693</v>
      </c>
      <c r="G672" s="111">
        <v>0.0319</v>
      </c>
      <c r="H672" s="110" t="s">
        <v>280</v>
      </c>
      <c r="I672" s="112">
        <f t="shared" si="1"/>
        <v>1.172413793</v>
      </c>
      <c r="J672" s="82">
        <f t="shared" si="2"/>
        <v>0.4603174603</v>
      </c>
    </row>
    <row r="673">
      <c r="A673" s="101">
        <v>44685.0</v>
      </c>
      <c r="B673" s="111">
        <v>2370.0</v>
      </c>
      <c r="C673" s="111">
        <v>3.0</v>
      </c>
      <c r="D673" s="110" t="s">
        <v>228</v>
      </c>
      <c r="E673" s="111">
        <v>0.0</v>
      </c>
      <c r="F673" s="111">
        <v>0.9763</v>
      </c>
      <c r="G673" s="111">
        <v>0.4776</v>
      </c>
      <c r="H673" s="110" t="s">
        <v>280</v>
      </c>
      <c r="I673" s="112">
        <f t="shared" si="1"/>
        <v>1.044179229</v>
      </c>
      <c r="J673" s="82">
        <f t="shared" si="2"/>
        <v>0.4891938953</v>
      </c>
    </row>
    <row r="674">
      <c r="A674" s="101">
        <v>44685.0</v>
      </c>
      <c r="B674" s="111">
        <v>2370.0</v>
      </c>
      <c r="C674" s="111">
        <v>3.0</v>
      </c>
      <c r="D674" s="110" t="s">
        <v>227</v>
      </c>
      <c r="E674" s="111">
        <v>1.0</v>
      </c>
      <c r="F674" s="111">
        <v>0.2396</v>
      </c>
      <c r="G674" s="111">
        <v>0.1153</v>
      </c>
      <c r="H674" s="110" t="s">
        <v>280</v>
      </c>
      <c r="I674" s="112">
        <f t="shared" si="1"/>
        <v>1.078057242</v>
      </c>
      <c r="J674" s="82">
        <f t="shared" si="2"/>
        <v>0.4812186978</v>
      </c>
    </row>
    <row r="675">
      <c r="A675" s="101">
        <v>44685.0</v>
      </c>
      <c r="B675" s="111">
        <v>2370.0</v>
      </c>
      <c r="C675" s="111">
        <v>3.0</v>
      </c>
      <c r="D675" s="110" t="s">
        <v>227</v>
      </c>
      <c r="E675" s="111">
        <v>0.0</v>
      </c>
      <c r="F675" s="111">
        <v>0.131</v>
      </c>
      <c r="G675" s="111">
        <v>0.0553</v>
      </c>
      <c r="H675" s="110" t="s">
        <v>280</v>
      </c>
      <c r="I675" s="112">
        <f t="shared" si="1"/>
        <v>1.368896926</v>
      </c>
      <c r="J675" s="82">
        <f t="shared" si="2"/>
        <v>0.4221374046</v>
      </c>
    </row>
    <row r="676">
      <c r="A676" s="101">
        <v>44685.0</v>
      </c>
      <c r="B676" s="111">
        <v>2371.0</v>
      </c>
      <c r="C676" s="111">
        <v>1.0</v>
      </c>
      <c r="D676" s="110" t="s">
        <v>228</v>
      </c>
      <c r="E676" s="111">
        <v>0.0</v>
      </c>
      <c r="F676" s="111">
        <v>1.3212</v>
      </c>
      <c r="G676" s="111">
        <v>0.6541</v>
      </c>
      <c r="H676" s="110" t="s">
        <v>280</v>
      </c>
      <c r="I676" s="112">
        <f t="shared" si="1"/>
        <v>1.019874637</v>
      </c>
      <c r="J676" s="82">
        <f t="shared" si="2"/>
        <v>0.4950802301</v>
      </c>
    </row>
    <row r="677">
      <c r="A677" s="101">
        <v>44685.0</v>
      </c>
      <c r="B677" s="111">
        <v>2371.0</v>
      </c>
      <c r="C677" s="111">
        <v>1.0</v>
      </c>
      <c r="D677" s="110" t="s">
        <v>227</v>
      </c>
      <c r="E677" s="111">
        <v>0.0</v>
      </c>
      <c r="F677" s="111">
        <v>0.2115</v>
      </c>
      <c r="G677" s="111">
        <v>0.0945</v>
      </c>
      <c r="H677" s="110" t="s">
        <v>280</v>
      </c>
      <c r="I677" s="112">
        <f t="shared" si="1"/>
        <v>1.238095238</v>
      </c>
      <c r="J677" s="82">
        <f t="shared" si="2"/>
        <v>0.4468085106</v>
      </c>
    </row>
    <row r="678">
      <c r="A678" s="101">
        <v>44685.0</v>
      </c>
      <c r="B678" s="111">
        <v>2371.0</v>
      </c>
      <c r="C678" s="111">
        <v>2.0</v>
      </c>
      <c r="D678" s="110" t="s">
        <v>227</v>
      </c>
      <c r="E678" s="111">
        <v>1.0</v>
      </c>
      <c r="F678" s="111">
        <v>0.184</v>
      </c>
      <c r="G678" s="111">
        <v>0.0942</v>
      </c>
      <c r="H678" s="110" t="s">
        <v>280</v>
      </c>
      <c r="I678" s="112">
        <f t="shared" si="1"/>
        <v>0.9532908705</v>
      </c>
      <c r="J678" s="82">
        <f t="shared" si="2"/>
        <v>0.5119565217</v>
      </c>
    </row>
    <row r="679">
      <c r="A679" s="101">
        <v>44685.0</v>
      </c>
      <c r="B679" s="111">
        <v>2371.0</v>
      </c>
      <c r="C679" s="111">
        <v>2.0</v>
      </c>
      <c r="D679" s="110" t="s">
        <v>228</v>
      </c>
      <c r="E679" s="111">
        <v>0.0</v>
      </c>
      <c r="F679" s="111">
        <v>1.2416</v>
      </c>
      <c r="G679" s="111">
        <v>0.6298</v>
      </c>
      <c r="H679" s="110" t="s">
        <v>280</v>
      </c>
      <c r="I679" s="112">
        <f t="shared" si="1"/>
        <v>0.9714194983</v>
      </c>
      <c r="J679" s="82">
        <f t="shared" si="2"/>
        <v>0.5072487113</v>
      </c>
    </row>
    <row r="680">
      <c r="A680" s="101">
        <v>44685.0</v>
      </c>
      <c r="B680" s="111">
        <v>2371.0</v>
      </c>
      <c r="C680" s="111">
        <v>2.0</v>
      </c>
      <c r="D680" s="110" t="s">
        <v>227</v>
      </c>
      <c r="E680" s="111">
        <v>1.0</v>
      </c>
      <c r="F680" s="111">
        <v>0.2536</v>
      </c>
      <c r="G680" s="111">
        <v>0.1286</v>
      </c>
      <c r="H680" s="110" t="s">
        <v>280</v>
      </c>
      <c r="I680" s="112">
        <f t="shared" si="1"/>
        <v>0.9720062208</v>
      </c>
      <c r="J680" s="82">
        <f t="shared" si="2"/>
        <v>0.5070977918</v>
      </c>
    </row>
    <row r="681">
      <c r="A681" s="101">
        <v>44685.0</v>
      </c>
      <c r="B681" s="111">
        <v>2371.0</v>
      </c>
      <c r="C681" s="111">
        <v>2.0</v>
      </c>
      <c r="D681" s="110" t="s">
        <v>227</v>
      </c>
      <c r="E681" s="111">
        <v>0.0</v>
      </c>
      <c r="F681" s="111">
        <v>0.1464</v>
      </c>
      <c r="G681" s="111">
        <v>0.0694</v>
      </c>
      <c r="H681" s="110" t="s">
        <v>280</v>
      </c>
      <c r="I681" s="112">
        <f t="shared" si="1"/>
        <v>1.109510086</v>
      </c>
      <c r="J681" s="82">
        <f t="shared" si="2"/>
        <v>0.4740437158</v>
      </c>
    </row>
    <row r="682">
      <c r="A682" s="101">
        <v>44685.0</v>
      </c>
      <c r="B682" s="111">
        <v>2371.0</v>
      </c>
      <c r="C682" s="111">
        <v>3.0</v>
      </c>
      <c r="D682" s="110" t="s">
        <v>228</v>
      </c>
      <c r="E682" s="111">
        <v>0.0</v>
      </c>
      <c r="F682" s="111">
        <v>0.7337</v>
      </c>
      <c r="G682" s="111">
        <v>0.4063</v>
      </c>
      <c r="H682" s="110" t="s">
        <v>280</v>
      </c>
      <c r="I682" s="112">
        <f t="shared" si="1"/>
        <v>0.8058085159</v>
      </c>
      <c r="J682" s="82">
        <f t="shared" si="2"/>
        <v>0.5537685703</v>
      </c>
    </row>
    <row r="683">
      <c r="A683" s="101">
        <v>44685.0</v>
      </c>
      <c r="B683" s="111">
        <v>2371.0</v>
      </c>
      <c r="C683" s="111">
        <v>3.0</v>
      </c>
      <c r="D683" s="110" t="s">
        <v>227</v>
      </c>
      <c r="E683" s="111">
        <v>1.0</v>
      </c>
      <c r="F683" s="111">
        <v>0.0698</v>
      </c>
      <c r="G683" s="111">
        <v>0.0363</v>
      </c>
      <c r="H683" s="110" t="s">
        <v>280</v>
      </c>
      <c r="I683" s="112">
        <f t="shared" si="1"/>
        <v>0.9228650138</v>
      </c>
      <c r="J683" s="82">
        <f t="shared" si="2"/>
        <v>0.5200573066</v>
      </c>
    </row>
    <row r="684">
      <c r="A684" s="101">
        <v>44685.0</v>
      </c>
      <c r="B684" s="111">
        <v>2371.0</v>
      </c>
      <c r="C684" s="111">
        <v>3.0</v>
      </c>
      <c r="D684" s="110" t="s">
        <v>227</v>
      </c>
      <c r="E684" s="111">
        <v>0.0</v>
      </c>
      <c r="F684" s="111">
        <v>0.0938</v>
      </c>
      <c r="G684" s="111">
        <v>0.0424</v>
      </c>
      <c r="H684" s="110" t="s">
        <v>280</v>
      </c>
      <c r="I684" s="112">
        <f t="shared" si="1"/>
        <v>1.212264151</v>
      </c>
      <c r="J684" s="82">
        <f t="shared" si="2"/>
        <v>0.4520255864</v>
      </c>
    </row>
    <row r="685">
      <c r="A685" s="101">
        <v>44685.0</v>
      </c>
      <c r="B685" s="111">
        <v>2372.0</v>
      </c>
      <c r="C685" s="111">
        <v>1.0</v>
      </c>
      <c r="D685" s="110" t="s">
        <v>228</v>
      </c>
      <c r="E685" s="111">
        <v>0.0</v>
      </c>
      <c r="F685" s="111">
        <v>0.9474</v>
      </c>
      <c r="G685" s="111">
        <v>0.4906</v>
      </c>
      <c r="H685" s="110" t="s">
        <v>280</v>
      </c>
      <c r="I685" s="112">
        <f t="shared" si="1"/>
        <v>0.9311047697</v>
      </c>
      <c r="J685" s="82">
        <f t="shared" si="2"/>
        <v>0.5178382943</v>
      </c>
    </row>
    <row r="686">
      <c r="A686" s="101">
        <v>44685.0</v>
      </c>
      <c r="B686" s="111">
        <v>2372.0</v>
      </c>
      <c r="C686" s="111">
        <v>1.0</v>
      </c>
      <c r="D686" s="110" t="s">
        <v>227</v>
      </c>
      <c r="E686" s="111">
        <v>1.0</v>
      </c>
      <c r="F686" s="111">
        <v>0.1239</v>
      </c>
      <c r="G686" s="111">
        <v>0.0618</v>
      </c>
      <c r="H686" s="110" t="s">
        <v>280</v>
      </c>
      <c r="I686" s="112">
        <f t="shared" si="1"/>
        <v>1.004854369</v>
      </c>
      <c r="J686" s="82">
        <f t="shared" si="2"/>
        <v>0.4987893462</v>
      </c>
    </row>
    <row r="687">
      <c r="A687" s="101">
        <v>44685.0</v>
      </c>
      <c r="B687" s="111">
        <v>2372.0</v>
      </c>
      <c r="C687" s="111">
        <v>1.0</v>
      </c>
      <c r="D687" s="110" t="s">
        <v>227</v>
      </c>
      <c r="E687" s="111">
        <v>0.0</v>
      </c>
      <c r="F687" s="111">
        <v>0.1705</v>
      </c>
      <c r="G687" s="111">
        <v>0.0785</v>
      </c>
      <c r="H687" s="110" t="s">
        <v>280</v>
      </c>
      <c r="I687" s="112">
        <f t="shared" si="1"/>
        <v>1.171974522</v>
      </c>
      <c r="J687" s="82">
        <f t="shared" si="2"/>
        <v>0.4604105572</v>
      </c>
    </row>
    <row r="688">
      <c r="A688" s="101">
        <v>44685.0</v>
      </c>
      <c r="B688" s="111">
        <v>2372.0</v>
      </c>
      <c r="C688" s="111">
        <v>2.0</v>
      </c>
      <c r="D688" s="110" t="s">
        <v>227</v>
      </c>
      <c r="E688" s="111">
        <v>1.0</v>
      </c>
      <c r="F688" s="111">
        <v>0.2255</v>
      </c>
      <c r="G688" s="111">
        <v>0.1136</v>
      </c>
      <c r="H688" s="110" t="s">
        <v>280</v>
      </c>
      <c r="I688" s="112">
        <f t="shared" si="1"/>
        <v>0.9850352113</v>
      </c>
      <c r="J688" s="82">
        <f t="shared" si="2"/>
        <v>0.5037694013</v>
      </c>
    </row>
    <row r="689">
      <c r="A689" s="101">
        <v>44685.0</v>
      </c>
      <c r="B689" s="111">
        <v>2372.0</v>
      </c>
      <c r="C689" s="111">
        <v>2.0</v>
      </c>
      <c r="D689" s="110" t="s">
        <v>228</v>
      </c>
      <c r="E689" s="111">
        <v>0.0</v>
      </c>
      <c r="F689" s="111">
        <v>0.6479</v>
      </c>
      <c r="G689" s="111">
        <v>0.3228</v>
      </c>
      <c r="H689" s="110" t="s">
        <v>280</v>
      </c>
      <c r="I689" s="112">
        <f t="shared" si="1"/>
        <v>1.007125155</v>
      </c>
      <c r="J689" s="82">
        <f t="shared" si="2"/>
        <v>0.4982250347</v>
      </c>
    </row>
    <row r="690">
      <c r="A690" s="101">
        <v>44685.0</v>
      </c>
      <c r="B690" s="111">
        <v>2372.0</v>
      </c>
      <c r="C690" s="111">
        <v>2.0</v>
      </c>
      <c r="D690" s="110" t="s">
        <v>227</v>
      </c>
      <c r="E690" s="111">
        <v>0.0</v>
      </c>
      <c r="F690" s="111">
        <v>0.0891</v>
      </c>
      <c r="G690" s="111">
        <v>0.038</v>
      </c>
      <c r="H690" s="110" t="s">
        <v>280</v>
      </c>
      <c r="I690" s="112">
        <f t="shared" si="1"/>
        <v>1.344736842</v>
      </c>
      <c r="J690" s="82">
        <f t="shared" si="2"/>
        <v>0.4264870932</v>
      </c>
    </row>
    <row r="691">
      <c r="A691" s="101">
        <v>44685.0</v>
      </c>
      <c r="B691" s="111">
        <v>2372.0</v>
      </c>
      <c r="C691" s="111">
        <v>3.0</v>
      </c>
      <c r="D691" s="110" t="s">
        <v>227</v>
      </c>
      <c r="E691" s="111">
        <v>1.0</v>
      </c>
      <c r="F691" s="111">
        <v>0.2715</v>
      </c>
      <c r="G691" s="111">
        <v>0.1411</v>
      </c>
      <c r="H691" s="110" t="s">
        <v>280</v>
      </c>
      <c r="I691" s="112">
        <f t="shared" si="1"/>
        <v>0.9241672573</v>
      </c>
      <c r="J691" s="82">
        <f t="shared" si="2"/>
        <v>0.5197053407</v>
      </c>
    </row>
    <row r="692">
      <c r="A692" s="101">
        <v>44685.0</v>
      </c>
      <c r="B692" s="111">
        <v>2372.0</v>
      </c>
      <c r="C692" s="111">
        <v>3.0</v>
      </c>
      <c r="D692" s="110" t="s">
        <v>228</v>
      </c>
      <c r="E692" s="111">
        <v>0.0</v>
      </c>
      <c r="F692" s="111">
        <v>1.193</v>
      </c>
      <c r="G692" s="111">
        <v>0.6024</v>
      </c>
      <c r="H692" s="110" t="s">
        <v>280</v>
      </c>
      <c r="I692" s="112">
        <f t="shared" si="1"/>
        <v>0.9804116866</v>
      </c>
      <c r="J692" s="82">
        <f t="shared" si="2"/>
        <v>0.5049455155</v>
      </c>
    </row>
    <row r="693">
      <c r="A693" s="101">
        <v>44685.0</v>
      </c>
      <c r="B693" s="111">
        <v>2372.0</v>
      </c>
      <c r="C693" s="111">
        <v>3.0</v>
      </c>
      <c r="D693" s="110" t="s">
        <v>227</v>
      </c>
      <c r="E693" s="111">
        <v>0.0</v>
      </c>
      <c r="F693" s="111">
        <v>0.1427</v>
      </c>
      <c r="G693" s="111">
        <v>0.0622</v>
      </c>
      <c r="H693" s="110" t="s">
        <v>280</v>
      </c>
      <c r="I693" s="112">
        <f t="shared" si="1"/>
        <v>1.294212219</v>
      </c>
      <c r="J693" s="82">
        <f t="shared" si="2"/>
        <v>0.4358794674</v>
      </c>
    </row>
    <row r="694">
      <c r="A694" s="101">
        <v>44685.0</v>
      </c>
      <c r="B694" s="111">
        <v>2375.0</v>
      </c>
      <c r="C694" s="111">
        <v>1.0</v>
      </c>
      <c r="D694" s="110" t="s">
        <v>228</v>
      </c>
      <c r="E694" s="111">
        <v>0.0</v>
      </c>
      <c r="F694" s="111">
        <v>0.7958</v>
      </c>
      <c r="G694" s="111">
        <v>0.3769</v>
      </c>
      <c r="H694" s="110" t="s">
        <v>280</v>
      </c>
      <c r="I694" s="112">
        <f t="shared" si="1"/>
        <v>1.111435394</v>
      </c>
      <c r="J694" s="82">
        <f t="shared" si="2"/>
        <v>0.4736114602</v>
      </c>
    </row>
    <row r="695">
      <c r="A695" s="101">
        <v>44685.0</v>
      </c>
      <c r="B695" s="111">
        <v>2375.0</v>
      </c>
      <c r="C695" s="111">
        <v>2.0</v>
      </c>
      <c r="D695" s="110" t="s">
        <v>227</v>
      </c>
      <c r="E695" s="111">
        <v>1.0</v>
      </c>
      <c r="F695" s="111">
        <v>0.1505</v>
      </c>
      <c r="G695" s="111">
        <v>0.0808</v>
      </c>
      <c r="H695" s="110" t="s">
        <v>280</v>
      </c>
      <c r="I695" s="112">
        <f t="shared" si="1"/>
        <v>0.8626237624</v>
      </c>
      <c r="J695" s="82">
        <f t="shared" si="2"/>
        <v>0.5368770764</v>
      </c>
    </row>
    <row r="696">
      <c r="A696" s="101">
        <v>44685.0</v>
      </c>
      <c r="B696" s="111">
        <v>2375.0</v>
      </c>
      <c r="C696" s="111">
        <v>2.0</v>
      </c>
      <c r="D696" s="110" t="s">
        <v>228</v>
      </c>
      <c r="E696" s="111">
        <v>0.0</v>
      </c>
      <c r="F696" s="111">
        <v>0.7164</v>
      </c>
      <c r="G696" s="111">
        <v>0.367</v>
      </c>
      <c r="H696" s="110" t="s">
        <v>280</v>
      </c>
      <c r="I696" s="112">
        <f t="shared" si="1"/>
        <v>0.9520435967</v>
      </c>
      <c r="J696" s="82">
        <f t="shared" si="2"/>
        <v>0.5122836404</v>
      </c>
    </row>
    <row r="697">
      <c r="A697" s="101">
        <v>44685.0</v>
      </c>
      <c r="B697" s="111">
        <v>2375.0</v>
      </c>
      <c r="C697" s="111">
        <v>2.0</v>
      </c>
      <c r="D697" s="110" t="s">
        <v>227</v>
      </c>
      <c r="E697" s="111">
        <v>1.0</v>
      </c>
      <c r="F697" s="111">
        <v>0.1485</v>
      </c>
      <c r="G697" s="111">
        <v>0.0756</v>
      </c>
      <c r="H697" s="110" t="s">
        <v>280</v>
      </c>
      <c r="I697" s="112">
        <f t="shared" si="1"/>
        <v>0.9642857143</v>
      </c>
      <c r="J697" s="82">
        <f t="shared" si="2"/>
        <v>0.5090909091</v>
      </c>
    </row>
    <row r="698">
      <c r="A698" s="101">
        <v>44685.0</v>
      </c>
      <c r="B698" s="111">
        <v>2375.0</v>
      </c>
      <c r="C698" s="111">
        <v>2.0</v>
      </c>
      <c r="D698" s="110" t="s">
        <v>228</v>
      </c>
      <c r="E698" s="111">
        <v>0.0</v>
      </c>
      <c r="F698" s="111">
        <v>1.9475</v>
      </c>
      <c r="G698" s="111">
        <v>0.9681</v>
      </c>
      <c r="H698" s="110" t="s">
        <v>280</v>
      </c>
      <c r="I698" s="112">
        <f t="shared" si="1"/>
        <v>1.011672348</v>
      </c>
      <c r="J698" s="82">
        <f t="shared" si="2"/>
        <v>0.4970988447</v>
      </c>
    </row>
    <row r="699">
      <c r="A699" s="101">
        <v>44685.0</v>
      </c>
      <c r="B699" s="111">
        <v>2375.0</v>
      </c>
      <c r="C699" s="111">
        <v>2.0</v>
      </c>
      <c r="D699" s="110" t="s">
        <v>227</v>
      </c>
      <c r="E699" s="111">
        <v>0.0</v>
      </c>
      <c r="F699" s="111">
        <v>0.0891</v>
      </c>
      <c r="G699" s="111">
        <v>0.0427</v>
      </c>
      <c r="H699" s="110" t="s">
        <v>280</v>
      </c>
      <c r="I699" s="112">
        <f t="shared" si="1"/>
        <v>1.086651054</v>
      </c>
      <c r="J699" s="82">
        <f t="shared" si="2"/>
        <v>0.4792368126</v>
      </c>
    </row>
    <row r="700">
      <c r="A700" s="101">
        <v>44685.0</v>
      </c>
      <c r="B700" s="111">
        <v>2375.0</v>
      </c>
      <c r="C700" s="111">
        <v>3.0</v>
      </c>
      <c r="D700" s="110" t="s">
        <v>227</v>
      </c>
      <c r="E700" s="111">
        <v>1.0</v>
      </c>
      <c r="F700" s="111">
        <v>0.1578</v>
      </c>
      <c r="G700" s="111">
        <v>0.081</v>
      </c>
      <c r="H700" s="110" t="s">
        <v>280</v>
      </c>
      <c r="I700" s="112">
        <f t="shared" si="1"/>
        <v>0.9481481481</v>
      </c>
      <c r="J700" s="82">
        <f t="shared" si="2"/>
        <v>0.5133079848</v>
      </c>
    </row>
    <row r="701">
      <c r="A701" s="101">
        <v>44685.0</v>
      </c>
      <c r="B701" s="111">
        <v>2375.0</v>
      </c>
      <c r="C701" s="111">
        <v>3.0</v>
      </c>
      <c r="D701" s="110" t="s">
        <v>228</v>
      </c>
      <c r="E701" s="111">
        <v>0.0</v>
      </c>
      <c r="F701" s="111">
        <v>0.9762</v>
      </c>
      <c r="G701" s="111">
        <v>0.484</v>
      </c>
      <c r="H701" s="110" t="s">
        <v>280</v>
      </c>
      <c r="I701" s="112">
        <f t="shared" si="1"/>
        <v>1.016942149</v>
      </c>
      <c r="J701" s="82">
        <f t="shared" si="2"/>
        <v>0.495800041</v>
      </c>
    </row>
    <row r="702">
      <c r="A702" s="101">
        <v>44685.0</v>
      </c>
      <c r="B702" s="111">
        <v>2375.0</v>
      </c>
      <c r="C702" s="111">
        <v>3.0</v>
      </c>
      <c r="D702" s="110" t="s">
        <v>227</v>
      </c>
      <c r="E702" s="111">
        <v>0.0</v>
      </c>
      <c r="F702" s="111">
        <v>0.1904</v>
      </c>
      <c r="G702" s="111">
        <v>0.0831</v>
      </c>
      <c r="H702" s="110" t="s">
        <v>280</v>
      </c>
      <c r="I702" s="112">
        <f t="shared" si="1"/>
        <v>1.291215403</v>
      </c>
      <c r="J702" s="82">
        <f t="shared" si="2"/>
        <v>0.4364495798</v>
      </c>
    </row>
    <row r="703">
      <c r="A703" s="101">
        <v>44685.0</v>
      </c>
      <c r="B703" s="111">
        <v>2375.0</v>
      </c>
      <c r="C703" s="111">
        <v>3.0</v>
      </c>
      <c r="D703" s="110" t="s">
        <v>227</v>
      </c>
      <c r="E703" s="111">
        <v>0.0</v>
      </c>
      <c r="F703" s="111">
        <v>0.1834</v>
      </c>
      <c r="G703" s="111">
        <v>0.078</v>
      </c>
      <c r="H703" s="110" t="s">
        <v>280</v>
      </c>
      <c r="I703" s="112">
        <f t="shared" si="1"/>
        <v>1.351282051</v>
      </c>
      <c r="J703" s="82">
        <f t="shared" si="2"/>
        <v>0.4252998909</v>
      </c>
    </row>
    <row r="704">
      <c r="A704" s="101">
        <v>44685.0</v>
      </c>
      <c r="B704" s="111">
        <v>2377.0</v>
      </c>
      <c r="C704" s="111">
        <v>1.0</v>
      </c>
      <c r="D704" s="110" t="s">
        <v>228</v>
      </c>
      <c r="E704" s="111">
        <v>1.0</v>
      </c>
      <c r="F704" s="111">
        <v>1.9358</v>
      </c>
      <c r="G704" s="111">
        <v>1.1383</v>
      </c>
      <c r="H704" s="110" t="s">
        <v>280</v>
      </c>
      <c r="I704" s="112">
        <f t="shared" si="1"/>
        <v>0.7006061671</v>
      </c>
      <c r="J704" s="82">
        <f t="shared" si="2"/>
        <v>0.5880256225</v>
      </c>
    </row>
    <row r="705">
      <c r="A705" s="101">
        <v>44685.0</v>
      </c>
      <c r="B705" s="111">
        <v>2377.0</v>
      </c>
      <c r="C705" s="111">
        <v>1.0</v>
      </c>
      <c r="D705" s="110" t="s">
        <v>227</v>
      </c>
      <c r="E705" s="111">
        <v>1.0</v>
      </c>
      <c r="F705" s="111">
        <v>0.4754</v>
      </c>
      <c r="G705" s="111">
        <v>0.2458</v>
      </c>
      <c r="H705" s="110" t="s">
        <v>280</v>
      </c>
      <c r="I705" s="112">
        <f t="shared" si="1"/>
        <v>0.9340927583</v>
      </c>
      <c r="J705" s="82">
        <f t="shared" si="2"/>
        <v>0.5170382836</v>
      </c>
    </row>
    <row r="706">
      <c r="A706" s="101">
        <v>44685.0</v>
      </c>
      <c r="B706" s="111">
        <v>2377.0</v>
      </c>
      <c r="C706" s="111">
        <v>2.0</v>
      </c>
      <c r="D706" s="110" t="s">
        <v>228</v>
      </c>
      <c r="E706" s="111">
        <v>1.0</v>
      </c>
      <c r="F706" s="111">
        <v>1.3244</v>
      </c>
      <c r="G706" s="111">
        <v>0.7156</v>
      </c>
      <c r="H706" s="110" t="s">
        <v>280</v>
      </c>
      <c r="I706" s="112">
        <f t="shared" si="1"/>
        <v>0.8507546115</v>
      </c>
      <c r="J706" s="82">
        <f t="shared" si="2"/>
        <v>0.540320145</v>
      </c>
    </row>
    <row r="707">
      <c r="A707" s="101">
        <v>44685.0</v>
      </c>
      <c r="B707" s="111">
        <v>2377.0</v>
      </c>
      <c r="C707" s="111">
        <v>2.0</v>
      </c>
      <c r="D707" s="110" t="s">
        <v>227</v>
      </c>
      <c r="E707" s="111">
        <v>1.0</v>
      </c>
      <c r="F707" s="111">
        <v>0.3423</v>
      </c>
      <c r="G707" s="111">
        <v>0.1805</v>
      </c>
      <c r="H707" s="110" t="s">
        <v>280</v>
      </c>
      <c r="I707" s="112">
        <f t="shared" si="1"/>
        <v>0.896398892</v>
      </c>
      <c r="J707" s="82">
        <f t="shared" si="2"/>
        <v>0.5273152206</v>
      </c>
    </row>
    <row r="708">
      <c r="A708" s="101">
        <v>44685.0</v>
      </c>
      <c r="B708" s="111">
        <v>2377.0</v>
      </c>
      <c r="C708" s="111">
        <v>3.0</v>
      </c>
      <c r="D708" s="110" t="s">
        <v>228</v>
      </c>
      <c r="E708" s="111">
        <v>1.0</v>
      </c>
      <c r="F708" s="111">
        <v>1.1489</v>
      </c>
      <c r="G708" s="111">
        <v>0.7058</v>
      </c>
      <c r="H708" s="110" t="s">
        <v>280</v>
      </c>
      <c r="I708" s="112">
        <f t="shared" si="1"/>
        <v>0.6277982431</v>
      </c>
      <c r="J708" s="82">
        <f t="shared" si="2"/>
        <v>0.6143267473</v>
      </c>
    </row>
    <row r="709">
      <c r="A709" s="101">
        <v>44685.0</v>
      </c>
      <c r="B709" s="111">
        <v>2377.0</v>
      </c>
      <c r="C709" s="111">
        <v>3.0</v>
      </c>
      <c r="D709" s="110" t="s">
        <v>227</v>
      </c>
      <c r="E709" s="111">
        <v>1.0</v>
      </c>
      <c r="F709" s="111">
        <v>0.1272</v>
      </c>
      <c r="G709" s="111">
        <v>0.0687</v>
      </c>
      <c r="H709" s="110" t="s">
        <v>280</v>
      </c>
      <c r="I709" s="112">
        <f t="shared" si="1"/>
        <v>0.8515283843</v>
      </c>
      <c r="J709" s="82">
        <f t="shared" si="2"/>
        <v>0.5400943396</v>
      </c>
    </row>
    <row r="710">
      <c r="A710" s="101">
        <v>44685.0</v>
      </c>
      <c r="B710" s="111">
        <v>2378.0</v>
      </c>
      <c r="C710" s="111">
        <v>1.0</v>
      </c>
      <c r="D710" s="110" t="s">
        <v>228</v>
      </c>
      <c r="E710" s="111">
        <v>0.0</v>
      </c>
      <c r="F710" s="111">
        <v>0.6109</v>
      </c>
      <c r="G710" s="111">
        <v>0.3299</v>
      </c>
      <c r="H710" s="110" t="s">
        <v>280</v>
      </c>
      <c r="I710" s="112">
        <f t="shared" si="1"/>
        <v>0.8517732646</v>
      </c>
      <c r="J710" s="82">
        <f t="shared" si="2"/>
        <v>0.540022917</v>
      </c>
    </row>
    <row r="711">
      <c r="A711" s="101">
        <v>44685.0</v>
      </c>
      <c r="B711" s="111">
        <v>2378.0</v>
      </c>
      <c r="C711" s="111">
        <v>1.0</v>
      </c>
      <c r="D711" s="110" t="s">
        <v>227</v>
      </c>
      <c r="E711" s="111">
        <v>1.0</v>
      </c>
      <c r="F711" s="111">
        <v>0.2579</v>
      </c>
      <c r="G711" s="111">
        <v>0.1223</v>
      </c>
      <c r="H711" s="110" t="s">
        <v>280</v>
      </c>
      <c r="I711" s="112">
        <f t="shared" si="1"/>
        <v>1.108748978</v>
      </c>
      <c r="J711" s="82">
        <f t="shared" si="2"/>
        <v>0.4742148119</v>
      </c>
    </row>
    <row r="712">
      <c r="A712" s="101">
        <v>44685.0</v>
      </c>
      <c r="B712" s="111">
        <v>2378.0</v>
      </c>
      <c r="C712" s="111">
        <v>1.0</v>
      </c>
      <c r="D712" s="110" t="s">
        <v>227</v>
      </c>
      <c r="E712" s="111">
        <v>0.0</v>
      </c>
      <c r="F712" s="111">
        <v>0.0722</v>
      </c>
      <c r="G712" s="111">
        <v>0.0318</v>
      </c>
      <c r="H712" s="110" t="s">
        <v>280</v>
      </c>
      <c r="I712" s="112">
        <f t="shared" si="1"/>
        <v>1.270440252</v>
      </c>
      <c r="J712" s="82">
        <f t="shared" si="2"/>
        <v>0.4404432133</v>
      </c>
    </row>
    <row r="713">
      <c r="A713" s="101">
        <v>44685.0</v>
      </c>
      <c r="B713" s="111">
        <v>2378.0</v>
      </c>
      <c r="C713" s="111">
        <v>2.0</v>
      </c>
      <c r="D713" s="110" t="s">
        <v>227</v>
      </c>
      <c r="E713" s="111">
        <v>1.0</v>
      </c>
      <c r="F713" s="111">
        <v>0.1461</v>
      </c>
      <c r="G713" s="111">
        <v>0.076</v>
      </c>
      <c r="H713" s="110" t="s">
        <v>280</v>
      </c>
      <c r="I713" s="112">
        <f t="shared" si="1"/>
        <v>0.9223684211</v>
      </c>
      <c r="J713" s="82">
        <f t="shared" si="2"/>
        <v>0.5201916496</v>
      </c>
    </row>
    <row r="714">
      <c r="A714" s="101">
        <v>44685.0</v>
      </c>
      <c r="B714" s="111">
        <v>2378.0</v>
      </c>
      <c r="C714" s="111">
        <v>2.0</v>
      </c>
      <c r="D714" s="110" t="s">
        <v>227</v>
      </c>
      <c r="E714" s="111">
        <v>0.0</v>
      </c>
      <c r="F714" s="111">
        <v>0.3409</v>
      </c>
      <c r="G714" s="111">
        <v>0.0777</v>
      </c>
      <c r="H714" s="110" t="s">
        <v>280</v>
      </c>
      <c r="I714" s="112">
        <f t="shared" si="1"/>
        <v>3.387387387</v>
      </c>
      <c r="J714" s="82">
        <f t="shared" si="2"/>
        <v>0.227926078</v>
      </c>
      <c r="K714" s="66">
        <v>1.0</v>
      </c>
    </row>
    <row r="715">
      <c r="A715" s="101">
        <v>44685.0</v>
      </c>
      <c r="B715" s="111">
        <v>2378.0</v>
      </c>
      <c r="C715" s="111">
        <v>3.0</v>
      </c>
      <c r="D715" s="110" t="s">
        <v>228</v>
      </c>
      <c r="E715" s="111">
        <v>1.0</v>
      </c>
      <c r="F715" s="111">
        <v>1.0829</v>
      </c>
      <c r="G715" s="111">
        <v>0.5371</v>
      </c>
      <c r="H715" s="110" t="s">
        <v>280</v>
      </c>
      <c r="I715" s="112">
        <f t="shared" si="1"/>
        <v>1.016198101</v>
      </c>
      <c r="J715" s="82">
        <f t="shared" si="2"/>
        <v>0.4959830086</v>
      </c>
    </row>
    <row r="716">
      <c r="A716" s="101">
        <v>44685.0</v>
      </c>
      <c r="B716" s="111">
        <v>2378.0</v>
      </c>
      <c r="C716" s="111">
        <v>3.0</v>
      </c>
      <c r="D716" s="110" t="s">
        <v>227</v>
      </c>
      <c r="E716" s="111">
        <v>1.0</v>
      </c>
      <c r="F716" s="111">
        <v>0.153</v>
      </c>
      <c r="G716" s="111">
        <v>0.0755</v>
      </c>
      <c r="H716" s="110" t="s">
        <v>280</v>
      </c>
      <c r="I716" s="112">
        <f t="shared" si="1"/>
        <v>1.026490066</v>
      </c>
      <c r="J716" s="82">
        <f t="shared" si="2"/>
        <v>0.4934640523</v>
      </c>
    </row>
    <row r="717">
      <c r="A717" s="101">
        <v>44685.0</v>
      </c>
      <c r="B717" s="111">
        <v>2378.0</v>
      </c>
      <c r="C717" s="111">
        <v>3.0</v>
      </c>
      <c r="D717" s="110" t="s">
        <v>227</v>
      </c>
      <c r="E717" s="111">
        <v>0.0</v>
      </c>
      <c r="F717" s="111">
        <v>0.2381</v>
      </c>
      <c r="G717" s="111">
        <v>0.111</v>
      </c>
      <c r="H717" s="110" t="s">
        <v>280</v>
      </c>
      <c r="I717" s="112">
        <f t="shared" si="1"/>
        <v>1.145045045</v>
      </c>
      <c r="J717" s="82">
        <f t="shared" si="2"/>
        <v>0.4661906762</v>
      </c>
    </row>
    <row r="718">
      <c r="A718" s="101">
        <v>44685.0</v>
      </c>
      <c r="B718" s="111">
        <v>2379.0</v>
      </c>
      <c r="C718" s="111">
        <v>1.0</v>
      </c>
      <c r="D718" s="110" t="s">
        <v>227</v>
      </c>
      <c r="E718" s="111">
        <v>1.0</v>
      </c>
      <c r="F718" s="111">
        <v>0.3102</v>
      </c>
      <c r="G718" s="111">
        <v>0.1708</v>
      </c>
      <c r="H718" s="110" t="s">
        <v>280</v>
      </c>
      <c r="I718" s="112">
        <f t="shared" si="1"/>
        <v>0.8161592506</v>
      </c>
      <c r="J718" s="82">
        <f t="shared" si="2"/>
        <v>0.5506125081</v>
      </c>
    </row>
    <row r="719">
      <c r="A719" s="101">
        <v>44685.0</v>
      </c>
      <c r="B719" s="111">
        <v>2379.0</v>
      </c>
      <c r="C719" s="111">
        <v>1.0</v>
      </c>
      <c r="D719" s="110" t="s">
        <v>228</v>
      </c>
      <c r="E719" s="111">
        <v>0.0</v>
      </c>
      <c r="F719" s="111">
        <v>1.021</v>
      </c>
      <c r="G719" s="111">
        <v>0.5379</v>
      </c>
      <c r="H719" s="110" t="s">
        <v>280</v>
      </c>
      <c r="I719" s="112">
        <f t="shared" si="1"/>
        <v>0.8981223276</v>
      </c>
      <c r="J719" s="82">
        <f t="shared" si="2"/>
        <v>0.5268364349</v>
      </c>
    </row>
    <row r="720">
      <c r="A720" s="101">
        <v>44685.0</v>
      </c>
      <c r="B720" s="111">
        <v>2379.0</v>
      </c>
      <c r="C720" s="111">
        <v>1.0</v>
      </c>
      <c r="D720" s="110" t="s">
        <v>227</v>
      </c>
      <c r="E720" s="111">
        <v>0.0</v>
      </c>
      <c r="F720" s="111">
        <v>0.0891</v>
      </c>
      <c r="G720" s="111">
        <v>0.0435</v>
      </c>
      <c r="H720" s="110" t="s">
        <v>280</v>
      </c>
      <c r="I720" s="112">
        <f t="shared" si="1"/>
        <v>1.048275862</v>
      </c>
      <c r="J720" s="82">
        <f t="shared" si="2"/>
        <v>0.4882154882</v>
      </c>
    </row>
    <row r="721">
      <c r="A721" s="101">
        <v>44685.0</v>
      </c>
      <c r="B721" s="111">
        <v>2379.0</v>
      </c>
      <c r="C721" s="111">
        <v>2.0</v>
      </c>
      <c r="D721" s="110" t="s">
        <v>227</v>
      </c>
      <c r="E721" s="111">
        <v>1.0</v>
      </c>
      <c r="F721" s="111">
        <v>0.4021</v>
      </c>
      <c r="G721" s="111">
        <v>0.2187</v>
      </c>
      <c r="H721" s="110" t="s">
        <v>280</v>
      </c>
      <c r="I721" s="112">
        <f t="shared" si="1"/>
        <v>0.8385916781</v>
      </c>
      <c r="J721" s="82">
        <f t="shared" si="2"/>
        <v>0.5438945536</v>
      </c>
    </row>
    <row r="722">
      <c r="A722" s="101">
        <v>44685.0</v>
      </c>
      <c r="B722" s="111">
        <v>2379.0</v>
      </c>
      <c r="C722" s="111">
        <v>2.0</v>
      </c>
      <c r="D722" s="110" t="s">
        <v>228</v>
      </c>
      <c r="E722" s="111">
        <v>0.0</v>
      </c>
      <c r="F722" s="111">
        <v>1.4753</v>
      </c>
      <c r="G722" s="111">
        <v>0.7557</v>
      </c>
      <c r="H722" s="110" t="s">
        <v>280</v>
      </c>
      <c r="I722" s="112">
        <f t="shared" si="1"/>
        <v>0.9522297208</v>
      </c>
      <c r="J722" s="82">
        <f t="shared" si="2"/>
        <v>0.5122347997</v>
      </c>
    </row>
    <row r="723">
      <c r="A723" s="101">
        <v>44685.0</v>
      </c>
      <c r="B723" s="111">
        <v>2379.0</v>
      </c>
      <c r="C723" s="111">
        <v>2.0</v>
      </c>
      <c r="D723" s="110" t="s">
        <v>227</v>
      </c>
      <c r="E723" s="111">
        <v>0.0</v>
      </c>
      <c r="F723" s="111">
        <v>0.1908</v>
      </c>
      <c r="G723" s="111">
        <v>0.0889</v>
      </c>
      <c r="H723" s="110" t="s">
        <v>280</v>
      </c>
      <c r="I723" s="112">
        <f t="shared" si="1"/>
        <v>1.146231721</v>
      </c>
      <c r="J723" s="82">
        <f t="shared" si="2"/>
        <v>0.465932914</v>
      </c>
    </row>
    <row r="724">
      <c r="A724" s="101">
        <v>44685.0</v>
      </c>
      <c r="B724" s="111">
        <v>2379.0</v>
      </c>
      <c r="C724" s="111">
        <v>3.0</v>
      </c>
      <c r="D724" s="110" t="s">
        <v>227</v>
      </c>
      <c r="E724" s="111">
        <v>1.0</v>
      </c>
      <c r="F724" s="111">
        <v>0.1452</v>
      </c>
      <c r="G724" s="111">
        <v>0.0785</v>
      </c>
      <c r="H724" s="110" t="s">
        <v>280</v>
      </c>
      <c r="I724" s="112">
        <f t="shared" si="1"/>
        <v>0.8496815287</v>
      </c>
      <c r="J724" s="82">
        <f t="shared" si="2"/>
        <v>0.5406336088</v>
      </c>
    </row>
    <row r="725">
      <c r="A725" s="101">
        <v>44685.0</v>
      </c>
      <c r="B725" s="111">
        <v>2379.0</v>
      </c>
      <c r="C725" s="111">
        <v>3.0</v>
      </c>
      <c r="D725" s="110" t="s">
        <v>228</v>
      </c>
      <c r="E725" s="111">
        <v>0.0</v>
      </c>
      <c r="F725" s="111">
        <v>0.7016</v>
      </c>
      <c r="G725" s="111">
        <v>0.3608</v>
      </c>
      <c r="H725" s="110" t="s">
        <v>280</v>
      </c>
      <c r="I725" s="112">
        <f t="shared" si="1"/>
        <v>0.9445676275</v>
      </c>
      <c r="J725" s="82">
        <f t="shared" si="2"/>
        <v>0.5142531357</v>
      </c>
    </row>
    <row r="726">
      <c r="A726" s="101">
        <v>44685.0</v>
      </c>
      <c r="B726" s="111">
        <v>2379.0</v>
      </c>
      <c r="C726" s="111">
        <v>3.0</v>
      </c>
      <c r="D726" s="110" t="s">
        <v>227</v>
      </c>
      <c r="E726" s="111">
        <v>0.0</v>
      </c>
      <c r="F726" s="111">
        <v>0.0481</v>
      </c>
      <c r="G726" s="111">
        <v>0.0222</v>
      </c>
      <c r="H726" s="110" t="s">
        <v>280</v>
      </c>
      <c r="I726" s="112">
        <f t="shared" si="1"/>
        <v>1.166666667</v>
      </c>
      <c r="J726" s="82">
        <f t="shared" si="2"/>
        <v>0.4615384615</v>
      </c>
    </row>
    <row r="727">
      <c r="A727" s="101">
        <v>44685.0</v>
      </c>
      <c r="B727" s="111">
        <v>2380.0</v>
      </c>
      <c r="C727" s="111">
        <v>1.0</v>
      </c>
      <c r="D727" s="110" t="s">
        <v>228</v>
      </c>
      <c r="E727" s="111">
        <v>1.0</v>
      </c>
      <c r="F727" s="111">
        <v>2.4192</v>
      </c>
      <c r="G727" s="111">
        <v>1.5249</v>
      </c>
      <c r="H727" s="110" t="s">
        <v>280</v>
      </c>
      <c r="I727" s="112">
        <f t="shared" si="1"/>
        <v>0.5864646862</v>
      </c>
      <c r="J727" s="82">
        <f t="shared" si="2"/>
        <v>0.6303323413</v>
      </c>
    </row>
    <row r="728">
      <c r="A728" s="101">
        <v>44685.0</v>
      </c>
      <c r="B728" s="111">
        <v>2380.0</v>
      </c>
      <c r="C728" s="111">
        <v>1.0</v>
      </c>
      <c r="D728" s="110" t="s">
        <v>227</v>
      </c>
      <c r="E728" s="111">
        <v>1.0</v>
      </c>
      <c r="F728" s="111">
        <v>0.3729</v>
      </c>
      <c r="G728" s="111">
        <v>0.2247</v>
      </c>
      <c r="H728" s="110" t="s">
        <v>280</v>
      </c>
      <c r="I728" s="112">
        <f t="shared" si="1"/>
        <v>0.6595460614</v>
      </c>
      <c r="J728" s="82">
        <f t="shared" si="2"/>
        <v>0.6025744167</v>
      </c>
    </row>
    <row r="729">
      <c r="A729" s="101">
        <v>44685.0</v>
      </c>
      <c r="B729" s="111">
        <v>2380.0</v>
      </c>
      <c r="C729" s="111">
        <v>2.0</v>
      </c>
      <c r="D729" s="110" t="s">
        <v>228</v>
      </c>
      <c r="E729" s="111">
        <v>1.0</v>
      </c>
      <c r="F729" s="111">
        <v>2.217</v>
      </c>
      <c r="G729" s="111">
        <v>1.4172</v>
      </c>
      <c r="H729" s="110" t="s">
        <v>280</v>
      </c>
      <c r="I729" s="112">
        <f t="shared" si="1"/>
        <v>0.5643522439</v>
      </c>
      <c r="J729" s="82">
        <f t="shared" si="2"/>
        <v>0.6392422192</v>
      </c>
    </row>
    <row r="730">
      <c r="A730" s="101">
        <v>44685.0</v>
      </c>
      <c r="B730" s="111">
        <v>2380.0</v>
      </c>
      <c r="C730" s="111">
        <v>2.0</v>
      </c>
      <c r="D730" s="110" t="s">
        <v>227</v>
      </c>
      <c r="E730" s="111">
        <v>1.0</v>
      </c>
      <c r="F730" s="111">
        <v>0.4747</v>
      </c>
      <c r="G730" s="111">
        <v>0.2734</v>
      </c>
      <c r="H730" s="110" t="s">
        <v>280</v>
      </c>
      <c r="I730" s="112">
        <f t="shared" si="1"/>
        <v>0.7362838332</v>
      </c>
      <c r="J730" s="82">
        <f t="shared" si="2"/>
        <v>0.5759427007</v>
      </c>
    </row>
    <row r="731">
      <c r="A731" s="101">
        <v>44685.0</v>
      </c>
      <c r="B731" s="111">
        <v>2380.0</v>
      </c>
      <c r="C731" s="111">
        <v>3.0</v>
      </c>
      <c r="D731" s="110" t="s">
        <v>228</v>
      </c>
      <c r="E731" s="111">
        <v>1.0</v>
      </c>
      <c r="F731" s="111">
        <v>0.9841</v>
      </c>
      <c r="G731" s="111">
        <v>0.5995</v>
      </c>
      <c r="H731" s="110" t="s">
        <v>280</v>
      </c>
      <c r="I731" s="112">
        <f t="shared" si="1"/>
        <v>0.6415346122</v>
      </c>
      <c r="J731" s="82">
        <f t="shared" si="2"/>
        <v>0.6091860583</v>
      </c>
    </row>
    <row r="732">
      <c r="A732" s="101">
        <v>44685.0</v>
      </c>
      <c r="B732" s="111">
        <v>2380.0</v>
      </c>
      <c r="C732" s="111">
        <v>3.0</v>
      </c>
      <c r="D732" s="110" t="s">
        <v>227</v>
      </c>
      <c r="E732" s="111">
        <v>1.0</v>
      </c>
      <c r="F732" s="111">
        <v>0.2211</v>
      </c>
      <c r="G732" s="111">
        <v>0.1268</v>
      </c>
      <c r="H732" s="110" t="s">
        <v>280</v>
      </c>
      <c r="I732" s="112">
        <f t="shared" si="1"/>
        <v>0.7436908517</v>
      </c>
      <c r="J732" s="82">
        <f t="shared" si="2"/>
        <v>0.5734961556</v>
      </c>
    </row>
    <row r="733">
      <c r="A733" s="101">
        <v>44685.0</v>
      </c>
      <c r="B733" s="111">
        <v>2383.0</v>
      </c>
      <c r="C733" s="111">
        <v>2.0</v>
      </c>
      <c r="D733" s="110" t="s">
        <v>228</v>
      </c>
      <c r="E733" s="111">
        <v>0.0</v>
      </c>
      <c r="F733" s="111">
        <v>0.715</v>
      </c>
      <c r="G733" s="111">
        <v>0.3791</v>
      </c>
      <c r="H733" s="110" t="s">
        <v>280</v>
      </c>
      <c r="I733" s="112">
        <f t="shared" si="1"/>
        <v>0.8860458982</v>
      </c>
      <c r="J733" s="82">
        <f t="shared" si="2"/>
        <v>0.5302097902</v>
      </c>
    </row>
    <row r="734">
      <c r="A734" s="101">
        <v>44685.0</v>
      </c>
      <c r="B734" s="111">
        <v>2383.0</v>
      </c>
      <c r="C734" s="111">
        <v>2.0</v>
      </c>
      <c r="D734" s="110" t="s">
        <v>227</v>
      </c>
      <c r="E734" s="111">
        <v>1.0</v>
      </c>
      <c r="F734" s="111">
        <v>0.1292</v>
      </c>
      <c r="G734" s="111">
        <v>0.0685</v>
      </c>
      <c r="H734" s="110" t="s">
        <v>280</v>
      </c>
      <c r="I734" s="112">
        <f t="shared" si="1"/>
        <v>0.8861313869</v>
      </c>
      <c r="J734" s="82">
        <f t="shared" si="2"/>
        <v>0.5301857585</v>
      </c>
    </row>
    <row r="735">
      <c r="A735" s="101">
        <v>44685.0</v>
      </c>
      <c r="B735" s="111">
        <v>2383.0</v>
      </c>
      <c r="C735" s="111">
        <v>2.0</v>
      </c>
      <c r="D735" s="110" t="s">
        <v>227</v>
      </c>
      <c r="E735" s="111">
        <v>0.0</v>
      </c>
      <c r="F735" s="111">
        <v>0.1063</v>
      </c>
      <c r="G735" s="111">
        <v>0.0515</v>
      </c>
      <c r="H735" s="110" t="s">
        <v>280</v>
      </c>
      <c r="I735" s="112">
        <f t="shared" si="1"/>
        <v>1.06407767</v>
      </c>
      <c r="J735" s="82">
        <f t="shared" si="2"/>
        <v>0.4844778928</v>
      </c>
    </row>
    <row r="736">
      <c r="A736" s="101">
        <v>44685.0</v>
      </c>
      <c r="B736" s="111">
        <v>2383.0</v>
      </c>
      <c r="C736" s="111">
        <v>3.0</v>
      </c>
      <c r="D736" s="110" t="s">
        <v>227</v>
      </c>
      <c r="E736" s="111">
        <v>1.0</v>
      </c>
      <c r="F736" s="111">
        <v>0.1499</v>
      </c>
      <c r="G736" s="111">
        <v>0.0803</v>
      </c>
      <c r="H736" s="110" t="s">
        <v>280</v>
      </c>
      <c r="I736" s="112">
        <f t="shared" si="1"/>
        <v>0.8667496887</v>
      </c>
      <c r="J736" s="82">
        <f t="shared" si="2"/>
        <v>0.5356904603</v>
      </c>
    </row>
    <row r="737">
      <c r="A737" s="101">
        <v>44685.0</v>
      </c>
      <c r="B737" s="111">
        <v>2383.0</v>
      </c>
      <c r="C737" s="111">
        <v>3.0</v>
      </c>
      <c r="D737" s="110" t="s">
        <v>227</v>
      </c>
      <c r="E737" s="111">
        <v>1.0</v>
      </c>
      <c r="F737" s="111">
        <v>0.1926</v>
      </c>
      <c r="G737" s="111">
        <v>0.1014</v>
      </c>
      <c r="H737" s="110" t="s">
        <v>280</v>
      </c>
      <c r="I737" s="112">
        <f t="shared" si="1"/>
        <v>0.899408284</v>
      </c>
      <c r="J737" s="82">
        <f t="shared" si="2"/>
        <v>0.5264797508</v>
      </c>
    </row>
    <row r="738">
      <c r="A738" s="101">
        <v>44685.0</v>
      </c>
      <c r="B738" s="111">
        <v>2383.0</v>
      </c>
      <c r="C738" s="111">
        <v>3.0</v>
      </c>
      <c r="D738" s="110" t="s">
        <v>228</v>
      </c>
      <c r="E738" s="111">
        <v>0.0</v>
      </c>
      <c r="F738" s="111">
        <v>0.6387</v>
      </c>
      <c r="G738" s="111">
        <v>0.3306</v>
      </c>
      <c r="H738" s="110" t="s">
        <v>280</v>
      </c>
      <c r="I738" s="112">
        <f t="shared" si="1"/>
        <v>0.9319419238</v>
      </c>
      <c r="J738" s="82">
        <f t="shared" si="2"/>
        <v>0.5176139032</v>
      </c>
    </row>
    <row r="739">
      <c r="A739" s="101">
        <v>44685.0</v>
      </c>
      <c r="B739" s="111">
        <v>2383.0</v>
      </c>
      <c r="C739" s="111">
        <v>3.0</v>
      </c>
      <c r="D739" s="110" t="s">
        <v>227</v>
      </c>
      <c r="E739" s="111">
        <v>0.0</v>
      </c>
      <c r="F739" s="111">
        <v>0.0508</v>
      </c>
      <c r="G739" s="111">
        <v>0.026</v>
      </c>
      <c r="H739" s="110" t="s">
        <v>280</v>
      </c>
      <c r="I739" s="112">
        <f t="shared" si="1"/>
        <v>0.9538461538</v>
      </c>
      <c r="J739" s="82">
        <f t="shared" si="2"/>
        <v>0.5118110236</v>
      </c>
    </row>
    <row r="740">
      <c r="A740" s="101">
        <v>44685.0</v>
      </c>
      <c r="B740" s="111">
        <v>2383.0</v>
      </c>
      <c r="C740" s="111">
        <v>3.0</v>
      </c>
      <c r="D740" s="110" t="s">
        <v>228</v>
      </c>
      <c r="E740" s="111">
        <v>0.0</v>
      </c>
      <c r="F740" s="111">
        <v>1.2105</v>
      </c>
      <c r="G740" s="111">
        <v>0.6109</v>
      </c>
      <c r="H740" s="110" t="s">
        <v>280</v>
      </c>
      <c r="I740" s="112">
        <f t="shared" si="1"/>
        <v>0.9815027009</v>
      </c>
      <c r="J740" s="82">
        <f t="shared" si="2"/>
        <v>0.5046674928</v>
      </c>
    </row>
    <row r="741">
      <c r="A741" s="101">
        <v>44685.0</v>
      </c>
      <c r="B741" s="111">
        <v>2383.0</v>
      </c>
      <c r="C741" s="111">
        <v>3.0</v>
      </c>
      <c r="D741" s="110" t="s">
        <v>227</v>
      </c>
      <c r="E741" s="111">
        <v>0.0</v>
      </c>
      <c r="F741" s="111">
        <v>0.0471</v>
      </c>
      <c r="G741" s="111">
        <v>0.0209</v>
      </c>
      <c r="H741" s="110" t="s">
        <v>280</v>
      </c>
      <c r="I741" s="112">
        <f t="shared" si="1"/>
        <v>1.253588517</v>
      </c>
      <c r="J741" s="82">
        <f t="shared" si="2"/>
        <v>0.4437367304</v>
      </c>
    </row>
    <row r="742">
      <c r="A742" s="101">
        <v>44690.0</v>
      </c>
      <c r="B742" s="111">
        <v>1475.0</v>
      </c>
      <c r="C742" s="111">
        <v>1.0</v>
      </c>
      <c r="D742" s="110" t="s">
        <v>228</v>
      </c>
      <c r="E742" s="111">
        <v>0.0</v>
      </c>
      <c r="F742" s="111">
        <v>0.3418</v>
      </c>
      <c r="G742" s="111">
        <v>0.1599</v>
      </c>
      <c r="H742" s="114" t="s">
        <v>281</v>
      </c>
      <c r="I742" s="112">
        <f t="shared" si="1"/>
        <v>1.137585991</v>
      </c>
      <c r="J742" s="82">
        <f t="shared" si="2"/>
        <v>0.4678174371</v>
      </c>
    </row>
    <row r="743">
      <c r="A743" s="101">
        <v>44690.0</v>
      </c>
      <c r="B743" s="111">
        <v>1475.0</v>
      </c>
      <c r="C743" s="111">
        <v>1.0</v>
      </c>
      <c r="D743" s="110" t="s">
        <v>227</v>
      </c>
      <c r="E743" s="111">
        <v>1.0</v>
      </c>
      <c r="F743" s="111">
        <v>0.3757</v>
      </c>
      <c r="G743" s="111">
        <v>0.1623</v>
      </c>
      <c r="H743" s="114" t="s">
        <v>281</v>
      </c>
      <c r="I743" s="112">
        <f t="shared" si="1"/>
        <v>1.314849045</v>
      </c>
      <c r="J743" s="82">
        <f t="shared" si="2"/>
        <v>0.4319936119</v>
      </c>
    </row>
    <row r="744">
      <c r="A744" s="101">
        <v>44690.0</v>
      </c>
      <c r="B744" s="111">
        <v>1475.0</v>
      </c>
      <c r="C744" s="111">
        <v>1.0</v>
      </c>
      <c r="D744" s="110" t="s">
        <v>227</v>
      </c>
      <c r="E744" s="111">
        <v>0.0</v>
      </c>
      <c r="F744" s="111">
        <v>0.0823</v>
      </c>
      <c r="G744" s="111">
        <v>0.0303</v>
      </c>
      <c r="H744" s="114" t="s">
        <v>281</v>
      </c>
      <c r="I744" s="112">
        <f t="shared" si="1"/>
        <v>1.716171617</v>
      </c>
      <c r="J744" s="82">
        <f t="shared" si="2"/>
        <v>0.3681652491</v>
      </c>
    </row>
    <row r="745">
      <c r="A745" s="101">
        <v>44690.0</v>
      </c>
      <c r="B745" s="111">
        <v>1475.0</v>
      </c>
      <c r="C745" s="111">
        <v>2.0</v>
      </c>
      <c r="D745" s="110" t="s">
        <v>228</v>
      </c>
      <c r="E745" s="111">
        <v>0.0</v>
      </c>
      <c r="F745" s="111">
        <v>0.602</v>
      </c>
      <c r="G745" s="111">
        <v>0.2885</v>
      </c>
      <c r="H745" s="114" t="s">
        <v>281</v>
      </c>
      <c r="I745" s="112">
        <f t="shared" si="1"/>
        <v>1.086655113</v>
      </c>
      <c r="J745" s="82">
        <f t="shared" si="2"/>
        <v>0.4792358804</v>
      </c>
    </row>
    <row r="746">
      <c r="A746" s="101">
        <v>44690.0</v>
      </c>
      <c r="B746" s="111">
        <v>1475.0</v>
      </c>
      <c r="C746" s="111">
        <v>2.0</v>
      </c>
      <c r="D746" s="110" t="s">
        <v>227</v>
      </c>
      <c r="E746" s="111">
        <v>0.0</v>
      </c>
      <c r="F746" s="111">
        <v>0.2076</v>
      </c>
      <c r="G746" s="111">
        <v>0.0793</v>
      </c>
      <c r="H746" s="114" t="s">
        <v>281</v>
      </c>
      <c r="I746" s="112">
        <f t="shared" si="1"/>
        <v>1.617906683</v>
      </c>
      <c r="J746" s="82">
        <f t="shared" si="2"/>
        <v>0.3819845857</v>
      </c>
    </row>
    <row r="747">
      <c r="A747" s="101">
        <v>44690.0</v>
      </c>
      <c r="B747" s="111">
        <v>1475.0</v>
      </c>
      <c r="C747" s="111">
        <v>3.0</v>
      </c>
      <c r="D747" s="110" t="s">
        <v>227</v>
      </c>
      <c r="E747" s="111">
        <v>1.0</v>
      </c>
      <c r="F747" s="111">
        <v>0.521</v>
      </c>
      <c r="G747" s="111">
        <v>0.2465</v>
      </c>
      <c r="H747" s="114" t="s">
        <v>281</v>
      </c>
      <c r="I747" s="112">
        <f t="shared" si="1"/>
        <v>1.113590264</v>
      </c>
      <c r="J747" s="82">
        <f t="shared" si="2"/>
        <v>0.4731285988</v>
      </c>
    </row>
    <row r="748">
      <c r="A748" s="101">
        <v>44690.0</v>
      </c>
      <c r="B748" s="111">
        <v>1475.0</v>
      </c>
      <c r="C748" s="111">
        <v>3.0</v>
      </c>
      <c r="D748" s="110" t="s">
        <v>227</v>
      </c>
      <c r="E748" s="111">
        <v>0.0</v>
      </c>
      <c r="F748" s="111">
        <v>0.4273</v>
      </c>
      <c r="G748" s="111">
        <v>0.1677</v>
      </c>
      <c r="H748" s="114" t="s">
        <v>281</v>
      </c>
      <c r="I748" s="112">
        <f t="shared" si="1"/>
        <v>1.548002385</v>
      </c>
      <c r="J748" s="82">
        <f t="shared" si="2"/>
        <v>0.3924643108</v>
      </c>
    </row>
    <row r="749">
      <c r="A749" s="101">
        <v>44690.0</v>
      </c>
      <c r="B749" s="111">
        <v>2004.0</v>
      </c>
      <c r="C749" s="111">
        <v>1.0</v>
      </c>
      <c r="D749" s="110" t="s">
        <v>228</v>
      </c>
      <c r="E749" s="111">
        <v>0.0</v>
      </c>
      <c r="F749" s="111">
        <v>0.6243</v>
      </c>
      <c r="G749" s="111">
        <v>0.2982</v>
      </c>
      <c r="H749" s="114" t="s">
        <v>281</v>
      </c>
      <c r="I749" s="112">
        <f t="shared" si="1"/>
        <v>1.093561368</v>
      </c>
      <c r="J749" s="82">
        <f t="shared" si="2"/>
        <v>0.4776549736</v>
      </c>
    </row>
    <row r="750">
      <c r="A750" s="101">
        <v>44690.0</v>
      </c>
      <c r="B750" s="111">
        <v>2004.0</v>
      </c>
      <c r="C750" s="111">
        <v>1.0</v>
      </c>
      <c r="D750" s="110" t="s">
        <v>227</v>
      </c>
      <c r="E750" s="111">
        <v>0.0</v>
      </c>
      <c r="F750" s="111">
        <v>0.4704</v>
      </c>
      <c r="G750" s="111">
        <v>0.1987</v>
      </c>
      <c r="H750" s="114" t="s">
        <v>281</v>
      </c>
      <c r="I750" s="112">
        <f t="shared" si="1"/>
        <v>1.367388022</v>
      </c>
      <c r="J750" s="82">
        <f t="shared" si="2"/>
        <v>0.4224064626</v>
      </c>
    </row>
    <row r="751">
      <c r="A751" s="101">
        <v>44690.0</v>
      </c>
      <c r="B751" s="111">
        <v>2004.0</v>
      </c>
      <c r="C751" s="111">
        <v>2.0</v>
      </c>
      <c r="D751" s="110" t="s">
        <v>228</v>
      </c>
      <c r="E751" s="111">
        <v>0.0</v>
      </c>
      <c r="F751" s="111">
        <v>0.4823</v>
      </c>
      <c r="G751" s="111">
        <v>0.2307</v>
      </c>
      <c r="H751" s="114" t="s">
        <v>281</v>
      </c>
      <c r="I751" s="112">
        <f t="shared" si="1"/>
        <v>1.090593845</v>
      </c>
      <c r="J751" s="82">
        <f t="shared" si="2"/>
        <v>0.4783329878</v>
      </c>
    </row>
    <row r="752">
      <c r="A752" s="101">
        <v>44690.0</v>
      </c>
      <c r="B752" s="111">
        <v>2004.0</v>
      </c>
      <c r="C752" s="111">
        <v>2.0</v>
      </c>
      <c r="D752" s="110" t="s">
        <v>227</v>
      </c>
      <c r="E752" s="111">
        <v>0.0</v>
      </c>
      <c r="F752" s="111">
        <v>0.328</v>
      </c>
      <c r="G752" s="111">
        <v>0.1378</v>
      </c>
      <c r="H752" s="114" t="s">
        <v>281</v>
      </c>
      <c r="I752" s="112">
        <f t="shared" si="1"/>
        <v>1.380261248</v>
      </c>
      <c r="J752" s="82">
        <f t="shared" si="2"/>
        <v>0.4201219512</v>
      </c>
    </row>
    <row r="753">
      <c r="A753" s="101">
        <v>44690.0</v>
      </c>
      <c r="B753" s="111">
        <v>2004.0</v>
      </c>
      <c r="C753" s="111">
        <v>3.0</v>
      </c>
      <c r="D753" s="110" t="s">
        <v>228</v>
      </c>
      <c r="E753" s="111">
        <v>0.0</v>
      </c>
      <c r="F753" s="116">
        <v>0.58</v>
      </c>
      <c r="G753" s="111">
        <v>0.2711</v>
      </c>
      <c r="H753" s="114" t="s">
        <v>281</v>
      </c>
      <c r="I753" s="112">
        <f t="shared" si="1"/>
        <v>1.139431944</v>
      </c>
      <c r="J753" s="82">
        <f t="shared" si="2"/>
        <v>0.4674137931</v>
      </c>
    </row>
    <row r="754">
      <c r="A754" s="101">
        <v>44690.0</v>
      </c>
      <c r="B754" s="111">
        <v>2004.0</v>
      </c>
      <c r="C754" s="111">
        <v>3.0</v>
      </c>
      <c r="D754" s="110" t="s">
        <v>227</v>
      </c>
      <c r="E754" s="111">
        <v>0.0</v>
      </c>
      <c r="F754" s="111">
        <v>0.1859</v>
      </c>
      <c r="G754" s="111">
        <v>0.0779</v>
      </c>
      <c r="H754" s="114" t="s">
        <v>281</v>
      </c>
      <c r="I754" s="112">
        <f t="shared" si="1"/>
        <v>1.386392811</v>
      </c>
      <c r="J754" s="82">
        <f t="shared" si="2"/>
        <v>0.419042496</v>
      </c>
    </row>
    <row r="755">
      <c r="A755" s="101">
        <v>44690.0</v>
      </c>
      <c r="B755" s="111">
        <v>2005.0</v>
      </c>
      <c r="C755" s="111">
        <v>1.0</v>
      </c>
      <c r="D755" s="110" t="s">
        <v>227</v>
      </c>
      <c r="E755" s="111">
        <v>0.0</v>
      </c>
      <c r="F755" s="111">
        <v>0.1683</v>
      </c>
      <c r="G755" s="111">
        <v>0.218</v>
      </c>
      <c r="H755" s="114" t="s">
        <v>281</v>
      </c>
      <c r="I755" s="112">
        <f t="shared" si="1"/>
        <v>-0.2279816514</v>
      </c>
      <c r="J755" s="82">
        <f t="shared" si="2"/>
        <v>1.295306001</v>
      </c>
    </row>
    <row r="756">
      <c r="A756" s="101">
        <v>44690.0</v>
      </c>
      <c r="B756" s="111">
        <v>2005.0</v>
      </c>
      <c r="C756" s="111">
        <v>1.0</v>
      </c>
      <c r="D756" s="110" t="s">
        <v>228</v>
      </c>
      <c r="E756" s="111">
        <v>0.0</v>
      </c>
      <c r="F756" s="111">
        <v>0.8216</v>
      </c>
      <c r="G756" s="111">
        <v>0.428</v>
      </c>
      <c r="H756" s="114" t="s">
        <v>281</v>
      </c>
      <c r="I756" s="112">
        <f t="shared" si="1"/>
        <v>0.9196261682</v>
      </c>
      <c r="J756" s="82">
        <f t="shared" si="2"/>
        <v>0.5209347614</v>
      </c>
    </row>
    <row r="757">
      <c r="A757" s="101">
        <v>44690.0</v>
      </c>
      <c r="B757" s="111">
        <v>2005.0</v>
      </c>
      <c r="C757" s="111">
        <v>1.0</v>
      </c>
      <c r="D757" s="110" t="s">
        <v>227</v>
      </c>
      <c r="E757" s="111">
        <v>1.0</v>
      </c>
      <c r="F757" s="111">
        <v>0.4056</v>
      </c>
      <c r="G757" s="111">
        <v>0.083</v>
      </c>
      <c r="H757" s="114" t="s">
        <v>281</v>
      </c>
      <c r="I757" s="112">
        <f t="shared" si="1"/>
        <v>3.886746988</v>
      </c>
      <c r="J757" s="82">
        <f t="shared" si="2"/>
        <v>0.2046351085</v>
      </c>
      <c r="K757" s="66">
        <v>1.0</v>
      </c>
    </row>
    <row r="758">
      <c r="A758" s="101">
        <v>44690.0</v>
      </c>
      <c r="B758" s="111">
        <v>2005.0</v>
      </c>
      <c r="C758" s="111">
        <v>2.0</v>
      </c>
      <c r="D758" s="110" t="s">
        <v>228</v>
      </c>
      <c r="E758" s="111">
        <v>0.0</v>
      </c>
      <c r="F758" s="111">
        <v>0.853</v>
      </c>
      <c r="G758" s="111">
        <v>0.461</v>
      </c>
      <c r="H758" s="114" t="s">
        <v>281</v>
      </c>
      <c r="I758" s="112">
        <f t="shared" si="1"/>
        <v>0.8503253796</v>
      </c>
      <c r="J758" s="82">
        <f t="shared" si="2"/>
        <v>0.5404454865</v>
      </c>
    </row>
    <row r="759">
      <c r="A759" s="101">
        <v>44690.0</v>
      </c>
      <c r="B759" s="111">
        <v>2005.0</v>
      </c>
      <c r="C759" s="111">
        <v>2.0</v>
      </c>
      <c r="D759" s="110" t="s">
        <v>227</v>
      </c>
      <c r="E759" s="111">
        <v>1.0</v>
      </c>
      <c r="F759" s="111">
        <v>0.1106</v>
      </c>
      <c r="G759" s="111">
        <v>0.059</v>
      </c>
      <c r="H759" s="114" t="s">
        <v>281</v>
      </c>
      <c r="I759" s="112">
        <f t="shared" si="1"/>
        <v>0.8745762712</v>
      </c>
      <c r="J759" s="82">
        <f t="shared" si="2"/>
        <v>0.5334538879</v>
      </c>
    </row>
    <row r="760">
      <c r="A760" s="101">
        <v>44690.0</v>
      </c>
      <c r="B760" s="111">
        <v>2005.0</v>
      </c>
      <c r="C760" s="111">
        <v>2.0</v>
      </c>
      <c r="D760" s="110" t="s">
        <v>227</v>
      </c>
      <c r="E760" s="111">
        <v>0.0</v>
      </c>
      <c r="F760" s="111">
        <v>0.1189</v>
      </c>
      <c r="G760" s="111">
        <v>0.062</v>
      </c>
      <c r="H760" s="114" t="s">
        <v>281</v>
      </c>
      <c r="I760" s="112">
        <f t="shared" si="1"/>
        <v>0.9177419355</v>
      </c>
      <c r="J760" s="82">
        <f t="shared" si="2"/>
        <v>0.5214465938</v>
      </c>
    </row>
    <row r="761">
      <c r="A761" s="101">
        <v>44690.0</v>
      </c>
      <c r="B761" s="111">
        <v>2005.0</v>
      </c>
      <c r="C761" s="111">
        <v>3.0</v>
      </c>
      <c r="D761" s="110" t="s">
        <v>228</v>
      </c>
      <c r="E761" s="111">
        <v>0.0</v>
      </c>
      <c r="F761" s="111">
        <v>1.0888</v>
      </c>
      <c r="G761" s="111">
        <v>0.609</v>
      </c>
      <c r="H761" s="114" t="s">
        <v>281</v>
      </c>
      <c r="I761" s="112">
        <f t="shared" si="1"/>
        <v>0.7878489327</v>
      </c>
      <c r="J761" s="82">
        <f t="shared" si="2"/>
        <v>0.559331374</v>
      </c>
    </row>
    <row r="762">
      <c r="A762" s="101">
        <v>44690.0</v>
      </c>
      <c r="B762" s="111">
        <v>2005.0</v>
      </c>
      <c r="C762" s="111">
        <v>3.0</v>
      </c>
      <c r="D762" s="110" t="s">
        <v>227</v>
      </c>
      <c r="E762" s="111">
        <v>1.0</v>
      </c>
      <c r="F762" s="111">
        <v>0.275</v>
      </c>
      <c r="G762" s="111">
        <v>0.146</v>
      </c>
      <c r="H762" s="114" t="s">
        <v>281</v>
      </c>
      <c r="I762" s="112">
        <f t="shared" si="1"/>
        <v>0.8835616438</v>
      </c>
      <c r="J762" s="82">
        <f t="shared" si="2"/>
        <v>0.5309090909</v>
      </c>
    </row>
    <row r="763">
      <c r="A763" s="101">
        <v>44690.0</v>
      </c>
      <c r="B763" s="111">
        <v>2005.0</v>
      </c>
      <c r="C763" s="111">
        <v>3.0</v>
      </c>
      <c r="D763" s="110" t="s">
        <v>227</v>
      </c>
      <c r="E763" s="111">
        <v>1.0</v>
      </c>
      <c r="F763" s="111">
        <v>0.1024</v>
      </c>
      <c r="G763" s="111">
        <v>0.054</v>
      </c>
      <c r="H763" s="114" t="s">
        <v>281</v>
      </c>
      <c r="I763" s="112">
        <f t="shared" si="1"/>
        <v>0.8962962963</v>
      </c>
      <c r="J763" s="82">
        <f t="shared" si="2"/>
        <v>0.52734375</v>
      </c>
    </row>
    <row r="764">
      <c r="A764" s="101">
        <v>44690.0</v>
      </c>
      <c r="B764" s="111">
        <v>2006.0</v>
      </c>
      <c r="C764" s="111">
        <v>1.0</v>
      </c>
      <c r="D764" s="110" t="s">
        <v>228</v>
      </c>
      <c r="E764" s="111">
        <v>0.0</v>
      </c>
      <c r="F764" s="111">
        <v>0.7881</v>
      </c>
      <c r="G764" s="111">
        <v>0.3924</v>
      </c>
      <c r="H764" s="114" t="s">
        <v>281</v>
      </c>
      <c r="I764" s="112">
        <f t="shared" si="1"/>
        <v>1.008409786</v>
      </c>
      <c r="J764" s="82">
        <f t="shared" si="2"/>
        <v>0.4979063571</v>
      </c>
    </row>
    <row r="765">
      <c r="A765" s="101">
        <v>44690.0</v>
      </c>
      <c r="B765" s="111">
        <v>2006.0</v>
      </c>
      <c r="C765" s="111">
        <v>1.0</v>
      </c>
      <c r="D765" s="110" t="s">
        <v>227</v>
      </c>
      <c r="E765" s="111">
        <v>0.0</v>
      </c>
      <c r="F765" s="111">
        <v>0.2738</v>
      </c>
      <c r="G765" s="111">
        <v>0.1237</v>
      </c>
      <c r="H765" s="114" t="s">
        <v>281</v>
      </c>
      <c r="I765" s="112">
        <f t="shared" si="1"/>
        <v>1.213419563</v>
      </c>
      <c r="J765" s="82">
        <f t="shared" si="2"/>
        <v>0.4517896275</v>
      </c>
    </row>
    <row r="766">
      <c r="A766" s="101">
        <v>44690.0</v>
      </c>
      <c r="B766" s="111">
        <v>2006.0</v>
      </c>
      <c r="C766" s="111">
        <v>1.0</v>
      </c>
      <c r="D766" s="110" t="s">
        <v>227</v>
      </c>
      <c r="E766" s="111">
        <v>0.0</v>
      </c>
      <c r="F766" s="111">
        <v>0.0795</v>
      </c>
      <c r="G766" s="111">
        <v>0.0328</v>
      </c>
      <c r="H766" s="114" t="s">
        <v>281</v>
      </c>
      <c r="I766" s="112">
        <f t="shared" si="1"/>
        <v>1.423780488</v>
      </c>
      <c r="J766" s="82">
        <f t="shared" si="2"/>
        <v>0.4125786164</v>
      </c>
    </row>
    <row r="767">
      <c r="A767" s="101">
        <v>44690.0</v>
      </c>
      <c r="B767" s="111">
        <v>2006.0</v>
      </c>
      <c r="C767" s="111">
        <v>2.0</v>
      </c>
      <c r="D767" s="110" t="s">
        <v>228</v>
      </c>
      <c r="E767" s="111">
        <v>0.0</v>
      </c>
      <c r="F767" s="111">
        <v>1.2377</v>
      </c>
      <c r="G767" s="111">
        <v>0.5983</v>
      </c>
      <c r="H767" s="114" t="s">
        <v>281</v>
      </c>
      <c r="I767" s="112">
        <f t="shared" si="1"/>
        <v>1.068694635</v>
      </c>
      <c r="J767" s="82">
        <f t="shared" si="2"/>
        <v>0.4833966228</v>
      </c>
    </row>
    <row r="768">
      <c r="A768" s="101">
        <v>44690.0</v>
      </c>
      <c r="B768" s="111">
        <v>2006.0</v>
      </c>
      <c r="C768" s="111">
        <v>2.0</v>
      </c>
      <c r="D768" s="110" t="s">
        <v>227</v>
      </c>
      <c r="E768" s="111">
        <v>1.0</v>
      </c>
      <c r="F768" s="111">
        <v>0.2746</v>
      </c>
      <c r="G768" s="111">
        <v>0.1288</v>
      </c>
      <c r="H768" s="114" t="s">
        <v>281</v>
      </c>
      <c r="I768" s="112">
        <f t="shared" si="1"/>
        <v>1.131987578</v>
      </c>
      <c r="J768" s="82">
        <f t="shared" si="2"/>
        <v>0.4690458849</v>
      </c>
    </row>
    <row r="769">
      <c r="A769" s="101">
        <v>44690.0</v>
      </c>
      <c r="B769" s="111">
        <v>2006.0</v>
      </c>
      <c r="C769" s="111">
        <v>2.0</v>
      </c>
      <c r="D769" s="110" t="s">
        <v>227</v>
      </c>
      <c r="E769" s="111">
        <v>0.0</v>
      </c>
      <c r="F769" s="111">
        <v>0.1299</v>
      </c>
      <c r="G769" s="111">
        <v>0.055</v>
      </c>
      <c r="H769" s="114" t="s">
        <v>281</v>
      </c>
      <c r="I769" s="112">
        <f t="shared" si="1"/>
        <v>1.361818182</v>
      </c>
      <c r="J769" s="82">
        <f t="shared" si="2"/>
        <v>0.4234026174</v>
      </c>
    </row>
    <row r="770">
      <c r="A770" s="101">
        <v>44690.0</v>
      </c>
      <c r="B770" s="111">
        <v>2006.0</v>
      </c>
      <c r="C770" s="111">
        <v>3.0</v>
      </c>
      <c r="D770" s="110" t="s">
        <v>228</v>
      </c>
      <c r="E770" s="111">
        <v>0.0</v>
      </c>
      <c r="F770" s="111">
        <v>1.2379</v>
      </c>
      <c r="G770" s="111">
        <v>0.6205</v>
      </c>
      <c r="H770" s="114" t="s">
        <v>281</v>
      </c>
      <c r="I770" s="112">
        <f t="shared" si="1"/>
        <v>0.995004029</v>
      </c>
      <c r="J770" s="82">
        <f t="shared" si="2"/>
        <v>0.5012521205</v>
      </c>
    </row>
    <row r="771">
      <c r="A771" s="101">
        <v>44690.0</v>
      </c>
      <c r="B771" s="111">
        <v>2006.0</v>
      </c>
      <c r="C771" s="111">
        <v>3.0</v>
      </c>
      <c r="D771" s="110" t="s">
        <v>227</v>
      </c>
      <c r="E771" s="111">
        <v>1.0</v>
      </c>
      <c r="F771" s="111">
        <v>0.3008</v>
      </c>
      <c r="G771" s="111">
        <v>0.1466</v>
      </c>
      <c r="H771" s="114" t="s">
        <v>281</v>
      </c>
      <c r="I771" s="112">
        <f t="shared" si="1"/>
        <v>1.051841746</v>
      </c>
      <c r="J771" s="82">
        <f t="shared" si="2"/>
        <v>0.4873670213</v>
      </c>
    </row>
    <row r="772">
      <c r="A772" s="101">
        <v>44690.0</v>
      </c>
      <c r="B772" s="111">
        <v>2006.0</v>
      </c>
      <c r="C772" s="111">
        <v>3.0</v>
      </c>
      <c r="D772" s="110" t="s">
        <v>227</v>
      </c>
      <c r="E772" s="111">
        <v>0.0</v>
      </c>
      <c r="F772" s="111">
        <v>0.0726</v>
      </c>
      <c r="G772" s="111">
        <v>0.0327</v>
      </c>
      <c r="H772" s="114" t="s">
        <v>281</v>
      </c>
      <c r="I772" s="112">
        <f t="shared" si="1"/>
        <v>1.220183486</v>
      </c>
      <c r="J772" s="82">
        <f t="shared" si="2"/>
        <v>0.4504132231</v>
      </c>
    </row>
    <row r="773">
      <c r="A773" s="101">
        <v>44690.0</v>
      </c>
      <c r="B773" s="111">
        <v>2007.0</v>
      </c>
      <c r="C773" s="111">
        <v>1.0</v>
      </c>
      <c r="D773" s="110" t="s">
        <v>228</v>
      </c>
      <c r="E773" s="111">
        <v>0.0</v>
      </c>
      <c r="F773" s="111">
        <v>0.4449</v>
      </c>
      <c r="G773" s="111">
        <v>0.237</v>
      </c>
      <c r="H773" s="114" t="s">
        <v>281</v>
      </c>
      <c r="I773" s="112">
        <f t="shared" si="1"/>
        <v>0.8772151899</v>
      </c>
      <c r="J773" s="82">
        <f t="shared" si="2"/>
        <v>0.5327039784</v>
      </c>
    </row>
    <row r="774">
      <c r="A774" s="101">
        <v>44690.0</v>
      </c>
      <c r="B774" s="111">
        <v>2007.0</v>
      </c>
      <c r="C774" s="111">
        <v>1.0</v>
      </c>
      <c r="D774" s="110" t="s">
        <v>227</v>
      </c>
      <c r="E774" s="111">
        <v>1.0</v>
      </c>
      <c r="F774" s="111">
        <v>0.1145</v>
      </c>
      <c r="G774" s="111">
        <v>0.058</v>
      </c>
      <c r="H774" s="114" t="s">
        <v>281</v>
      </c>
      <c r="I774" s="112">
        <f t="shared" si="1"/>
        <v>0.974137931</v>
      </c>
      <c r="J774" s="82">
        <f t="shared" si="2"/>
        <v>0.5065502183</v>
      </c>
    </row>
    <row r="775">
      <c r="A775" s="101">
        <v>44690.0</v>
      </c>
      <c r="B775" s="111">
        <v>2007.0</v>
      </c>
      <c r="C775" s="111">
        <v>1.0</v>
      </c>
      <c r="D775" s="110" t="s">
        <v>227</v>
      </c>
      <c r="E775" s="111">
        <v>0.0</v>
      </c>
      <c r="F775" s="111">
        <v>0.0909</v>
      </c>
      <c r="G775" s="111">
        <v>0.0378</v>
      </c>
      <c r="H775" s="114" t="s">
        <v>281</v>
      </c>
      <c r="I775" s="112">
        <f t="shared" si="1"/>
        <v>1.404761905</v>
      </c>
      <c r="J775" s="82">
        <f t="shared" si="2"/>
        <v>0.4158415842</v>
      </c>
    </row>
    <row r="776">
      <c r="A776" s="101">
        <v>44690.0</v>
      </c>
      <c r="B776" s="111">
        <v>2007.0</v>
      </c>
      <c r="C776" s="111">
        <v>2.0</v>
      </c>
      <c r="D776" s="110" t="s">
        <v>228</v>
      </c>
      <c r="E776" s="111">
        <v>0.0</v>
      </c>
      <c r="F776" s="111">
        <v>0.53</v>
      </c>
      <c r="G776" s="111">
        <v>0.294</v>
      </c>
      <c r="H776" s="114" t="s">
        <v>281</v>
      </c>
      <c r="I776" s="112">
        <f t="shared" si="1"/>
        <v>0.8027210884</v>
      </c>
      <c r="J776" s="82">
        <f t="shared" si="2"/>
        <v>0.5547169811</v>
      </c>
    </row>
    <row r="777">
      <c r="A777" s="101">
        <v>44690.0</v>
      </c>
      <c r="B777" s="111">
        <v>2007.0</v>
      </c>
      <c r="C777" s="111">
        <v>2.0</v>
      </c>
      <c r="D777" s="110" t="s">
        <v>227</v>
      </c>
      <c r="E777" s="111">
        <v>1.0</v>
      </c>
      <c r="F777" s="111">
        <v>0.2988</v>
      </c>
      <c r="G777" s="111">
        <v>0.155</v>
      </c>
      <c r="H777" s="114" t="s">
        <v>281</v>
      </c>
      <c r="I777" s="112">
        <f t="shared" si="1"/>
        <v>0.9277419355</v>
      </c>
      <c r="J777" s="82">
        <f t="shared" si="2"/>
        <v>0.5187416332</v>
      </c>
    </row>
    <row r="778">
      <c r="A778" s="101">
        <v>44690.0</v>
      </c>
      <c r="B778" s="111">
        <v>2007.0</v>
      </c>
      <c r="C778" s="111">
        <v>2.0</v>
      </c>
      <c r="D778" s="110" t="s">
        <v>227</v>
      </c>
      <c r="E778" s="111">
        <v>0.0</v>
      </c>
      <c r="F778" s="111">
        <v>0.145</v>
      </c>
      <c r="G778" s="111">
        <v>0.07</v>
      </c>
      <c r="H778" s="114" t="s">
        <v>281</v>
      </c>
      <c r="I778" s="112">
        <f t="shared" si="1"/>
        <v>1.071428571</v>
      </c>
      <c r="J778" s="82">
        <f t="shared" si="2"/>
        <v>0.4827586207</v>
      </c>
    </row>
    <row r="779">
      <c r="A779" s="101">
        <v>44690.0</v>
      </c>
      <c r="B779" s="111">
        <v>2007.0</v>
      </c>
      <c r="C779" s="111">
        <v>3.0</v>
      </c>
      <c r="D779" s="110" t="s">
        <v>228</v>
      </c>
      <c r="E779" s="111">
        <v>0.0</v>
      </c>
      <c r="F779" s="111">
        <v>0.9165</v>
      </c>
      <c r="G779" s="111">
        <v>0.493</v>
      </c>
      <c r="H779" s="114" t="s">
        <v>281</v>
      </c>
      <c r="I779" s="112">
        <f t="shared" si="1"/>
        <v>0.8590263692</v>
      </c>
      <c r="J779" s="82">
        <f t="shared" si="2"/>
        <v>0.5379159847</v>
      </c>
    </row>
    <row r="780">
      <c r="A780" s="101">
        <v>44690.0</v>
      </c>
      <c r="B780" s="111">
        <v>2007.0</v>
      </c>
      <c r="C780" s="111">
        <v>3.0</v>
      </c>
      <c r="D780" s="110" t="s">
        <v>227</v>
      </c>
      <c r="E780" s="111">
        <v>1.0</v>
      </c>
      <c r="F780" s="111">
        <v>0.1261</v>
      </c>
      <c r="G780" s="111">
        <v>0.066</v>
      </c>
      <c r="H780" s="114" t="s">
        <v>281</v>
      </c>
      <c r="I780" s="112">
        <f t="shared" si="1"/>
        <v>0.9106060606</v>
      </c>
      <c r="J780" s="82">
        <f t="shared" si="2"/>
        <v>0.5233941316</v>
      </c>
    </row>
    <row r="781">
      <c r="A781" s="101">
        <v>44690.0</v>
      </c>
      <c r="B781" s="111">
        <v>2007.0</v>
      </c>
      <c r="C781" s="111">
        <v>3.0</v>
      </c>
      <c r="D781" s="110" t="s">
        <v>227</v>
      </c>
      <c r="E781" s="111">
        <v>0.0</v>
      </c>
      <c r="F781" s="111">
        <v>0.218</v>
      </c>
      <c r="G781" s="111">
        <v>0.108</v>
      </c>
      <c r="H781" s="114" t="s">
        <v>281</v>
      </c>
      <c r="I781" s="112">
        <f t="shared" si="1"/>
        <v>1.018518519</v>
      </c>
      <c r="J781" s="82">
        <f t="shared" si="2"/>
        <v>0.495412844</v>
      </c>
    </row>
    <row r="782">
      <c r="A782" s="101">
        <v>44690.0</v>
      </c>
      <c r="B782" s="111">
        <v>2012.0</v>
      </c>
      <c r="C782" s="111">
        <v>1.0</v>
      </c>
      <c r="D782" s="110" t="s">
        <v>227</v>
      </c>
      <c r="E782" s="111">
        <v>1.0</v>
      </c>
      <c r="F782" s="111">
        <v>0.2859</v>
      </c>
      <c r="G782" s="111">
        <v>0.1352</v>
      </c>
      <c r="H782" s="114" t="s">
        <v>281</v>
      </c>
      <c r="I782" s="112">
        <f t="shared" si="1"/>
        <v>1.11464497</v>
      </c>
      <c r="J782" s="82">
        <f t="shared" si="2"/>
        <v>0.4728926198</v>
      </c>
    </row>
    <row r="783">
      <c r="A783" s="101">
        <v>44690.0</v>
      </c>
      <c r="B783" s="111">
        <v>2012.0</v>
      </c>
      <c r="C783" s="111">
        <v>1.0</v>
      </c>
      <c r="D783" s="110" t="s">
        <v>228</v>
      </c>
      <c r="E783" s="111">
        <v>0.0</v>
      </c>
      <c r="F783" s="111">
        <v>0.5863</v>
      </c>
      <c r="G783" s="111">
        <v>0.2699</v>
      </c>
      <c r="H783" s="114" t="s">
        <v>281</v>
      </c>
      <c r="I783" s="112">
        <f t="shared" si="1"/>
        <v>1.172286032</v>
      </c>
      <c r="J783" s="82">
        <f t="shared" si="2"/>
        <v>0.4603445335</v>
      </c>
    </row>
    <row r="784">
      <c r="A784" s="101">
        <v>44690.0</v>
      </c>
      <c r="B784" s="111">
        <v>2012.0</v>
      </c>
      <c r="C784" s="111">
        <v>2.0</v>
      </c>
      <c r="D784" s="110" t="s">
        <v>228</v>
      </c>
      <c r="E784" s="111">
        <v>0.0</v>
      </c>
      <c r="F784" s="111">
        <v>0.6069</v>
      </c>
      <c r="G784" s="111">
        <v>0.2878</v>
      </c>
      <c r="H784" s="114" t="s">
        <v>281</v>
      </c>
      <c r="I784" s="112">
        <f t="shared" si="1"/>
        <v>1.108756081</v>
      </c>
      <c r="J784" s="82">
        <f t="shared" si="2"/>
        <v>0.4742132147</v>
      </c>
    </row>
    <row r="785">
      <c r="A785" s="101">
        <v>44690.0</v>
      </c>
      <c r="B785" s="111">
        <v>2012.0</v>
      </c>
      <c r="C785" s="111">
        <v>2.0</v>
      </c>
      <c r="D785" s="110" t="s">
        <v>227</v>
      </c>
      <c r="E785" s="111">
        <v>1.0</v>
      </c>
      <c r="F785" s="111">
        <v>0.2765</v>
      </c>
      <c r="G785" s="111">
        <v>0.1272</v>
      </c>
      <c r="H785" s="114" t="s">
        <v>281</v>
      </c>
      <c r="I785" s="112">
        <f t="shared" si="1"/>
        <v>1.173742138</v>
      </c>
      <c r="J785" s="82">
        <f t="shared" si="2"/>
        <v>0.4600361664</v>
      </c>
    </row>
    <row r="786">
      <c r="A786" s="101">
        <v>44690.0</v>
      </c>
      <c r="B786" s="111">
        <v>2012.0</v>
      </c>
      <c r="C786" s="111">
        <v>2.0</v>
      </c>
      <c r="D786" s="110" t="s">
        <v>227</v>
      </c>
      <c r="E786" s="111">
        <v>0.0</v>
      </c>
      <c r="F786" s="111">
        <v>0.1198</v>
      </c>
      <c r="G786" s="111">
        <v>0.05</v>
      </c>
      <c r="H786" s="114" t="s">
        <v>281</v>
      </c>
      <c r="I786" s="112">
        <f t="shared" si="1"/>
        <v>1.396</v>
      </c>
      <c r="J786" s="82">
        <f t="shared" si="2"/>
        <v>0.4173622705</v>
      </c>
    </row>
    <row r="787">
      <c r="A787" s="101">
        <v>44690.0</v>
      </c>
      <c r="B787" s="111">
        <v>2012.0</v>
      </c>
      <c r="C787" s="111">
        <v>3.0</v>
      </c>
      <c r="D787" s="110" t="s">
        <v>228</v>
      </c>
      <c r="E787" s="111">
        <v>0.0</v>
      </c>
      <c r="F787" s="111">
        <v>0.4954</v>
      </c>
      <c r="G787" s="111">
        <v>0.2298</v>
      </c>
      <c r="H787" s="114" t="s">
        <v>281</v>
      </c>
      <c r="I787" s="112">
        <f t="shared" si="1"/>
        <v>1.155787641</v>
      </c>
      <c r="J787" s="82">
        <f t="shared" si="2"/>
        <v>0.4638675818</v>
      </c>
    </row>
    <row r="788">
      <c r="A788" s="101">
        <v>44690.0</v>
      </c>
      <c r="B788" s="111">
        <v>2012.0</v>
      </c>
      <c r="C788" s="111">
        <v>3.0</v>
      </c>
      <c r="D788" s="110" t="s">
        <v>227</v>
      </c>
      <c r="E788" s="111">
        <v>1.0</v>
      </c>
      <c r="F788" s="111">
        <v>0.2449</v>
      </c>
      <c r="G788" s="111">
        <v>0.1129</v>
      </c>
      <c r="H788" s="114" t="s">
        <v>281</v>
      </c>
      <c r="I788" s="112">
        <f t="shared" si="1"/>
        <v>1.169176262</v>
      </c>
      <c r="J788" s="82">
        <f t="shared" si="2"/>
        <v>0.4610044916</v>
      </c>
    </row>
    <row r="789">
      <c r="A789" s="101">
        <v>44690.0</v>
      </c>
      <c r="B789" s="111">
        <v>2012.0</v>
      </c>
      <c r="C789" s="111">
        <v>3.0</v>
      </c>
      <c r="D789" s="110" t="s">
        <v>227</v>
      </c>
      <c r="E789" s="111">
        <v>0.0</v>
      </c>
      <c r="F789" s="111">
        <v>0.0671</v>
      </c>
      <c r="G789" s="111">
        <v>0.0272</v>
      </c>
      <c r="H789" s="114" t="s">
        <v>281</v>
      </c>
      <c r="I789" s="112">
        <f t="shared" si="1"/>
        <v>1.466911765</v>
      </c>
      <c r="J789" s="82">
        <f t="shared" si="2"/>
        <v>0.4053651267</v>
      </c>
    </row>
    <row r="790">
      <c r="A790" s="101">
        <v>44690.0</v>
      </c>
      <c r="B790" s="111">
        <v>2013.0</v>
      </c>
      <c r="C790" s="111">
        <v>1.0</v>
      </c>
      <c r="D790" s="110" t="s">
        <v>228</v>
      </c>
      <c r="E790" s="111">
        <v>0.0</v>
      </c>
      <c r="F790" s="111">
        <v>0.3115</v>
      </c>
      <c r="G790" s="111">
        <v>0.156</v>
      </c>
      <c r="H790" s="114" t="s">
        <v>281</v>
      </c>
      <c r="I790" s="112">
        <f t="shared" si="1"/>
        <v>0.9967948718</v>
      </c>
      <c r="J790" s="82">
        <f t="shared" si="2"/>
        <v>0.5008025682</v>
      </c>
    </row>
    <row r="791">
      <c r="A791" s="101">
        <v>44690.0</v>
      </c>
      <c r="B791" s="111">
        <v>2013.0</v>
      </c>
      <c r="C791" s="111">
        <v>1.0</v>
      </c>
      <c r="D791" s="110" t="s">
        <v>227</v>
      </c>
      <c r="E791" s="111">
        <v>1.0</v>
      </c>
      <c r="F791" s="111">
        <v>0.2467</v>
      </c>
      <c r="G791" s="111">
        <v>0.123</v>
      </c>
      <c r="H791" s="114" t="s">
        <v>281</v>
      </c>
      <c r="I791" s="112">
        <f t="shared" si="1"/>
        <v>1.005691057</v>
      </c>
      <c r="J791" s="82">
        <f t="shared" si="2"/>
        <v>0.4985812728</v>
      </c>
    </row>
    <row r="792">
      <c r="A792" s="101">
        <v>44690.0</v>
      </c>
      <c r="B792" s="111">
        <v>2013.0</v>
      </c>
      <c r="C792" s="111">
        <v>1.0</v>
      </c>
      <c r="D792" s="110" t="s">
        <v>227</v>
      </c>
      <c r="E792" s="111">
        <v>0.0</v>
      </c>
      <c r="F792" s="111">
        <v>0.0764</v>
      </c>
      <c r="G792" s="111">
        <v>0.034</v>
      </c>
      <c r="H792" s="114" t="s">
        <v>281</v>
      </c>
      <c r="I792" s="112">
        <f t="shared" si="1"/>
        <v>1.247058824</v>
      </c>
      <c r="J792" s="82">
        <f t="shared" si="2"/>
        <v>0.445026178</v>
      </c>
    </row>
    <row r="793">
      <c r="A793" s="101">
        <v>44690.0</v>
      </c>
      <c r="B793" s="111">
        <v>2013.0</v>
      </c>
      <c r="C793" s="111">
        <v>2.0</v>
      </c>
      <c r="D793" s="110" t="s">
        <v>228</v>
      </c>
      <c r="E793" s="111">
        <v>0.0</v>
      </c>
      <c r="F793" s="111">
        <v>0.6339</v>
      </c>
      <c r="G793" s="111">
        <v>0.321</v>
      </c>
      <c r="H793" s="114" t="s">
        <v>281</v>
      </c>
      <c r="I793" s="112">
        <f t="shared" si="1"/>
        <v>0.9747663551</v>
      </c>
      <c r="J793" s="82">
        <f t="shared" si="2"/>
        <v>0.5063890204</v>
      </c>
    </row>
    <row r="794">
      <c r="A794" s="101">
        <v>44690.0</v>
      </c>
      <c r="B794" s="111">
        <v>2013.0</v>
      </c>
      <c r="C794" s="111">
        <v>2.0</v>
      </c>
      <c r="D794" s="110" t="s">
        <v>227</v>
      </c>
      <c r="E794" s="111">
        <v>0.0</v>
      </c>
      <c r="F794" s="111">
        <v>0.1841</v>
      </c>
      <c r="G794" s="111">
        <v>0.076</v>
      </c>
      <c r="H794" s="114" t="s">
        <v>281</v>
      </c>
      <c r="I794" s="112">
        <f t="shared" si="1"/>
        <v>1.422368421</v>
      </c>
      <c r="J794" s="82">
        <f t="shared" si="2"/>
        <v>0.41281912</v>
      </c>
    </row>
    <row r="795">
      <c r="A795" s="101">
        <v>44690.0</v>
      </c>
      <c r="B795" s="111">
        <v>2013.0</v>
      </c>
      <c r="C795" s="111">
        <v>3.0</v>
      </c>
      <c r="D795" s="110" t="s">
        <v>228</v>
      </c>
      <c r="E795" s="111">
        <v>0.0</v>
      </c>
      <c r="F795" s="111">
        <v>0.5062</v>
      </c>
      <c r="G795" s="111">
        <v>0.259</v>
      </c>
      <c r="H795" s="114" t="s">
        <v>281</v>
      </c>
      <c r="I795" s="112">
        <f t="shared" si="1"/>
        <v>0.9544401544</v>
      </c>
      <c r="J795" s="82">
        <f t="shared" si="2"/>
        <v>0.5116554721</v>
      </c>
    </row>
    <row r="796">
      <c r="A796" s="101">
        <v>44690.0</v>
      </c>
      <c r="B796" s="111">
        <v>2013.0</v>
      </c>
      <c r="C796" s="111">
        <v>3.0</v>
      </c>
      <c r="D796" s="110" t="s">
        <v>227</v>
      </c>
      <c r="E796" s="111">
        <v>1.0</v>
      </c>
      <c r="F796" s="111">
        <v>0.526</v>
      </c>
      <c r="G796" s="111">
        <v>0.243</v>
      </c>
      <c r="H796" s="114" t="s">
        <v>281</v>
      </c>
      <c r="I796" s="112">
        <f t="shared" si="1"/>
        <v>1.164609053</v>
      </c>
      <c r="J796" s="82">
        <f t="shared" si="2"/>
        <v>0.4619771863</v>
      </c>
    </row>
    <row r="797">
      <c r="A797" s="101">
        <v>44690.0</v>
      </c>
      <c r="B797" s="111">
        <v>2013.0</v>
      </c>
      <c r="C797" s="111">
        <v>3.0</v>
      </c>
      <c r="D797" s="110" t="s">
        <v>227</v>
      </c>
      <c r="E797" s="111">
        <v>0.0</v>
      </c>
      <c r="F797" s="111">
        <v>0.2413</v>
      </c>
      <c r="G797" s="111">
        <v>0.098</v>
      </c>
      <c r="H797" s="114" t="s">
        <v>281</v>
      </c>
      <c r="I797" s="112">
        <f t="shared" si="1"/>
        <v>1.462244898</v>
      </c>
      <c r="J797" s="82">
        <f t="shared" si="2"/>
        <v>0.4061334438</v>
      </c>
    </row>
    <row r="798">
      <c r="A798" s="101">
        <v>44690.0</v>
      </c>
      <c r="B798" s="111">
        <v>2015.0</v>
      </c>
      <c r="C798" s="111">
        <v>1.0</v>
      </c>
      <c r="D798" s="110" t="s">
        <v>228</v>
      </c>
      <c r="E798" s="111">
        <v>0.0</v>
      </c>
      <c r="F798" s="111">
        <v>0.3545</v>
      </c>
      <c r="G798" s="111">
        <v>0.187</v>
      </c>
      <c r="H798" s="114" t="s">
        <v>281</v>
      </c>
      <c r="I798" s="112">
        <f t="shared" si="1"/>
        <v>0.8957219251</v>
      </c>
      <c r="J798" s="82">
        <f t="shared" si="2"/>
        <v>0.5275035261</v>
      </c>
    </row>
    <row r="799">
      <c r="A799" s="101">
        <v>44690.0</v>
      </c>
      <c r="B799" s="111">
        <v>2015.0</v>
      </c>
      <c r="C799" s="111">
        <v>1.0</v>
      </c>
      <c r="D799" s="110" t="s">
        <v>227</v>
      </c>
      <c r="E799" s="111">
        <v>0.0</v>
      </c>
      <c r="F799" s="111">
        <v>0.048</v>
      </c>
      <c r="G799" s="111">
        <v>0.023</v>
      </c>
      <c r="H799" s="114" t="s">
        <v>281</v>
      </c>
      <c r="I799" s="112">
        <f t="shared" si="1"/>
        <v>1.086956522</v>
      </c>
      <c r="J799" s="82">
        <f t="shared" si="2"/>
        <v>0.4791666667</v>
      </c>
    </row>
    <row r="800">
      <c r="A800" s="101">
        <v>44690.0</v>
      </c>
      <c r="B800" s="111">
        <v>2015.0</v>
      </c>
      <c r="C800" s="111">
        <v>1.0</v>
      </c>
      <c r="D800" s="110" t="s">
        <v>227</v>
      </c>
      <c r="E800" s="111">
        <v>1.0</v>
      </c>
      <c r="F800" s="111">
        <v>0.0996</v>
      </c>
      <c r="G800" s="111">
        <v>0.046</v>
      </c>
      <c r="H800" s="114" t="s">
        <v>281</v>
      </c>
      <c r="I800" s="112">
        <f t="shared" si="1"/>
        <v>1.165217391</v>
      </c>
      <c r="J800" s="82">
        <f t="shared" si="2"/>
        <v>0.4618473896</v>
      </c>
    </row>
    <row r="801">
      <c r="A801" s="101">
        <v>44690.0</v>
      </c>
      <c r="B801" s="111">
        <v>2015.0</v>
      </c>
      <c r="C801" s="111">
        <v>2.0</v>
      </c>
      <c r="D801" s="110" t="s">
        <v>228</v>
      </c>
      <c r="E801" s="111">
        <v>0.0</v>
      </c>
      <c r="F801" s="116">
        <v>0.703</v>
      </c>
      <c r="G801" s="111">
        <v>0.3415</v>
      </c>
      <c r="H801" s="114" t="s">
        <v>281</v>
      </c>
      <c r="I801" s="112">
        <f t="shared" si="1"/>
        <v>1.058565154</v>
      </c>
      <c r="J801" s="82">
        <f t="shared" si="2"/>
        <v>0.4857752489</v>
      </c>
    </row>
    <row r="802">
      <c r="A802" s="101">
        <v>44690.0</v>
      </c>
      <c r="B802" s="111">
        <v>2015.0</v>
      </c>
      <c r="C802" s="111">
        <v>2.0</v>
      </c>
      <c r="D802" s="110" t="s">
        <v>227</v>
      </c>
      <c r="E802" s="111">
        <v>1.0</v>
      </c>
      <c r="F802" s="111">
        <v>0.0751</v>
      </c>
      <c r="G802" s="111">
        <v>0.0353</v>
      </c>
      <c r="H802" s="114" t="s">
        <v>281</v>
      </c>
      <c r="I802" s="112">
        <f t="shared" si="1"/>
        <v>1.127478754</v>
      </c>
      <c r="J802" s="82">
        <f t="shared" si="2"/>
        <v>0.4700399467</v>
      </c>
    </row>
    <row r="803">
      <c r="A803" s="101">
        <v>44690.0</v>
      </c>
      <c r="B803" s="111">
        <v>2015.0</v>
      </c>
      <c r="C803" s="111">
        <v>2.0</v>
      </c>
      <c r="D803" s="110" t="s">
        <v>227</v>
      </c>
      <c r="E803" s="111">
        <v>0.0</v>
      </c>
      <c r="F803" s="111">
        <v>0.31658</v>
      </c>
      <c r="G803" s="111">
        <v>0.1306</v>
      </c>
      <c r="H803" s="114" t="s">
        <v>281</v>
      </c>
      <c r="I803" s="112">
        <f t="shared" si="1"/>
        <v>1.424042879</v>
      </c>
      <c r="J803" s="82">
        <f t="shared" si="2"/>
        <v>0.4125339567</v>
      </c>
    </row>
    <row r="804">
      <c r="A804" s="101">
        <v>44690.0</v>
      </c>
      <c r="B804" s="111">
        <v>2015.0</v>
      </c>
      <c r="C804" s="111">
        <v>3.0</v>
      </c>
      <c r="D804" s="110" t="s">
        <v>228</v>
      </c>
      <c r="E804" s="111">
        <v>0.0</v>
      </c>
      <c r="F804" s="111">
        <v>0.6679</v>
      </c>
      <c r="G804" s="111">
        <v>0.351</v>
      </c>
      <c r="H804" s="114" t="s">
        <v>281</v>
      </c>
      <c r="I804" s="112">
        <f t="shared" si="1"/>
        <v>0.9028490028</v>
      </c>
      <c r="J804" s="82">
        <f t="shared" si="2"/>
        <v>0.5255277736</v>
      </c>
    </row>
    <row r="805">
      <c r="A805" s="101">
        <v>44690.0</v>
      </c>
      <c r="B805" s="111">
        <v>2015.0</v>
      </c>
      <c r="C805" s="111">
        <v>3.0</v>
      </c>
      <c r="D805" s="110" t="s">
        <v>227</v>
      </c>
      <c r="E805" s="111">
        <v>1.0</v>
      </c>
      <c r="F805" s="111">
        <v>0.1225</v>
      </c>
      <c r="G805" s="111">
        <v>0.064</v>
      </c>
      <c r="H805" s="114" t="s">
        <v>281</v>
      </c>
      <c r="I805" s="112">
        <f t="shared" si="1"/>
        <v>0.9140625</v>
      </c>
      <c r="J805" s="82">
        <f t="shared" si="2"/>
        <v>0.5224489796</v>
      </c>
    </row>
    <row r="806">
      <c r="A806" s="101">
        <v>44690.0</v>
      </c>
      <c r="B806" s="111">
        <v>2015.0</v>
      </c>
      <c r="C806" s="111">
        <v>3.0</v>
      </c>
      <c r="D806" s="110" t="s">
        <v>227</v>
      </c>
      <c r="E806" s="111">
        <v>0.0</v>
      </c>
      <c r="F806" s="111">
        <v>0.1287</v>
      </c>
      <c r="G806" s="111">
        <v>0.056</v>
      </c>
      <c r="H806" s="114" t="s">
        <v>281</v>
      </c>
      <c r="I806" s="112">
        <f t="shared" si="1"/>
        <v>1.298214286</v>
      </c>
      <c r="J806" s="82">
        <f t="shared" si="2"/>
        <v>0.4351204351</v>
      </c>
    </row>
    <row r="807">
      <c r="A807" s="101">
        <v>44690.0</v>
      </c>
      <c r="B807" s="111">
        <v>2020.0</v>
      </c>
      <c r="C807" s="111">
        <v>1.0</v>
      </c>
      <c r="D807" s="110" t="s">
        <v>227</v>
      </c>
      <c r="E807" s="111">
        <v>0.0</v>
      </c>
      <c r="F807" s="111">
        <v>0.0509</v>
      </c>
      <c r="G807" s="111">
        <v>0.027</v>
      </c>
      <c r="H807" s="114" t="s">
        <v>281</v>
      </c>
      <c r="I807" s="112">
        <f t="shared" si="1"/>
        <v>0.8851851852</v>
      </c>
      <c r="J807" s="82">
        <f t="shared" si="2"/>
        <v>0.5304518664</v>
      </c>
    </row>
    <row r="808">
      <c r="A808" s="101">
        <v>44690.0</v>
      </c>
      <c r="B808" s="111">
        <v>2020.0</v>
      </c>
      <c r="C808" s="111">
        <v>1.0</v>
      </c>
      <c r="D808" s="110" t="s">
        <v>228</v>
      </c>
      <c r="E808" s="111">
        <v>0.0</v>
      </c>
      <c r="F808" s="111">
        <v>1.0808</v>
      </c>
      <c r="G808" s="111">
        <v>0.567</v>
      </c>
      <c r="H808" s="114" t="s">
        <v>281</v>
      </c>
      <c r="I808" s="112">
        <f t="shared" si="1"/>
        <v>0.9061728395</v>
      </c>
      <c r="J808" s="82">
        <f t="shared" si="2"/>
        <v>0.524611399</v>
      </c>
    </row>
    <row r="809">
      <c r="A809" s="101">
        <v>44690.0</v>
      </c>
      <c r="B809" s="111">
        <v>2020.0</v>
      </c>
      <c r="C809" s="111">
        <v>1.0</v>
      </c>
      <c r="D809" s="110" t="s">
        <v>227</v>
      </c>
      <c r="E809" s="111">
        <v>1.0</v>
      </c>
      <c r="F809" s="111">
        <v>0.3094</v>
      </c>
      <c r="G809" s="111">
        <v>0.15</v>
      </c>
      <c r="H809" s="114" t="s">
        <v>281</v>
      </c>
      <c r="I809" s="112">
        <f t="shared" si="1"/>
        <v>1.062666667</v>
      </c>
      <c r="J809" s="82">
        <f t="shared" si="2"/>
        <v>0.4848093083</v>
      </c>
    </row>
    <row r="810">
      <c r="A810" s="101">
        <v>44690.0</v>
      </c>
      <c r="B810" s="111">
        <v>2020.0</v>
      </c>
      <c r="C810" s="111">
        <v>2.0</v>
      </c>
      <c r="D810" s="110" t="s">
        <v>227</v>
      </c>
      <c r="E810" s="111">
        <v>0.0</v>
      </c>
      <c r="F810" s="111">
        <v>0.2522</v>
      </c>
      <c r="G810" s="111">
        <v>0.107</v>
      </c>
      <c r="H810" s="114" t="s">
        <v>281</v>
      </c>
      <c r="I810" s="112">
        <f t="shared" si="1"/>
        <v>1.357009346</v>
      </c>
      <c r="J810" s="82">
        <f t="shared" si="2"/>
        <v>0.4242664552</v>
      </c>
    </row>
    <row r="811">
      <c r="A811" s="101">
        <v>44690.0</v>
      </c>
      <c r="B811" s="111">
        <v>2020.0</v>
      </c>
      <c r="C811" s="111">
        <v>3.0</v>
      </c>
      <c r="D811" s="110" t="s">
        <v>228</v>
      </c>
      <c r="E811" s="111">
        <v>0.0</v>
      </c>
      <c r="F811" s="111">
        <v>0.7628</v>
      </c>
      <c r="G811" s="111">
        <v>0.4</v>
      </c>
      <c r="H811" s="114" t="s">
        <v>281</v>
      </c>
      <c r="I811" s="112">
        <f t="shared" si="1"/>
        <v>0.907</v>
      </c>
      <c r="J811" s="82">
        <f t="shared" si="2"/>
        <v>0.524383849</v>
      </c>
    </row>
    <row r="812">
      <c r="A812" s="101">
        <v>44690.0</v>
      </c>
      <c r="B812" s="111">
        <v>2020.0</v>
      </c>
      <c r="C812" s="111">
        <v>3.0</v>
      </c>
      <c r="D812" s="110" t="s">
        <v>227</v>
      </c>
      <c r="E812" s="111">
        <v>1.0</v>
      </c>
      <c r="F812" s="111">
        <v>0.258</v>
      </c>
      <c r="G812" s="111">
        <v>0.129</v>
      </c>
      <c r="H812" s="114" t="s">
        <v>281</v>
      </c>
      <c r="I812" s="112">
        <f t="shared" si="1"/>
        <v>1</v>
      </c>
      <c r="J812" s="82">
        <f t="shared" si="2"/>
        <v>0.5</v>
      </c>
    </row>
    <row r="813">
      <c r="A813" s="101">
        <v>44690.0</v>
      </c>
      <c r="B813" s="111">
        <v>2020.0</v>
      </c>
      <c r="C813" s="111">
        <v>3.0</v>
      </c>
      <c r="D813" s="110" t="s">
        <v>227</v>
      </c>
      <c r="E813" s="111">
        <v>0.0</v>
      </c>
      <c r="F813" s="111">
        <v>0.0707</v>
      </c>
      <c r="G813" s="111">
        <v>0.033</v>
      </c>
      <c r="H813" s="114" t="s">
        <v>281</v>
      </c>
      <c r="I813" s="112">
        <f t="shared" si="1"/>
        <v>1.142424242</v>
      </c>
      <c r="J813" s="82">
        <f t="shared" si="2"/>
        <v>0.4667609618</v>
      </c>
    </row>
    <row r="814">
      <c r="A814" s="101">
        <v>44690.0</v>
      </c>
      <c r="B814" s="111">
        <v>2021.0</v>
      </c>
      <c r="C814" s="111">
        <v>1.0</v>
      </c>
      <c r="D814" s="110" t="s">
        <v>228</v>
      </c>
      <c r="E814" s="111">
        <v>0.0</v>
      </c>
      <c r="F814" s="111">
        <v>1.0132</v>
      </c>
      <c r="G814" s="116">
        <v>0.521</v>
      </c>
      <c r="H814" s="114" t="s">
        <v>281</v>
      </c>
      <c r="I814" s="112">
        <f t="shared" si="1"/>
        <v>0.9447216891</v>
      </c>
      <c r="J814" s="82">
        <f t="shared" si="2"/>
        <v>0.5142123964</v>
      </c>
    </row>
    <row r="815">
      <c r="A815" s="101">
        <v>44690.0</v>
      </c>
      <c r="B815" s="111">
        <v>2021.0</v>
      </c>
      <c r="C815" s="111">
        <v>1.0</v>
      </c>
      <c r="D815" s="110" t="s">
        <v>227</v>
      </c>
      <c r="E815" s="111">
        <v>1.0</v>
      </c>
      <c r="F815" s="111">
        <v>0.2816</v>
      </c>
      <c r="G815" s="111">
        <v>0.1377</v>
      </c>
      <c r="H815" s="114" t="s">
        <v>281</v>
      </c>
      <c r="I815" s="112">
        <f t="shared" si="1"/>
        <v>1.045025418</v>
      </c>
      <c r="J815" s="82">
        <f t="shared" si="2"/>
        <v>0.4889914773</v>
      </c>
    </row>
    <row r="816">
      <c r="A816" s="101">
        <v>44690.0</v>
      </c>
      <c r="B816" s="111">
        <v>2021.0</v>
      </c>
      <c r="C816" s="111">
        <v>1.0</v>
      </c>
      <c r="D816" s="110" t="s">
        <v>227</v>
      </c>
      <c r="E816" s="111">
        <v>0.0</v>
      </c>
      <c r="F816" s="111">
        <v>0.1955</v>
      </c>
      <c r="G816" s="111">
        <v>0.0884</v>
      </c>
      <c r="H816" s="114" t="s">
        <v>281</v>
      </c>
      <c r="I816" s="112">
        <f t="shared" si="1"/>
        <v>1.211538462</v>
      </c>
      <c r="J816" s="82">
        <f t="shared" si="2"/>
        <v>0.452173913</v>
      </c>
    </row>
    <row r="817">
      <c r="A817" s="101">
        <v>44690.0</v>
      </c>
      <c r="B817" s="111">
        <v>2021.0</v>
      </c>
      <c r="C817" s="111">
        <v>2.0</v>
      </c>
      <c r="D817" s="110" t="s">
        <v>228</v>
      </c>
      <c r="E817" s="111">
        <v>0.0</v>
      </c>
      <c r="F817" s="111">
        <v>0.9064</v>
      </c>
      <c r="G817" s="111">
        <v>0.4506</v>
      </c>
      <c r="H817" s="114" t="s">
        <v>281</v>
      </c>
      <c r="I817" s="112">
        <f t="shared" si="1"/>
        <v>1.011540169</v>
      </c>
      <c r="J817" s="82">
        <f t="shared" si="2"/>
        <v>0.4971315093</v>
      </c>
    </row>
    <row r="818">
      <c r="A818" s="101">
        <v>44690.0</v>
      </c>
      <c r="B818" s="111">
        <v>2021.0</v>
      </c>
      <c r="C818" s="111">
        <v>2.0</v>
      </c>
      <c r="D818" s="110" t="s">
        <v>227</v>
      </c>
      <c r="E818" s="111">
        <v>1.0</v>
      </c>
      <c r="F818" s="111">
        <v>0.3411</v>
      </c>
      <c r="G818" s="111">
        <v>0.1657</v>
      </c>
      <c r="H818" s="114" t="s">
        <v>281</v>
      </c>
      <c r="I818" s="112">
        <f t="shared" si="1"/>
        <v>1.058539529</v>
      </c>
      <c r="J818" s="82">
        <f t="shared" si="2"/>
        <v>0.4857812958</v>
      </c>
    </row>
    <row r="819">
      <c r="A819" s="101">
        <v>44690.0</v>
      </c>
      <c r="B819" s="111">
        <v>2021.0</v>
      </c>
      <c r="C819" s="111">
        <v>2.0</v>
      </c>
      <c r="D819" s="110" t="s">
        <v>227</v>
      </c>
      <c r="E819" s="111">
        <v>0.0</v>
      </c>
      <c r="F819" s="111">
        <v>0.0878</v>
      </c>
      <c r="G819" s="116">
        <v>0.02</v>
      </c>
      <c r="H819" s="114" t="s">
        <v>281</v>
      </c>
      <c r="I819" s="112">
        <f t="shared" si="1"/>
        <v>3.39</v>
      </c>
      <c r="J819" s="82">
        <f t="shared" si="2"/>
        <v>0.2277904328</v>
      </c>
      <c r="K819" s="66">
        <v>1.0</v>
      </c>
    </row>
    <row r="820">
      <c r="A820" s="101">
        <v>44690.0</v>
      </c>
      <c r="B820" s="111">
        <v>2021.0</v>
      </c>
      <c r="C820" s="111">
        <v>3.0</v>
      </c>
      <c r="D820" s="110" t="s">
        <v>227</v>
      </c>
      <c r="E820" s="111">
        <v>1.0</v>
      </c>
      <c r="F820" s="111">
        <v>0.3273</v>
      </c>
      <c r="G820" s="111">
        <v>0.1633</v>
      </c>
      <c r="H820" s="114" t="s">
        <v>281</v>
      </c>
      <c r="I820" s="112">
        <f t="shared" si="1"/>
        <v>1.004286589</v>
      </c>
      <c r="J820" s="82">
        <f t="shared" si="2"/>
        <v>0.4989306447</v>
      </c>
    </row>
    <row r="821">
      <c r="A821" s="101">
        <v>44690.0</v>
      </c>
      <c r="B821" s="111">
        <v>2021.0</v>
      </c>
      <c r="C821" s="111">
        <v>3.0</v>
      </c>
      <c r="D821" s="110" t="s">
        <v>228</v>
      </c>
      <c r="E821" s="111">
        <v>0.0</v>
      </c>
      <c r="F821" s="111">
        <v>0.9794</v>
      </c>
      <c r="G821" s="111">
        <v>0.4868</v>
      </c>
      <c r="H821" s="114" t="s">
        <v>281</v>
      </c>
      <c r="I821" s="112">
        <f t="shared" si="1"/>
        <v>1.011914544</v>
      </c>
      <c r="J821" s="82">
        <f t="shared" si="2"/>
        <v>0.4970390035</v>
      </c>
    </row>
    <row r="822">
      <c r="A822" s="101">
        <v>44690.0</v>
      </c>
      <c r="B822" s="111">
        <v>2021.0</v>
      </c>
      <c r="C822" s="111">
        <v>3.0</v>
      </c>
      <c r="D822" s="110" t="s">
        <v>227</v>
      </c>
      <c r="E822" s="111">
        <v>0.0</v>
      </c>
      <c r="F822" s="111">
        <v>0.1252</v>
      </c>
      <c r="G822" s="111">
        <v>0.0543</v>
      </c>
      <c r="H822" s="114" t="s">
        <v>281</v>
      </c>
      <c r="I822" s="112">
        <f t="shared" si="1"/>
        <v>1.305709024</v>
      </c>
      <c r="J822" s="82">
        <f t="shared" si="2"/>
        <v>0.4337060703</v>
      </c>
    </row>
    <row r="823">
      <c r="A823" s="101">
        <v>44690.0</v>
      </c>
      <c r="B823" s="111">
        <v>2022.0</v>
      </c>
      <c r="C823" s="111">
        <v>1.0</v>
      </c>
      <c r="D823" s="110" t="s">
        <v>228</v>
      </c>
      <c r="E823" s="111">
        <v>1.0</v>
      </c>
      <c r="F823" s="111">
        <v>0.3887</v>
      </c>
      <c r="G823" s="111">
        <v>0.2121</v>
      </c>
      <c r="H823" s="114" t="s">
        <v>281</v>
      </c>
      <c r="I823" s="112">
        <f t="shared" si="1"/>
        <v>0.8326261198</v>
      </c>
      <c r="J823" s="82">
        <f t="shared" si="2"/>
        <v>0.5456650373</v>
      </c>
    </row>
    <row r="824">
      <c r="A824" s="101">
        <v>44690.0</v>
      </c>
      <c r="B824" s="111">
        <v>2022.0</v>
      </c>
      <c r="C824" s="111">
        <v>1.0</v>
      </c>
      <c r="D824" s="110" t="s">
        <v>227</v>
      </c>
      <c r="E824" s="111">
        <v>1.0</v>
      </c>
      <c r="F824" s="111">
        <v>0.4384</v>
      </c>
      <c r="G824" s="111">
        <v>0.229</v>
      </c>
      <c r="H824" s="114" t="s">
        <v>281</v>
      </c>
      <c r="I824" s="112">
        <f t="shared" si="1"/>
        <v>0.9144104803</v>
      </c>
      <c r="J824" s="82">
        <f t="shared" si="2"/>
        <v>0.5223540146</v>
      </c>
    </row>
    <row r="825">
      <c r="A825" s="101">
        <v>44690.0</v>
      </c>
      <c r="B825" s="111">
        <v>2022.0</v>
      </c>
      <c r="C825" s="111">
        <v>1.0</v>
      </c>
      <c r="D825" s="110" t="s">
        <v>228</v>
      </c>
      <c r="E825" s="111">
        <v>0.0</v>
      </c>
      <c r="F825" s="111">
        <v>1.3589</v>
      </c>
      <c r="G825" s="111">
        <v>0.7013</v>
      </c>
      <c r="H825" s="114" t="s">
        <v>281</v>
      </c>
      <c r="I825" s="112">
        <f t="shared" si="1"/>
        <v>0.9376871524</v>
      </c>
      <c r="J825" s="82">
        <f t="shared" si="2"/>
        <v>0.5160791817</v>
      </c>
    </row>
    <row r="826">
      <c r="A826" s="101">
        <v>44690.0</v>
      </c>
      <c r="B826" s="111">
        <v>2022.0</v>
      </c>
      <c r="C826" s="111">
        <v>1.0</v>
      </c>
      <c r="D826" s="110" t="s">
        <v>227</v>
      </c>
      <c r="E826" s="111">
        <v>0.0</v>
      </c>
      <c r="F826" s="111">
        <v>0.0748</v>
      </c>
      <c r="G826" s="111">
        <v>0.0359</v>
      </c>
      <c r="H826" s="114" t="s">
        <v>281</v>
      </c>
      <c r="I826" s="112">
        <f t="shared" si="1"/>
        <v>1.08356546</v>
      </c>
      <c r="J826" s="82">
        <f t="shared" si="2"/>
        <v>0.4799465241</v>
      </c>
    </row>
    <row r="827">
      <c r="A827" s="101">
        <v>44690.0</v>
      </c>
      <c r="B827" s="111">
        <v>2022.0</v>
      </c>
      <c r="C827" s="111">
        <v>2.0</v>
      </c>
      <c r="D827" s="110" t="s">
        <v>228</v>
      </c>
      <c r="E827" s="111">
        <v>0.0</v>
      </c>
      <c r="F827" s="111">
        <v>2.2135</v>
      </c>
      <c r="G827" s="111">
        <v>1.124</v>
      </c>
      <c r="H827" s="114" t="s">
        <v>281</v>
      </c>
      <c r="I827" s="112">
        <f t="shared" si="1"/>
        <v>0.9693060498</v>
      </c>
      <c r="J827" s="82">
        <f t="shared" si="2"/>
        <v>0.5077930879</v>
      </c>
    </row>
    <row r="828">
      <c r="A828" s="101">
        <v>44690.0</v>
      </c>
      <c r="B828" s="111">
        <v>2022.0</v>
      </c>
      <c r="C828" s="111">
        <v>2.0</v>
      </c>
      <c r="D828" s="110" t="s">
        <v>228</v>
      </c>
      <c r="E828" s="111">
        <v>1.0</v>
      </c>
      <c r="F828" s="111">
        <v>0.4823</v>
      </c>
      <c r="G828" s="111">
        <v>0.2412</v>
      </c>
      <c r="H828" s="114" t="s">
        <v>281</v>
      </c>
      <c r="I828" s="112">
        <f t="shared" si="1"/>
        <v>0.9995854063</v>
      </c>
      <c r="J828" s="82">
        <f t="shared" si="2"/>
        <v>0.5001036699</v>
      </c>
    </row>
    <row r="829">
      <c r="A829" s="101">
        <v>44690.0</v>
      </c>
      <c r="B829" s="111">
        <v>2022.0</v>
      </c>
      <c r="C829" s="111">
        <v>2.0</v>
      </c>
      <c r="D829" s="110" t="s">
        <v>227</v>
      </c>
      <c r="E829" s="111">
        <v>1.0</v>
      </c>
      <c r="F829" s="111">
        <v>0.1292</v>
      </c>
      <c r="G829" s="111">
        <v>0.0616</v>
      </c>
      <c r="H829" s="114" t="s">
        <v>281</v>
      </c>
      <c r="I829" s="112">
        <f t="shared" si="1"/>
        <v>1.097402597</v>
      </c>
      <c r="J829" s="82">
        <f t="shared" si="2"/>
        <v>0.4767801858</v>
      </c>
    </row>
    <row r="830">
      <c r="A830" s="101">
        <v>44690.0</v>
      </c>
      <c r="B830" s="111">
        <v>2022.0</v>
      </c>
      <c r="C830" s="111">
        <v>2.0</v>
      </c>
      <c r="D830" s="110" t="s">
        <v>227</v>
      </c>
      <c r="E830" s="111">
        <v>0.0</v>
      </c>
      <c r="F830" s="111">
        <v>0.1733</v>
      </c>
      <c r="G830" s="111">
        <v>0.0756</v>
      </c>
      <c r="H830" s="114" t="s">
        <v>281</v>
      </c>
      <c r="I830" s="112">
        <f t="shared" si="1"/>
        <v>1.292328042</v>
      </c>
      <c r="J830" s="82">
        <f t="shared" si="2"/>
        <v>0.436237738</v>
      </c>
    </row>
    <row r="831">
      <c r="A831" s="101">
        <v>44690.0</v>
      </c>
      <c r="B831" s="111">
        <v>2022.0</v>
      </c>
      <c r="C831" s="111">
        <v>3.0</v>
      </c>
      <c r="D831" s="110" t="s">
        <v>228</v>
      </c>
      <c r="E831" s="111">
        <v>1.0</v>
      </c>
      <c r="F831" s="111">
        <v>1.29</v>
      </c>
      <c r="G831" s="111">
        <v>0.7086</v>
      </c>
      <c r="H831" s="114" t="s">
        <v>281</v>
      </c>
      <c r="I831" s="112">
        <f t="shared" si="1"/>
        <v>0.8204911092</v>
      </c>
      <c r="J831" s="82">
        <f t="shared" si="2"/>
        <v>0.5493023256</v>
      </c>
    </row>
    <row r="832">
      <c r="A832" s="101">
        <v>44690.0</v>
      </c>
      <c r="B832" s="111">
        <v>2022.0</v>
      </c>
      <c r="C832" s="111">
        <v>3.0</v>
      </c>
      <c r="D832" s="110" t="s">
        <v>227</v>
      </c>
      <c r="E832" s="111">
        <v>1.0</v>
      </c>
      <c r="F832" s="111">
        <v>0.578</v>
      </c>
      <c r="G832" s="111">
        <v>0.2878</v>
      </c>
      <c r="H832" s="114" t="s">
        <v>281</v>
      </c>
      <c r="I832" s="112">
        <f t="shared" si="1"/>
        <v>1.008339124</v>
      </c>
      <c r="J832" s="82">
        <f t="shared" si="2"/>
        <v>0.4979238754</v>
      </c>
    </row>
    <row r="833">
      <c r="A833" s="101">
        <v>44690.0</v>
      </c>
      <c r="B833" s="111">
        <v>2022.0</v>
      </c>
      <c r="C833" s="111">
        <v>3.0</v>
      </c>
      <c r="D833" s="110" t="s">
        <v>228</v>
      </c>
      <c r="E833" s="111">
        <v>0.0</v>
      </c>
      <c r="F833" s="111">
        <v>0.209</v>
      </c>
      <c r="G833" s="111">
        <v>0.0965</v>
      </c>
      <c r="H833" s="114" t="s">
        <v>281</v>
      </c>
      <c r="I833" s="112">
        <f t="shared" si="1"/>
        <v>1.165803109</v>
      </c>
      <c r="J833" s="82">
        <f t="shared" si="2"/>
        <v>0.461722488</v>
      </c>
    </row>
    <row r="834">
      <c r="A834" s="101">
        <v>44690.0</v>
      </c>
      <c r="B834" s="111">
        <v>2022.0</v>
      </c>
      <c r="C834" s="111">
        <v>3.0</v>
      </c>
      <c r="D834" s="110" t="s">
        <v>227</v>
      </c>
      <c r="E834" s="111">
        <v>0.0</v>
      </c>
      <c r="F834" s="111">
        <v>0.0333</v>
      </c>
      <c r="G834" s="111">
        <v>0.0125</v>
      </c>
      <c r="H834" s="114" t="s">
        <v>281</v>
      </c>
      <c r="I834" s="112">
        <f t="shared" si="1"/>
        <v>1.664</v>
      </c>
      <c r="J834" s="82">
        <f t="shared" si="2"/>
        <v>0.3753753754</v>
      </c>
    </row>
    <row r="835">
      <c r="A835" s="101">
        <v>44690.0</v>
      </c>
      <c r="B835" s="111">
        <v>2023.0</v>
      </c>
      <c r="C835" s="111">
        <v>1.0</v>
      </c>
      <c r="D835" s="110" t="s">
        <v>228</v>
      </c>
      <c r="E835" s="111">
        <v>1.0</v>
      </c>
      <c r="F835" s="111">
        <v>1.4512</v>
      </c>
      <c r="G835" s="111">
        <v>0.8228</v>
      </c>
      <c r="H835" s="114" t="s">
        <v>281</v>
      </c>
      <c r="I835" s="112">
        <f t="shared" si="1"/>
        <v>0.7637335926</v>
      </c>
      <c r="J835" s="82">
        <f t="shared" si="2"/>
        <v>0.5669790518</v>
      </c>
    </row>
    <row r="836">
      <c r="A836" s="101">
        <v>44690.0</v>
      </c>
      <c r="B836" s="111">
        <v>2023.0</v>
      </c>
      <c r="C836" s="111">
        <v>1.0</v>
      </c>
      <c r="D836" s="110" t="s">
        <v>228</v>
      </c>
      <c r="E836" s="111">
        <v>0.0</v>
      </c>
      <c r="F836" s="111">
        <v>0.6646</v>
      </c>
      <c r="G836" s="111">
        <v>0.3394</v>
      </c>
      <c r="H836" s="114" t="s">
        <v>281</v>
      </c>
      <c r="I836" s="112">
        <f t="shared" si="1"/>
        <v>0.9581614614</v>
      </c>
      <c r="J836" s="82">
        <f t="shared" si="2"/>
        <v>0.5106831177</v>
      </c>
    </row>
    <row r="837">
      <c r="A837" s="101">
        <v>44690.0</v>
      </c>
      <c r="B837" s="111">
        <v>2023.0</v>
      </c>
      <c r="C837" s="111">
        <v>1.0</v>
      </c>
      <c r="D837" s="110" t="s">
        <v>227</v>
      </c>
      <c r="E837" s="111">
        <v>1.0</v>
      </c>
      <c r="F837" s="111">
        <v>0.2053</v>
      </c>
      <c r="G837" s="111">
        <v>0.1038</v>
      </c>
      <c r="H837" s="114" t="s">
        <v>281</v>
      </c>
      <c r="I837" s="112">
        <f t="shared" si="1"/>
        <v>0.9778420039</v>
      </c>
      <c r="J837" s="82">
        <f t="shared" si="2"/>
        <v>0.5056015587</v>
      </c>
    </row>
    <row r="838">
      <c r="A838" s="101">
        <v>44690.0</v>
      </c>
      <c r="B838" s="111">
        <v>2023.0</v>
      </c>
      <c r="C838" s="111">
        <v>1.0</v>
      </c>
      <c r="D838" s="110" t="s">
        <v>227</v>
      </c>
      <c r="E838" s="111">
        <v>0.0</v>
      </c>
      <c r="F838" s="111">
        <v>0.0782</v>
      </c>
      <c r="G838" s="111">
        <v>0.031</v>
      </c>
      <c r="H838" s="114" t="s">
        <v>281</v>
      </c>
      <c r="I838" s="112">
        <f t="shared" si="1"/>
        <v>1.522580645</v>
      </c>
      <c r="J838" s="82">
        <f t="shared" si="2"/>
        <v>0.3964194373</v>
      </c>
    </row>
    <row r="839">
      <c r="A839" s="101">
        <v>44690.0</v>
      </c>
      <c r="B839" s="111">
        <v>2023.0</v>
      </c>
      <c r="C839" s="111">
        <v>2.0</v>
      </c>
      <c r="D839" s="110" t="s">
        <v>228</v>
      </c>
      <c r="E839" s="111">
        <v>1.0</v>
      </c>
      <c r="F839" s="111">
        <v>1.3081</v>
      </c>
      <c r="G839" s="111">
        <v>0.6988</v>
      </c>
      <c r="H839" s="114" t="s">
        <v>281</v>
      </c>
      <c r="I839" s="112">
        <f t="shared" si="1"/>
        <v>0.8719232971</v>
      </c>
      <c r="J839" s="82">
        <f t="shared" si="2"/>
        <v>0.5342099228</v>
      </c>
    </row>
    <row r="840">
      <c r="A840" s="101">
        <v>44690.0</v>
      </c>
      <c r="B840" s="111">
        <v>2023.0</v>
      </c>
      <c r="C840" s="111">
        <v>2.0</v>
      </c>
      <c r="D840" s="110" t="s">
        <v>227</v>
      </c>
      <c r="E840" s="111">
        <v>1.0</v>
      </c>
      <c r="F840" s="111">
        <v>0.1859</v>
      </c>
      <c r="G840" s="111">
        <v>0.0874</v>
      </c>
      <c r="H840" s="114" t="s">
        <v>281</v>
      </c>
      <c r="I840" s="112">
        <f t="shared" si="1"/>
        <v>1.127002288</v>
      </c>
      <c r="J840" s="82">
        <f t="shared" si="2"/>
        <v>0.4701452394</v>
      </c>
    </row>
    <row r="841">
      <c r="A841" s="101">
        <v>44690.0</v>
      </c>
      <c r="B841" s="111">
        <v>2023.0</v>
      </c>
      <c r="C841" s="111">
        <v>3.0</v>
      </c>
      <c r="D841" s="110" t="s">
        <v>228</v>
      </c>
      <c r="E841" s="111">
        <v>0.0</v>
      </c>
      <c r="F841" s="111">
        <v>1.9952</v>
      </c>
      <c r="G841" s="111">
        <v>0.9981</v>
      </c>
      <c r="H841" s="114" t="s">
        <v>281</v>
      </c>
      <c r="I841" s="112">
        <f t="shared" si="1"/>
        <v>0.9989980964</v>
      </c>
      <c r="J841" s="82">
        <f t="shared" si="2"/>
        <v>0.5002506014</v>
      </c>
    </row>
    <row r="842">
      <c r="A842" s="101">
        <v>44690.0</v>
      </c>
      <c r="B842" s="111">
        <v>2023.0</v>
      </c>
      <c r="C842" s="111">
        <v>3.0</v>
      </c>
      <c r="D842" s="110" t="s">
        <v>227</v>
      </c>
      <c r="E842" s="111">
        <v>0.0</v>
      </c>
      <c r="F842" s="111">
        <v>0.3371</v>
      </c>
      <c r="G842" s="111">
        <v>0.1589</v>
      </c>
      <c r="H842" s="114" t="s">
        <v>281</v>
      </c>
      <c r="I842" s="112">
        <f t="shared" si="1"/>
        <v>1.121460038</v>
      </c>
      <c r="J842" s="82">
        <f t="shared" si="2"/>
        <v>0.4713734797</v>
      </c>
    </row>
    <row r="843">
      <c r="A843" s="101">
        <v>44690.0</v>
      </c>
      <c r="B843" s="111">
        <v>2024.0</v>
      </c>
      <c r="C843" s="111">
        <v>1.0</v>
      </c>
      <c r="D843" s="110" t="s">
        <v>228</v>
      </c>
      <c r="E843" s="111">
        <v>0.0</v>
      </c>
      <c r="F843" s="111">
        <v>1.8365</v>
      </c>
      <c r="G843" s="111">
        <v>0.947</v>
      </c>
      <c r="H843" s="114" t="s">
        <v>281</v>
      </c>
      <c r="I843" s="112">
        <f t="shared" si="1"/>
        <v>0.939281943</v>
      </c>
      <c r="J843" s="82">
        <f t="shared" si="2"/>
        <v>0.5156547781</v>
      </c>
    </row>
    <row r="844">
      <c r="A844" s="101">
        <v>44690.0</v>
      </c>
      <c r="B844" s="111">
        <v>2024.0</v>
      </c>
      <c r="C844" s="111">
        <v>1.0</v>
      </c>
      <c r="D844" s="110" t="s">
        <v>227</v>
      </c>
      <c r="E844" s="111">
        <v>1.0</v>
      </c>
      <c r="F844" s="111">
        <v>0.2943</v>
      </c>
      <c r="G844" s="111">
        <v>0.151</v>
      </c>
      <c r="H844" s="114" t="s">
        <v>281</v>
      </c>
      <c r="I844" s="112">
        <f t="shared" si="1"/>
        <v>0.9490066225</v>
      </c>
      <c r="J844" s="82">
        <f t="shared" si="2"/>
        <v>0.5130818892</v>
      </c>
    </row>
    <row r="845">
      <c r="A845" s="101">
        <v>44690.0</v>
      </c>
      <c r="B845" s="111">
        <v>2024.0</v>
      </c>
      <c r="C845" s="111">
        <v>1.0</v>
      </c>
      <c r="D845" s="110" t="s">
        <v>227</v>
      </c>
      <c r="E845" s="111">
        <v>0.0</v>
      </c>
      <c r="F845" s="111">
        <v>0.1968</v>
      </c>
      <c r="G845" s="111">
        <v>0.0924</v>
      </c>
      <c r="H845" s="114" t="s">
        <v>281</v>
      </c>
      <c r="I845" s="112">
        <f t="shared" si="1"/>
        <v>1.12987013</v>
      </c>
      <c r="J845" s="82">
        <f t="shared" si="2"/>
        <v>0.4695121951</v>
      </c>
    </row>
    <row r="846">
      <c r="A846" s="101">
        <v>44690.0</v>
      </c>
      <c r="B846" s="111">
        <v>2024.0</v>
      </c>
      <c r="C846" s="111">
        <v>2.0</v>
      </c>
      <c r="D846" s="110" t="s">
        <v>227</v>
      </c>
      <c r="E846" s="111">
        <v>1.0</v>
      </c>
      <c r="F846" s="111">
        <v>0.2805</v>
      </c>
      <c r="G846" s="111">
        <v>0.1425</v>
      </c>
      <c r="H846" s="114" t="s">
        <v>281</v>
      </c>
      <c r="I846" s="112">
        <f t="shared" si="1"/>
        <v>0.9684210526</v>
      </c>
      <c r="J846" s="82">
        <f t="shared" si="2"/>
        <v>0.5080213904</v>
      </c>
    </row>
    <row r="847">
      <c r="A847" s="101">
        <v>44690.0</v>
      </c>
      <c r="B847" s="111">
        <v>2024.0</v>
      </c>
      <c r="C847" s="111">
        <v>2.0</v>
      </c>
      <c r="D847" s="110" t="s">
        <v>228</v>
      </c>
      <c r="E847" s="111">
        <v>0.0</v>
      </c>
      <c r="F847" s="111">
        <v>1.1178</v>
      </c>
      <c r="G847" s="111">
        <v>0.5429</v>
      </c>
      <c r="H847" s="114" t="s">
        <v>281</v>
      </c>
      <c r="I847" s="112">
        <f t="shared" si="1"/>
        <v>1.058942715</v>
      </c>
      <c r="J847" s="82">
        <f t="shared" si="2"/>
        <v>0.4856861693</v>
      </c>
    </row>
    <row r="848">
      <c r="A848" s="101">
        <v>44690.0</v>
      </c>
      <c r="B848" s="111">
        <v>2024.0</v>
      </c>
      <c r="C848" s="111">
        <v>2.0</v>
      </c>
      <c r="D848" s="110" t="s">
        <v>227</v>
      </c>
      <c r="E848" s="111">
        <v>0.0</v>
      </c>
      <c r="F848" s="111">
        <v>0.1233</v>
      </c>
      <c r="G848" s="111">
        <v>0.0523</v>
      </c>
      <c r="H848" s="114" t="s">
        <v>281</v>
      </c>
      <c r="I848" s="112">
        <f t="shared" si="1"/>
        <v>1.357552581</v>
      </c>
      <c r="J848" s="82">
        <f t="shared" si="2"/>
        <v>0.4241686942</v>
      </c>
    </row>
    <row r="849">
      <c r="A849" s="101">
        <v>44690.0</v>
      </c>
      <c r="B849" s="111">
        <v>2024.0</v>
      </c>
      <c r="C849" s="111">
        <v>3.0</v>
      </c>
      <c r="D849" s="110" t="s">
        <v>227</v>
      </c>
      <c r="E849" s="111">
        <v>1.0</v>
      </c>
      <c r="F849" s="111">
        <v>0.1986</v>
      </c>
      <c r="G849" s="111">
        <v>0.099</v>
      </c>
      <c r="H849" s="114" t="s">
        <v>281</v>
      </c>
      <c r="I849" s="112">
        <f t="shared" si="1"/>
        <v>1.006060606</v>
      </c>
      <c r="J849" s="82">
        <f t="shared" si="2"/>
        <v>0.498489426</v>
      </c>
    </row>
    <row r="850">
      <c r="A850" s="101">
        <v>44690.0</v>
      </c>
      <c r="B850" s="111">
        <v>2024.0</v>
      </c>
      <c r="C850" s="111">
        <v>3.0</v>
      </c>
      <c r="D850" s="110" t="s">
        <v>228</v>
      </c>
      <c r="E850" s="111">
        <v>0.0</v>
      </c>
      <c r="F850" s="111">
        <v>1.8329</v>
      </c>
      <c r="G850" s="111">
        <v>0.8913</v>
      </c>
      <c r="H850" s="114" t="s">
        <v>281</v>
      </c>
      <c r="I850" s="112">
        <f t="shared" si="1"/>
        <v>1.056434422</v>
      </c>
      <c r="J850" s="82">
        <f t="shared" si="2"/>
        <v>0.4862785749</v>
      </c>
    </row>
    <row r="851">
      <c r="A851" s="101">
        <v>44690.0</v>
      </c>
      <c r="B851" s="111">
        <v>2024.0</v>
      </c>
      <c r="C851" s="111">
        <v>3.0</v>
      </c>
      <c r="D851" s="110" t="s">
        <v>227</v>
      </c>
      <c r="E851" s="111">
        <v>0.0</v>
      </c>
      <c r="F851" s="111">
        <v>0.3882</v>
      </c>
      <c r="G851" s="111">
        <v>0.1749</v>
      </c>
      <c r="H851" s="114" t="s">
        <v>281</v>
      </c>
      <c r="I851" s="112">
        <f t="shared" si="1"/>
        <v>1.219554031</v>
      </c>
      <c r="J851" s="82">
        <f t="shared" si="2"/>
        <v>0.4505409583</v>
      </c>
    </row>
    <row r="852">
      <c r="A852" s="101">
        <v>44690.0</v>
      </c>
      <c r="B852" s="111">
        <v>2025.0</v>
      </c>
      <c r="C852" s="111">
        <v>1.0</v>
      </c>
      <c r="D852" s="110" t="s">
        <v>227</v>
      </c>
      <c r="E852" s="111">
        <v>1.0</v>
      </c>
      <c r="F852" s="111">
        <v>0.3129</v>
      </c>
      <c r="G852" s="111">
        <v>0.152</v>
      </c>
      <c r="H852" s="114" t="s">
        <v>281</v>
      </c>
      <c r="I852" s="112">
        <f t="shared" si="1"/>
        <v>1.058552632</v>
      </c>
      <c r="J852" s="82">
        <f t="shared" si="2"/>
        <v>0.4857782039</v>
      </c>
    </row>
    <row r="853">
      <c r="A853" s="101">
        <v>44690.0</v>
      </c>
      <c r="B853" s="111">
        <v>2025.0</v>
      </c>
      <c r="C853" s="111">
        <v>1.0</v>
      </c>
      <c r="D853" s="110" t="s">
        <v>228</v>
      </c>
      <c r="E853" s="111">
        <v>0.0</v>
      </c>
      <c r="F853" s="111">
        <v>1.705</v>
      </c>
      <c r="G853" s="111">
        <v>0.8015</v>
      </c>
      <c r="H853" s="114" t="s">
        <v>281</v>
      </c>
      <c r="I853" s="112">
        <f t="shared" si="1"/>
        <v>1.127261385</v>
      </c>
      <c r="J853" s="82">
        <f t="shared" si="2"/>
        <v>0.4700879765</v>
      </c>
    </row>
    <row r="854">
      <c r="A854" s="101">
        <v>44690.0</v>
      </c>
      <c r="B854" s="111">
        <v>2025.0</v>
      </c>
      <c r="C854" s="111">
        <v>1.0</v>
      </c>
      <c r="D854" s="110" t="s">
        <v>227</v>
      </c>
      <c r="E854" s="111">
        <v>0.0</v>
      </c>
      <c r="F854" s="111">
        <v>0.4383</v>
      </c>
      <c r="G854" s="111">
        <v>0.198</v>
      </c>
      <c r="H854" s="114" t="s">
        <v>281</v>
      </c>
      <c r="I854" s="112">
        <f t="shared" si="1"/>
        <v>1.213636364</v>
      </c>
      <c r="J854" s="82">
        <f t="shared" si="2"/>
        <v>0.4517453799</v>
      </c>
    </row>
    <row r="855">
      <c r="A855" s="101">
        <v>44690.0</v>
      </c>
      <c r="B855" s="111">
        <v>2025.0</v>
      </c>
      <c r="C855" s="111">
        <v>2.0</v>
      </c>
      <c r="D855" s="110" t="s">
        <v>227</v>
      </c>
      <c r="E855" s="111">
        <v>1.0</v>
      </c>
      <c r="F855" s="111">
        <v>0.34</v>
      </c>
      <c r="G855" s="111">
        <v>0.166</v>
      </c>
      <c r="H855" s="114" t="s">
        <v>281</v>
      </c>
      <c r="I855" s="112">
        <f t="shared" si="1"/>
        <v>1.048192771</v>
      </c>
      <c r="J855" s="82">
        <f t="shared" si="2"/>
        <v>0.4882352941</v>
      </c>
    </row>
    <row r="856">
      <c r="A856" s="101">
        <v>44690.0</v>
      </c>
      <c r="B856" s="111">
        <v>2025.0</v>
      </c>
      <c r="C856" s="111">
        <v>2.0</v>
      </c>
      <c r="D856" s="110" t="s">
        <v>228</v>
      </c>
      <c r="E856" s="111">
        <v>0.0</v>
      </c>
      <c r="F856" s="111">
        <v>1.2847</v>
      </c>
      <c r="G856" s="111">
        <v>0.6212</v>
      </c>
      <c r="H856" s="114" t="s">
        <v>281</v>
      </c>
      <c r="I856" s="112">
        <f t="shared" si="1"/>
        <v>1.068094012</v>
      </c>
      <c r="J856" s="82">
        <f t="shared" si="2"/>
        <v>0.4835370125</v>
      </c>
    </row>
    <row r="857">
      <c r="A857" s="101">
        <v>44690.0</v>
      </c>
      <c r="B857" s="111">
        <v>2025.0</v>
      </c>
      <c r="C857" s="111">
        <v>2.0</v>
      </c>
      <c r="D857" s="110" t="s">
        <v>227</v>
      </c>
      <c r="E857" s="111">
        <v>0.0</v>
      </c>
      <c r="F857" s="111">
        <v>0.1397</v>
      </c>
      <c r="G857" s="111">
        <v>0.059</v>
      </c>
      <c r="H857" s="114" t="s">
        <v>281</v>
      </c>
      <c r="I857" s="112">
        <f t="shared" si="1"/>
        <v>1.36779661</v>
      </c>
      <c r="J857" s="82">
        <f t="shared" si="2"/>
        <v>0.4223335719</v>
      </c>
    </row>
    <row r="858">
      <c r="A858" s="101">
        <v>44690.0</v>
      </c>
      <c r="B858" s="111">
        <v>2025.0</v>
      </c>
      <c r="C858" s="111">
        <v>3.0</v>
      </c>
      <c r="D858" s="110" t="s">
        <v>227</v>
      </c>
      <c r="E858" s="111">
        <v>1.0</v>
      </c>
      <c r="F858" s="111">
        <v>0.4827</v>
      </c>
      <c r="G858" s="111">
        <v>0.2489</v>
      </c>
      <c r="H858" s="114" t="s">
        <v>281</v>
      </c>
      <c r="I858" s="112">
        <f t="shared" si="1"/>
        <v>0.9393330655</v>
      </c>
      <c r="J858" s="82">
        <f t="shared" si="2"/>
        <v>0.515641185</v>
      </c>
    </row>
    <row r="859">
      <c r="A859" s="101">
        <v>44690.0</v>
      </c>
      <c r="B859" s="111">
        <v>2025.0</v>
      </c>
      <c r="C859" s="111">
        <v>3.0</v>
      </c>
      <c r="D859" s="110" t="s">
        <v>228</v>
      </c>
      <c r="E859" s="111">
        <v>0.0</v>
      </c>
      <c r="F859" s="111">
        <v>1.4186</v>
      </c>
      <c r="G859" s="111">
        <v>0.6935</v>
      </c>
      <c r="H859" s="114" t="s">
        <v>281</v>
      </c>
      <c r="I859" s="112">
        <f t="shared" si="1"/>
        <v>1.04556597</v>
      </c>
      <c r="J859" s="82">
        <f t="shared" si="2"/>
        <v>0.4888622586</v>
      </c>
    </row>
    <row r="860">
      <c r="A860" s="101">
        <v>44690.0</v>
      </c>
      <c r="B860" s="111">
        <v>2025.0</v>
      </c>
      <c r="C860" s="111">
        <v>3.0</v>
      </c>
      <c r="D860" s="110" t="s">
        <v>227</v>
      </c>
      <c r="E860" s="111">
        <v>0.0</v>
      </c>
      <c r="F860" s="116">
        <v>0.181</v>
      </c>
      <c r="G860" s="111">
        <v>0.0828</v>
      </c>
      <c r="H860" s="114" t="s">
        <v>281</v>
      </c>
      <c r="I860" s="112">
        <f t="shared" si="1"/>
        <v>1.185990338</v>
      </c>
      <c r="J860" s="82">
        <f t="shared" si="2"/>
        <v>0.4574585635</v>
      </c>
    </row>
    <row r="861">
      <c r="A861" s="101">
        <v>44690.0</v>
      </c>
      <c r="B861" s="111">
        <v>2026.0</v>
      </c>
      <c r="C861" s="111">
        <v>1.0</v>
      </c>
      <c r="D861" s="110" t="s">
        <v>227</v>
      </c>
      <c r="E861" s="111">
        <v>1.0</v>
      </c>
      <c r="F861" s="111">
        <v>0.355</v>
      </c>
      <c r="G861" s="111">
        <v>0.2</v>
      </c>
      <c r="H861" s="114" t="s">
        <v>281</v>
      </c>
      <c r="I861" s="112">
        <f t="shared" si="1"/>
        <v>0.775</v>
      </c>
      <c r="J861" s="82">
        <f t="shared" si="2"/>
        <v>0.5633802817</v>
      </c>
    </row>
    <row r="862">
      <c r="A862" s="101">
        <v>44690.0</v>
      </c>
      <c r="B862" s="111">
        <v>2026.0</v>
      </c>
      <c r="C862" s="111">
        <v>1.0</v>
      </c>
      <c r="D862" s="110" t="s">
        <v>228</v>
      </c>
      <c r="E862" s="111">
        <v>0.0</v>
      </c>
      <c r="F862" s="111">
        <v>2.4425</v>
      </c>
      <c r="G862" s="111">
        <v>1.275</v>
      </c>
      <c r="H862" s="114" t="s">
        <v>281</v>
      </c>
      <c r="I862" s="112">
        <f t="shared" si="1"/>
        <v>0.9156862745</v>
      </c>
      <c r="J862" s="82">
        <f t="shared" si="2"/>
        <v>0.5220061412</v>
      </c>
    </row>
    <row r="863">
      <c r="A863" s="101">
        <v>44690.0</v>
      </c>
      <c r="B863" s="111">
        <v>2026.0</v>
      </c>
      <c r="C863" s="111">
        <v>1.0</v>
      </c>
      <c r="D863" s="110" t="s">
        <v>227</v>
      </c>
      <c r="E863" s="111">
        <v>0.0</v>
      </c>
      <c r="F863" s="111">
        <v>0.6324</v>
      </c>
      <c r="G863" s="111">
        <v>0.289</v>
      </c>
      <c r="H863" s="114" t="s">
        <v>281</v>
      </c>
      <c r="I863" s="112">
        <f t="shared" si="1"/>
        <v>1.188235294</v>
      </c>
      <c r="J863" s="82">
        <f t="shared" si="2"/>
        <v>0.4569892473</v>
      </c>
    </row>
    <row r="864">
      <c r="A864" s="101">
        <v>44690.0</v>
      </c>
      <c r="B864" s="111">
        <v>2026.0</v>
      </c>
      <c r="C864" s="111">
        <v>2.0</v>
      </c>
      <c r="D864" s="110" t="s">
        <v>228</v>
      </c>
      <c r="E864" s="111">
        <v>0.0</v>
      </c>
      <c r="F864" s="111">
        <v>1.7257</v>
      </c>
      <c r="G864" s="111">
        <v>0.88</v>
      </c>
      <c r="H864" s="114" t="s">
        <v>281</v>
      </c>
      <c r="I864" s="112">
        <f t="shared" si="1"/>
        <v>0.9610227273</v>
      </c>
      <c r="J864" s="82">
        <f t="shared" si="2"/>
        <v>0.5099379962</v>
      </c>
    </row>
    <row r="865">
      <c r="A865" s="101">
        <v>44690.0</v>
      </c>
      <c r="B865" s="111">
        <v>2026.0</v>
      </c>
      <c r="C865" s="111">
        <v>2.0</v>
      </c>
      <c r="D865" s="110" t="s">
        <v>227</v>
      </c>
      <c r="E865" s="111">
        <v>1.0</v>
      </c>
      <c r="F865" s="111">
        <v>0.2192</v>
      </c>
      <c r="G865" s="111">
        <v>0.111</v>
      </c>
      <c r="H865" s="114" t="s">
        <v>281</v>
      </c>
      <c r="I865" s="112">
        <f t="shared" si="1"/>
        <v>0.9747747748</v>
      </c>
      <c r="J865" s="82">
        <f t="shared" si="2"/>
        <v>0.5063868613</v>
      </c>
    </row>
    <row r="866">
      <c r="A866" s="101">
        <v>44690.0</v>
      </c>
      <c r="B866" s="111">
        <v>2026.0</v>
      </c>
      <c r="C866" s="111">
        <v>2.0</v>
      </c>
      <c r="D866" s="110" t="s">
        <v>227</v>
      </c>
      <c r="E866" s="111">
        <v>0.0</v>
      </c>
      <c r="F866" s="111">
        <v>0.3642</v>
      </c>
      <c r="G866" s="111">
        <v>0.1633</v>
      </c>
      <c r="H866" s="114" t="s">
        <v>281</v>
      </c>
      <c r="I866" s="112">
        <f t="shared" si="1"/>
        <v>1.230251072</v>
      </c>
      <c r="J866" s="82">
        <f t="shared" si="2"/>
        <v>0.448380011</v>
      </c>
    </row>
    <row r="867">
      <c r="A867" s="101">
        <v>44690.0</v>
      </c>
      <c r="B867" s="111">
        <v>2026.0</v>
      </c>
      <c r="C867" s="111">
        <v>3.0</v>
      </c>
      <c r="D867" s="110" t="s">
        <v>228</v>
      </c>
      <c r="E867" s="111">
        <v>0.0</v>
      </c>
      <c r="F867" s="111">
        <v>0.9598</v>
      </c>
      <c r="G867" s="111">
        <v>0.4893</v>
      </c>
      <c r="H867" s="114" t="s">
        <v>281</v>
      </c>
      <c r="I867" s="112">
        <f t="shared" si="1"/>
        <v>0.9615777642</v>
      </c>
      <c r="J867" s="82">
        <f t="shared" si="2"/>
        <v>0.509793707</v>
      </c>
    </row>
    <row r="868">
      <c r="A868" s="101">
        <v>44690.0</v>
      </c>
      <c r="B868" s="111">
        <v>2026.0</v>
      </c>
      <c r="C868" s="111">
        <v>3.0</v>
      </c>
      <c r="D868" s="110" t="s">
        <v>227</v>
      </c>
      <c r="E868" s="111">
        <v>1.0</v>
      </c>
      <c r="F868" s="111">
        <v>0.0985</v>
      </c>
      <c r="G868" s="111">
        <v>0.0497</v>
      </c>
      <c r="H868" s="114" t="s">
        <v>281</v>
      </c>
      <c r="I868" s="112">
        <f t="shared" si="1"/>
        <v>0.9818913481</v>
      </c>
      <c r="J868" s="82">
        <f t="shared" si="2"/>
        <v>0.5045685279</v>
      </c>
    </row>
    <row r="869">
      <c r="A869" s="101">
        <v>44690.0</v>
      </c>
      <c r="B869" s="111">
        <v>2026.0</v>
      </c>
      <c r="C869" s="111">
        <v>3.0</v>
      </c>
      <c r="D869" s="110" t="s">
        <v>227</v>
      </c>
      <c r="E869" s="111">
        <v>0.0</v>
      </c>
      <c r="F869" s="111">
        <v>0.181</v>
      </c>
      <c r="G869" s="111">
        <v>0.0785</v>
      </c>
      <c r="H869" s="114" t="s">
        <v>281</v>
      </c>
      <c r="I869" s="112">
        <f t="shared" si="1"/>
        <v>1.305732484</v>
      </c>
      <c r="J869" s="82">
        <f t="shared" si="2"/>
        <v>0.4337016575</v>
      </c>
    </row>
    <row r="870">
      <c r="A870" s="101">
        <v>44690.0</v>
      </c>
      <c r="B870" s="111">
        <v>2027.0</v>
      </c>
      <c r="C870" s="111">
        <v>1.0</v>
      </c>
      <c r="D870" s="110" t="s">
        <v>228</v>
      </c>
      <c r="E870" s="111">
        <v>0.0</v>
      </c>
      <c r="F870" s="111">
        <v>1.837</v>
      </c>
      <c r="G870" s="111">
        <v>0.92</v>
      </c>
      <c r="H870" s="114" t="s">
        <v>281</v>
      </c>
      <c r="I870" s="112">
        <f t="shared" si="1"/>
        <v>0.9967391304</v>
      </c>
      <c r="J870" s="82">
        <f t="shared" si="2"/>
        <v>0.5008165487</v>
      </c>
    </row>
    <row r="871">
      <c r="A871" s="101">
        <v>44690.0</v>
      </c>
      <c r="B871" s="111">
        <v>2027.0</v>
      </c>
      <c r="C871" s="111">
        <v>1.0</v>
      </c>
      <c r="D871" s="110" t="s">
        <v>227</v>
      </c>
      <c r="E871" s="111">
        <v>1.0</v>
      </c>
      <c r="F871" s="111">
        <v>0.4326</v>
      </c>
      <c r="G871" s="111">
        <v>0.2115</v>
      </c>
      <c r="H871" s="114" t="s">
        <v>281</v>
      </c>
      <c r="I871" s="112">
        <f t="shared" si="1"/>
        <v>1.045390071</v>
      </c>
      <c r="J871" s="82">
        <f t="shared" si="2"/>
        <v>0.4889042996</v>
      </c>
    </row>
    <row r="872">
      <c r="A872" s="101">
        <v>44690.0</v>
      </c>
      <c r="B872" s="111">
        <v>2027.0</v>
      </c>
      <c r="C872" s="111">
        <v>1.0</v>
      </c>
      <c r="D872" s="110" t="s">
        <v>227</v>
      </c>
      <c r="E872" s="111">
        <v>0.0</v>
      </c>
      <c r="F872" s="111">
        <v>0.206</v>
      </c>
      <c r="G872" s="111">
        <v>0.0937</v>
      </c>
      <c r="H872" s="114" t="s">
        <v>281</v>
      </c>
      <c r="I872" s="112">
        <f t="shared" si="1"/>
        <v>1.19850587</v>
      </c>
      <c r="J872" s="82">
        <f t="shared" si="2"/>
        <v>0.4548543689</v>
      </c>
    </row>
    <row r="873">
      <c r="A873" s="101">
        <v>44690.0</v>
      </c>
      <c r="B873" s="111">
        <v>2027.0</v>
      </c>
      <c r="C873" s="111">
        <v>2.0</v>
      </c>
      <c r="D873" s="110" t="s">
        <v>228</v>
      </c>
      <c r="E873" s="111">
        <v>0.0</v>
      </c>
      <c r="F873" s="111">
        <v>2.513</v>
      </c>
      <c r="G873" s="111">
        <v>1.2261</v>
      </c>
      <c r="H873" s="114" t="s">
        <v>281</v>
      </c>
      <c r="I873" s="112">
        <f t="shared" si="1"/>
        <v>1.049588125</v>
      </c>
      <c r="J873" s="82">
        <f t="shared" si="2"/>
        <v>0.4879029049</v>
      </c>
    </row>
    <row r="874">
      <c r="A874" s="101">
        <v>44690.0</v>
      </c>
      <c r="B874" s="111">
        <v>2027.0</v>
      </c>
      <c r="C874" s="111">
        <v>2.0</v>
      </c>
      <c r="D874" s="110" t="s">
        <v>227</v>
      </c>
      <c r="E874" s="111">
        <v>1.0</v>
      </c>
      <c r="F874" s="111">
        <v>0.1581</v>
      </c>
      <c r="G874" s="111">
        <v>0.0704</v>
      </c>
      <c r="H874" s="114" t="s">
        <v>281</v>
      </c>
      <c r="I874" s="112">
        <f t="shared" si="1"/>
        <v>1.245738636</v>
      </c>
      <c r="J874" s="82">
        <f t="shared" si="2"/>
        <v>0.4452877925</v>
      </c>
    </row>
    <row r="875">
      <c r="A875" s="101">
        <v>44690.0</v>
      </c>
      <c r="B875" s="111">
        <v>2027.0</v>
      </c>
      <c r="C875" s="111">
        <v>2.0</v>
      </c>
      <c r="D875" s="110" t="s">
        <v>227</v>
      </c>
      <c r="E875" s="111">
        <v>0.0</v>
      </c>
      <c r="F875" s="111">
        <v>0.2343</v>
      </c>
      <c r="G875" s="111">
        <v>0.104</v>
      </c>
      <c r="H875" s="114" t="s">
        <v>281</v>
      </c>
      <c r="I875" s="112">
        <f t="shared" si="1"/>
        <v>1.252884615</v>
      </c>
      <c r="J875" s="82">
        <f t="shared" si="2"/>
        <v>0.4438753735</v>
      </c>
    </row>
    <row r="876">
      <c r="A876" s="101">
        <v>44690.0</v>
      </c>
      <c r="B876" s="111">
        <v>2027.0</v>
      </c>
      <c r="C876" s="111">
        <v>3.0</v>
      </c>
      <c r="D876" s="110" t="s">
        <v>228</v>
      </c>
      <c r="E876" s="111">
        <v>0.0</v>
      </c>
      <c r="F876" s="111">
        <v>2.363</v>
      </c>
      <c r="G876" s="111">
        <v>1.1424</v>
      </c>
      <c r="H876" s="114" t="s">
        <v>281</v>
      </c>
      <c r="I876" s="112">
        <f t="shared" si="1"/>
        <v>1.068452381</v>
      </c>
      <c r="J876" s="82">
        <f t="shared" si="2"/>
        <v>0.4834532374</v>
      </c>
    </row>
    <row r="877">
      <c r="A877" s="101">
        <v>44690.0</v>
      </c>
      <c r="B877" s="111">
        <v>2027.0</v>
      </c>
      <c r="C877" s="111">
        <v>3.0</v>
      </c>
      <c r="D877" s="110" t="s">
        <v>227</v>
      </c>
      <c r="E877" s="111">
        <v>1.0</v>
      </c>
      <c r="F877" s="111">
        <v>0.2923</v>
      </c>
      <c r="G877" s="111">
        <v>0.1389</v>
      </c>
      <c r="H877" s="114" t="s">
        <v>281</v>
      </c>
      <c r="I877" s="112">
        <f t="shared" si="1"/>
        <v>1.104391649</v>
      </c>
      <c r="J877" s="82">
        <f t="shared" si="2"/>
        <v>0.4751967157</v>
      </c>
    </row>
    <row r="878">
      <c r="A878" s="101">
        <v>44690.0</v>
      </c>
      <c r="B878" s="111">
        <v>2027.0</v>
      </c>
      <c r="C878" s="111">
        <v>3.0</v>
      </c>
      <c r="D878" s="110" t="s">
        <v>227</v>
      </c>
      <c r="E878" s="111">
        <v>0.0</v>
      </c>
      <c r="F878" s="111">
        <v>0.2916</v>
      </c>
      <c r="G878" s="111">
        <v>0.13</v>
      </c>
      <c r="H878" s="114" t="s">
        <v>281</v>
      </c>
      <c r="I878" s="112">
        <f t="shared" si="1"/>
        <v>1.243076923</v>
      </c>
      <c r="J878" s="82">
        <f t="shared" si="2"/>
        <v>0.4458161866</v>
      </c>
    </row>
    <row r="879">
      <c r="A879" s="101">
        <v>44690.0</v>
      </c>
      <c r="B879" s="111">
        <v>2028.0</v>
      </c>
      <c r="C879" s="111">
        <v>1.0</v>
      </c>
      <c r="D879" s="110" t="s">
        <v>228</v>
      </c>
      <c r="E879" s="111">
        <v>0.0</v>
      </c>
      <c r="F879" s="111">
        <v>1.2822</v>
      </c>
      <c r="G879" s="111">
        <v>0.741</v>
      </c>
      <c r="H879" s="114" t="s">
        <v>281</v>
      </c>
      <c r="I879" s="112">
        <f t="shared" si="1"/>
        <v>0.7303643725</v>
      </c>
      <c r="J879" s="82">
        <f t="shared" si="2"/>
        <v>0.5779129621</v>
      </c>
    </row>
    <row r="880">
      <c r="A880" s="101">
        <v>44690.0</v>
      </c>
      <c r="B880" s="111">
        <v>2028.0</v>
      </c>
      <c r="C880" s="111">
        <v>1.0</v>
      </c>
      <c r="D880" s="110" t="s">
        <v>227</v>
      </c>
      <c r="E880" s="111">
        <v>1.0</v>
      </c>
      <c r="F880" s="111">
        <v>0.2458</v>
      </c>
      <c r="G880" s="111">
        <v>0.124</v>
      </c>
      <c r="H880" s="114" t="s">
        <v>281</v>
      </c>
      <c r="I880" s="112">
        <f t="shared" si="1"/>
        <v>0.9822580645</v>
      </c>
      <c r="J880" s="82">
        <f t="shared" si="2"/>
        <v>0.5044751831</v>
      </c>
    </row>
    <row r="881">
      <c r="A881" s="101">
        <v>44690.0</v>
      </c>
      <c r="B881" s="111">
        <v>2028.0</v>
      </c>
      <c r="C881" s="111">
        <v>1.0</v>
      </c>
      <c r="D881" s="110" t="s">
        <v>227</v>
      </c>
      <c r="E881" s="111">
        <v>0.0</v>
      </c>
      <c r="F881" s="111">
        <v>0.1403</v>
      </c>
      <c r="G881" s="111">
        <v>0.066</v>
      </c>
      <c r="H881" s="114" t="s">
        <v>281</v>
      </c>
      <c r="I881" s="112">
        <f t="shared" si="1"/>
        <v>1.125757576</v>
      </c>
      <c r="J881" s="82">
        <f t="shared" si="2"/>
        <v>0.4704205274</v>
      </c>
    </row>
    <row r="882">
      <c r="A882" s="101">
        <v>44690.0</v>
      </c>
      <c r="B882" s="111">
        <v>2028.0</v>
      </c>
      <c r="C882" s="111">
        <v>2.0</v>
      </c>
      <c r="D882" s="110" t="s">
        <v>228</v>
      </c>
      <c r="E882" s="111">
        <v>0.0</v>
      </c>
      <c r="F882" s="111">
        <v>1.2257</v>
      </c>
      <c r="G882" s="111">
        <v>0.695</v>
      </c>
      <c r="H882" s="114" t="s">
        <v>281</v>
      </c>
      <c r="I882" s="112">
        <f t="shared" si="1"/>
        <v>0.7635971223</v>
      </c>
      <c r="J882" s="82">
        <f t="shared" si="2"/>
        <v>0.5670229257</v>
      </c>
    </row>
    <row r="883">
      <c r="A883" s="101">
        <v>44690.0</v>
      </c>
      <c r="B883" s="111">
        <v>2028.0</v>
      </c>
      <c r="C883" s="111">
        <v>2.0</v>
      </c>
      <c r="D883" s="110" t="s">
        <v>227</v>
      </c>
      <c r="E883" s="111">
        <v>1.0</v>
      </c>
      <c r="F883" s="111">
        <v>0.2073</v>
      </c>
      <c r="G883" s="111">
        <v>0.109</v>
      </c>
      <c r="H883" s="114" t="s">
        <v>281</v>
      </c>
      <c r="I883" s="112">
        <f t="shared" si="1"/>
        <v>0.9018348624</v>
      </c>
      <c r="J883" s="82">
        <f t="shared" si="2"/>
        <v>0.5258080077</v>
      </c>
    </row>
    <row r="884">
      <c r="A884" s="101">
        <v>44690.0</v>
      </c>
      <c r="B884" s="111">
        <v>2028.0</v>
      </c>
      <c r="C884" s="111">
        <v>2.0</v>
      </c>
      <c r="D884" s="110" t="s">
        <v>227</v>
      </c>
      <c r="E884" s="111">
        <v>0.0</v>
      </c>
      <c r="F884" s="111">
        <v>0.1254</v>
      </c>
      <c r="G884" s="111">
        <v>0.063</v>
      </c>
      <c r="H884" s="114" t="s">
        <v>281</v>
      </c>
      <c r="I884" s="112">
        <f t="shared" si="1"/>
        <v>0.9904761905</v>
      </c>
      <c r="J884" s="82">
        <f t="shared" si="2"/>
        <v>0.5023923445</v>
      </c>
    </row>
    <row r="885">
      <c r="A885" s="101">
        <v>44690.0</v>
      </c>
      <c r="B885" s="111">
        <v>2028.0</v>
      </c>
      <c r="C885" s="111">
        <v>2.0</v>
      </c>
      <c r="D885" s="110" t="s">
        <v>228</v>
      </c>
      <c r="E885" s="111">
        <v>0.0</v>
      </c>
      <c r="F885" s="111">
        <v>1.3616</v>
      </c>
      <c r="G885" s="111">
        <v>0.6734</v>
      </c>
      <c r="H885" s="114" t="s">
        <v>281</v>
      </c>
      <c r="I885" s="112">
        <f t="shared" si="1"/>
        <v>1.021978022</v>
      </c>
      <c r="J885" s="82">
        <f t="shared" si="2"/>
        <v>0.4945652174</v>
      </c>
    </row>
    <row r="886">
      <c r="A886" s="101">
        <v>44690.0</v>
      </c>
      <c r="B886" s="111">
        <v>2028.0</v>
      </c>
      <c r="C886" s="111">
        <v>2.0</v>
      </c>
      <c r="D886" s="110" t="s">
        <v>227</v>
      </c>
      <c r="E886" s="111">
        <v>1.0</v>
      </c>
      <c r="F886" s="111">
        <v>0.2577</v>
      </c>
      <c r="G886" s="111">
        <v>0.127</v>
      </c>
      <c r="H886" s="114" t="s">
        <v>281</v>
      </c>
      <c r="I886" s="112">
        <f t="shared" si="1"/>
        <v>1.029133858</v>
      </c>
      <c r="J886" s="82">
        <f t="shared" si="2"/>
        <v>0.4928211098</v>
      </c>
    </row>
    <row r="887">
      <c r="A887" s="101">
        <v>44690.0</v>
      </c>
      <c r="B887" s="111">
        <v>2028.0</v>
      </c>
      <c r="C887" s="111">
        <v>3.0</v>
      </c>
      <c r="D887" s="110" t="s">
        <v>228</v>
      </c>
      <c r="E887" s="111">
        <v>0.0</v>
      </c>
      <c r="F887" s="111">
        <v>1.6911</v>
      </c>
      <c r="G887" s="111">
        <v>0.895</v>
      </c>
      <c r="H887" s="114" t="s">
        <v>281</v>
      </c>
      <c r="I887" s="112">
        <f t="shared" si="1"/>
        <v>0.8894972067</v>
      </c>
      <c r="J887" s="82">
        <f t="shared" si="2"/>
        <v>0.5292413222</v>
      </c>
    </row>
    <row r="888">
      <c r="A888" s="101">
        <v>44690.0</v>
      </c>
      <c r="B888" s="111">
        <v>2028.0</v>
      </c>
      <c r="C888" s="111">
        <v>3.0</v>
      </c>
      <c r="D888" s="110" t="s">
        <v>227</v>
      </c>
      <c r="E888" s="111">
        <v>0.0</v>
      </c>
      <c r="F888" s="111">
        <v>0.1257</v>
      </c>
      <c r="G888" s="111">
        <v>0.064</v>
      </c>
      <c r="H888" s="114" t="s">
        <v>281</v>
      </c>
      <c r="I888" s="112">
        <f t="shared" si="1"/>
        <v>0.9640625</v>
      </c>
      <c r="J888" s="82">
        <f t="shared" si="2"/>
        <v>0.5091487669</v>
      </c>
    </row>
    <row r="889">
      <c r="A889" s="101">
        <v>44690.0</v>
      </c>
      <c r="B889" s="111">
        <v>2028.0</v>
      </c>
      <c r="C889" s="111">
        <v>3.0</v>
      </c>
      <c r="D889" s="110" t="s">
        <v>227</v>
      </c>
      <c r="E889" s="111">
        <v>0.0</v>
      </c>
      <c r="F889" s="111">
        <v>0.3473</v>
      </c>
      <c r="G889" s="111">
        <v>0.1736</v>
      </c>
      <c r="H889" s="114" t="s">
        <v>281</v>
      </c>
      <c r="I889" s="112">
        <f t="shared" si="1"/>
        <v>1.000576037</v>
      </c>
      <c r="J889" s="82">
        <f t="shared" si="2"/>
        <v>0.4998560322</v>
      </c>
    </row>
    <row r="890">
      <c r="A890" s="101">
        <v>44690.0</v>
      </c>
      <c r="B890" s="111">
        <v>2029.0</v>
      </c>
      <c r="C890" s="111">
        <v>1.0</v>
      </c>
      <c r="D890" s="110" t="s">
        <v>228</v>
      </c>
      <c r="E890" s="111">
        <v>0.0</v>
      </c>
      <c r="F890" s="111">
        <v>2.0579</v>
      </c>
      <c r="G890" s="111">
        <v>1.0677</v>
      </c>
      <c r="H890" s="114" t="s">
        <v>281</v>
      </c>
      <c r="I890" s="112">
        <f t="shared" si="1"/>
        <v>0.9274140676</v>
      </c>
      <c r="J890" s="82">
        <f t="shared" si="2"/>
        <v>0.5188298751</v>
      </c>
    </row>
    <row r="891">
      <c r="A891" s="101">
        <v>44690.0</v>
      </c>
      <c r="B891" s="111">
        <v>2029.0</v>
      </c>
      <c r="C891" s="111">
        <v>1.0</v>
      </c>
      <c r="D891" s="110" t="s">
        <v>227</v>
      </c>
      <c r="E891" s="111">
        <v>0.0</v>
      </c>
      <c r="F891" s="111">
        <v>0.1861</v>
      </c>
      <c r="G891" s="111">
        <v>0.0844</v>
      </c>
      <c r="H891" s="114" t="s">
        <v>281</v>
      </c>
      <c r="I891" s="112">
        <f t="shared" si="1"/>
        <v>1.204976303</v>
      </c>
      <c r="J891" s="82">
        <f t="shared" si="2"/>
        <v>0.4535196131</v>
      </c>
    </row>
    <row r="892">
      <c r="A892" s="101">
        <v>44690.0</v>
      </c>
      <c r="B892" s="111">
        <v>2029.0</v>
      </c>
      <c r="C892" s="111">
        <v>2.0</v>
      </c>
      <c r="D892" s="110" t="s">
        <v>228</v>
      </c>
      <c r="E892" s="111">
        <v>1.0</v>
      </c>
      <c r="F892" s="111">
        <v>1.2912</v>
      </c>
      <c r="G892" s="111">
        <v>0.7638</v>
      </c>
      <c r="H892" s="114" t="s">
        <v>281</v>
      </c>
      <c r="I892" s="112">
        <f t="shared" si="1"/>
        <v>0.690494894</v>
      </c>
      <c r="J892" s="82">
        <f t="shared" si="2"/>
        <v>0.5915427509</v>
      </c>
    </row>
    <row r="893">
      <c r="A893" s="101">
        <v>44690.0</v>
      </c>
      <c r="B893" s="111">
        <v>2029.0</v>
      </c>
      <c r="C893" s="111">
        <v>2.0</v>
      </c>
      <c r="D893" s="110" t="s">
        <v>228</v>
      </c>
      <c r="E893" s="111">
        <v>0.0</v>
      </c>
      <c r="F893" s="111">
        <v>1.1397</v>
      </c>
      <c r="G893" s="111">
        <v>0.5917</v>
      </c>
      <c r="H893" s="114" t="s">
        <v>281</v>
      </c>
      <c r="I893" s="112">
        <f t="shared" si="1"/>
        <v>0.9261450059</v>
      </c>
      <c r="J893" s="82">
        <f t="shared" si="2"/>
        <v>0.5191717119</v>
      </c>
    </row>
    <row r="894">
      <c r="A894" s="101">
        <v>44690.0</v>
      </c>
      <c r="B894" s="111">
        <v>2029.0</v>
      </c>
      <c r="C894" s="111">
        <v>2.0</v>
      </c>
      <c r="D894" s="110" t="s">
        <v>227</v>
      </c>
      <c r="E894" s="111">
        <v>1.0</v>
      </c>
      <c r="F894" s="111">
        <v>0.2978</v>
      </c>
      <c r="G894" s="116">
        <v>0.154</v>
      </c>
      <c r="H894" s="114" t="s">
        <v>281</v>
      </c>
      <c r="I894" s="112">
        <f t="shared" si="1"/>
        <v>0.9337662338</v>
      </c>
      <c r="J894" s="82">
        <f t="shared" si="2"/>
        <v>0.5171255876</v>
      </c>
    </row>
    <row r="895">
      <c r="A895" s="101">
        <v>44690.0</v>
      </c>
      <c r="B895" s="111">
        <v>2029.0</v>
      </c>
      <c r="C895" s="111">
        <v>2.0</v>
      </c>
      <c r="D895" s="110" t="s">
        <v>227</v>
      </c>
      <c r="E895" s="111">
        <v>0.0</v>
      </c>
      <c r="F895" s="111">
        <v>0.0616</v>
      </c>
      <c r="G895" s="111">
        <v>0.0283</v>
      </c>
      <c r="H895" s="114" t="s">
        <v>281</v>
      </c>
      <c r="I895" s="112">
        <f t="shared" si="1"/>
        <v>1.176678445</v>
      </c>
      <c r="J895" s="82">
        <f t="shared" si="2"/>
        <v>0.4594155844</v>
      </c>
    </row>
    <row r="896">
      <c r="A896" s="101">
        <v>44690.0</v>
      </c>
      <c r="B896" s="111">
        <v>2029.0</v>
      </c>
      <c r="C896" s="111">
        <v>3.0</v>
      </c>
      <c r="D896" s="110" t="s">
        <v>228</v>
      </c>
      <c r="E896" s="111">
        <v>0.0</v>
      </c>
      <c r="F896" s="111">
        <v>1.0007</v>
      </c>
      <c r="G896" s="111">
        <v>0.568</v>
      </c>
      <c r="H896" s="114" t="s">
        <v>281</v>
      </c>
      <c r="I896" s="112">
        <f t="shared" si="1"/>
        <v>0.7617957746</v>
      </c>
      <c r="J896" s="82">
        <f t="shared" si="2"/>
        <v>0.5676026781</v>
      </c>
    </row>
    <row r="897">
      <c r="A897" s="101">
        <v>44690.0</v>
      </c>
      <c r="B897" s="111">
        <v>2029.0</v>
      </c>
      <c r="C897" s="111">
        <v>3.0</v>
      </c>
      <c r="D897" s="110" t="s">
        <v>228</v>
      </c>
      <c r="E897" s="111">
        <v>1.0</v>
      </c>
      <c r="F897" s="111">
        <v>0.9334</v>
      </c>
      <c r="G897" s="111">
        <v>0.4988</v>
      </c>
      <c r="H897" s="114" t="s">
        <v>281</v>
      </c>
      <c r="I897" s="112">
        <f t="shared" si="1"/>
        <v>0.8712910986</v>
      </c>
      <c r="J897" s="82">
        <f t="shared" si="2"/>
        <v>0.5343904007</v>
      </c>
    </row>
    <row r="898">
      <c r="A898" s="101">
        <v>44690.0</v>
      </c>
      <c r="B898" s="111">
        <v>2029.0</v>
      </c>
      <c r="C898" s="111">
        <v>3.0</v>
      </c>
      <c r="D898" s="110" t="s">
        <v>227</v>
      </c>
      <c r="E898" s="111">
        <v>0.0</v>
      </c>
      <c r="F898" s="111">
        <v>0.1116</v>
      </c>
      <c r="G898" s="116">
        <v>0.054</v>
      </c>
      <c r="H898" s="114" t="s">
        <v>281</v>
      </c>
      <c r="I898" s="112">
        <f t="shared" si="1"/>
        <v>1.066666667</v>
      </c>
      <c r="J898" s="82">
        <f t="shared" si="2"/>
        <v>0.4838709677</v>
      </c>
    </row>
    <row r="899">
      <c r="A899" s="101">
        <v>44690.0</v>
      </c>
      <c r="B899" s="111">
        <v>2029.0</v>
      </c>
      <c r="C899" s="111">
        <v>3.0</v>
      </c>
      <c r="D899" s="110" t="s">
        <v>227</v>
      </c>
      <c r="E899" s="111">
        <v>1.0</v>
      </c>
      <c r="F899" s="111">
        <v>0.2212</v>
      </c>
      <c r="G899" s="111">
        <v>0.1002</v>
      </c>
      <c r="H899" s="114" t="s">
        <v>281</v>
      </c>
      <c r="I899" s="112">
        <f t="shared" si="1"/>
        <v>1.20758483</v>
      </c>
      <c r="J899" s="82">
        <f t="shared" si="2"/>
        <v>0.4529837251</v>
      </c>
    </row>
    <row r="900">
      <c r="A900" s="101">
        <v>44690.0</v>
      </c>
      <c r="B900" s="111">
        <v>2030.0</v>
      </c>
      <c r="C900" s="111">
        <v>1.0</v>
      </c>
      <c r="D900" s="110" t="s">
        <v>228</v>
      </c>
      <c r="E900" s="111">
        <v>0.0</v>
      </c>
      <c r="F900" s="111">
        <v>0.5606</v>
      </c>
      <c r="G900" s="111">
        <v>0.522</v>
      </c>
      <c r="H900" s="114" t="s">
        <v>281</v>
      </c>
      <c r="I900" s="112">
        <f t="shared" si="1"/>
        <v>0.07394636015</v>
      </c>
      <c r="J900" s="82">
        <f t="shared" si="2"/>
        <v>0.9311452016</v>
      </c>
    </row>
    <row r="901">
      <c r="A901" s="101">
        <v>44690.0</v>
      </c>
      <c r="B901" s="111">
        <v>2030.0</v>
      </c>
      <c r="C901" s="111">
        <v>1.0</v>
      </c>
      <c r="D901" s="110" t="s">
        <v>228</v>
      </c>
      <c r="E901" s="111">
        <v>1.0</v>
      </c>
      <c r="F901" s="111">
        <v>0.6378</v>
      </c>
      <c r="G901" s="111">
        <v>0.364</v>
      </c>
      <c r="H901" s="114" t="s">
        <v>281</v>
      </c>
      <c r="I901" s="112">
        <f t="shared" si="1"/>
        <v>0.7521978022</v>
      </c>
      <c r="J901" s="82">
        <f t="shared" si="2"/>
        <v>0.5707118219</v>
      </c>
    </row>
    <row r="902">
      <c r="A902" s="101">
        <v>44690.0</v>
      </c>
      <c r="B902" s="111">
        <v>2030.0</v>
      </c>
      <c r="C902" s="111">
        <v>1.0</v>
      </c>
      <c r="D902" s="110" t="s">
        <v>227</v>
      </c>
      <c r="E902" s="111">
        <v>1.0</v>
      </c>
      <c r="F902" s="111">
        <v>0.467</v>
      </c>
      <c r="G902" s="111">
        <v>0.245</v>
      </c>
      <c r="H902" s="114" t="s">
        <v>281</v>
      </c>
      <c r="I902" s="112">
        <f t="shared" si="1"/>
        <v>0.906122449</v>
      </c>
      <c r="J902" s="82">
        <f t="shared" si="2"/>
        <v>0.5246252677</v>
      </c>
    </row>
    <row r="903">
      <c r="A903" s="101">
        <v>44690.0</v>
      </c>
      <c r="B903" s="111">
        <v>2030.0</v>
      </c>
      <c r="C903" s="111">
        <v>1.0</v>
      </c>
      <c r="D903" s="110" t="s">
        <v>227</v>
      </c>
      <c r="E903" s="111">
        <v>0.0</v>
      </c>
      <c r="F903" s="111">
        <v>0.0938</v>
      </c>
      <c r="G903" s="111">
        <v>0.047</v>
      </c>
      <c r="H903" s="114" t="s">
        <v>281</v>
      </c>
      <c r="I903" s="112">
        <f t="shared" si="1"/>
        <v>0.9957446809</v>
      </c>
      <c r="J903" s="82">
        <f t="shared" si="2"/>
        <v>0.5010660981</v>
      </c>
    </row>
    <row r="904">
      <c r="A904" s="101">
        <v>44690.0</v>
      </c>
      <c r="B904" s="111">
        <v>2030.0</v>
      </c>
      <c r="C904" s="111">
        <v>2.0</v>
      </c>
      <c r="D904" s="110" t="s">
        <v>228</v>
      </c>
      <c r="E904" s="111">
        <v>1.0</v>
      </c>
      <c r="F904" s="111">
        <v>0.265</v>
      </c>
      <c r="G904" s="111">
        <v>0.3535</v>
      </c>
      <c r="H904" s="114" t="s">
        <v>281</v>
      </c>
      <c r="I904" s="112">
        <f t="shared" si="1"/>
        <v>-0.2503536068</v>
      </c>
      <c r="J904" s="82">
        <f t="shared" si="2"/>
        <v>1.333962264</v>
      </c>
    </row>
    <row r="905">
      <c r="A905" s="101">
        <v>44690.0</v>
      </c>
      <c r="B905" s="111">
        <v>2030.0</v>
      </c>
      <c r="C905" s="111">
        <v>2.0</v>
      </c>
      <c r="D905" s="110" t="s">
        <v>228</v>
      </c>
      <c r="E905" s="111">
        <v>0.0</v>
      </c>
      <c r="F905" s="111">
        <v>2.4629</v>
      </c>
      <c r="G905" s="111">
        <v>1.314</v>
      </c>
      <c r="H905" s="114" t="s">
        <v>281</v>
      </c>
      <c r="I905" s="112">
        <f t="shared" si="1"/>
        <v>0.8743531202</v>
      </c>
      <c r="J905" s="82">
        <f t="shared" si="2"/>
        <v>0.5335173982</v>
      </c>
    </row>
    <row r="906">
      <c r="A906" s="101">
        <v>44690.0</v>
      </c>
      <c r="B906" s="111">
        <v>2030.0</v>
      </c>
      <c r="C906" s="111">
        <v>2.0</v>
      </c>
      <c r="D906" s="110" t="s">
        <v>227</v>
      </c>
      <c r="E906" s="111">
        <v>1.0</v>
      </c>
      <c r="F906" s="111">
        <v>0.6005</v>
      </c>
      <c r="G906" s="111">
        <v>0.144</v>
      </c>
      <c r="H906" s="114" t="s">
        <v>281</v>
      </c>
      <c r="I906" s="112">
        <f t="shared" si="1"/>
        <v>3.170138889</v>
      </c>
      <c r="J906" s="82">
        <f t="shared" si="2"/>
        <v>0.2398001665</v>
      </c>
      <c r="K906" s="66">
        <v>1.0</v>
      </c>
    </row>
    <row r="907">
      <c r="A907" s="101">
        <v>44690.0</v>
      </c>
      <c r="B907" s="111">
        <v>2030.0</v>
      </c>
      <c r="C907" s="111">
        <v>2.0</v>
      </c>
      <c r="D907" s="110" t="s">
        <v>227</v>
      </c>
      <c r="E907" s="111">
        <v>0.0</v>
      </c>
      <c r="F907" s="111">
        <v>2.6455</v>
      </c>
      <c r="G907" s="111">
        <v>0.095</v>
      </c>
      <c r="H907" s="114" t="s">
        <v>281</v>
      </c>
      <c r="I907" s="112">
        <f t="shared" si="1"/>
        <v>26.84736842</v>
      </c>
      <c r="J907" s="82">
        <f t="shared" si="2"/>
        <v>0.03591003591</v>
      </c>
      <c r="K907" s="66">
        <v>1.0</v>
      </c>
    </row>
    <row r="908">
      <c r="A908" s="101">
        <v>44690.0</v>
      </c>
      <c r="B908" s="111">
        <v>2030.0</v>
      </c>
      <c r="C908" s="111">
        <v>3.0</v>
      </c>
      <c r="D908" s="110" t="s">
        <v>228</v>
      </c>
      <c r="E908" s="111">
        <v>1.0</v>
      </c>
      <c r="F908" s="111">
        <v>1.1948</v>
      </c>
      <c r="G908" s="111">
        <v>0.679</v>
      </c>
      <c r="H908" s="114" t="s">
        <v>281</v>
      </c>
      <c r="I908" s="112">
        <f t="shared" si="1"/>
        <v>0.759646539</v>
      </c>
      <c r="J908" s="82">
        <f t="shared" si="2"/>
        <v>0.5682959491</v>
      </c>
    </row>
    <row r="909">
      <c r="A909" s="101">
        <v>44690.0</v>
      </c>
      <c r="B909" s="111">
        <v>2030.0</v>
      </c>
      <c r="C909" s="111">
        <v>3.0</v>
      </c>
      <c r="D909" s="110" t="s">
        <v>228</v>
      </c>
      <c r="E909" s="111">
        <v>0.0</v>
      </c>
      <c r="F909" s="111">
        <v>1.0264</v>
      </c>
      <c r="G909" s="111">
        <v>0.537</v>
      </c>
      <c r="H909" s="114" t="s">
        <v>281</v>
      </c>
      <c r="I909" s="112">
        <f t="shared" si="1"/>
        <v>0.9113594041</v>
      </c>
      <c r="J909" s="82">
        <f t="shared" si="2"/>
        <v>0.523187841</v>
      </c>
    </row>
    <row r="910">
      <c r="A910" s="101">
        <v>44690.0</v>
      </c>
      <c r="B910" s="111">
        <v>2030.0</v>
      </c>
      <c r="C910" s="111">
        <v>3.0</v>
      </c>
      <c r="D910" s="110" t="s">
        <v>227</v>
      </c>
      <c r="E910" s="111">
        <v>0.0</v>
      </c>
      <c r="F910" s="111">
        <v>0.0786</v>
      </c>
      <c r="G910" s="111">
        <v>0.041</v>
      </c>
      <c r="H910" s="114" t="s">
        <v>281</v>
      </c>
      <c r="I910" s="112">
        <f t="shared" si="1"/>
        <v>0.9170731707</v>
      </c>
      <c r="J910" s="82">
        <f t="shared" si="2"/>
        <v>0.5216284987</v>
      </c>
    </row>
    <row r="911">
      <c r="A911" s="101">
        <v>44690.0</v>
      </c>
      <c r="B911" s="111">
        <v>2030.0</v>
      </c>
      <c r="C911" s="111">
        <v>3.0</v>
      </c>
      <c r="D911" s="110" t="s">
        <v>227</v>
      </c>
      <c r="E911" s="111">
        <v>1.0</v>
      </c>
      <c r="F911" s="111">
        <v>0.2749</v>
      </c>
      <c r="G911" s="111">
        <v>0.1413</v>
      </c>
      <c r="H911" s="114" t="s">
        <v>281</v>
      </c>
      <c r="I911" s="112">
        <f t="shared" si="1"/>
        <v>0.9455060156</v>
      </c>
      <c r="J911" s="82">
        <f t="shared" si="2"/>
        <v>0.5140050928</v>
      </c>
    </row>
    <row r="912">
      <c r="A912" s="101">
        <v>44690.0</v>
      </c>
      <c r="B912" s="111">
        <v>2031.0</v>
      </c>
      <c r="C912" s="111">
        <v>1.0</v>
      </c>
      <c r="D912" s="110" t="s">
        <v>228</v>
      </c>
      <c r="E912" s="111">
        <v>0.0</v>
      </c>
      <c r="F912" s="111">
        <v>1.0939</v>
      </c>
      <c r="G912" s="111">
        <v>0.561</v>
      </c>
      <c r="H912" s="114" t="s">
        <v>281</v>
      </c>
      <c r="I912" s="112">
        <f t="shared" si="1"/>
        <v>0.9499108734</v>
      </c>
      <c r="J912" s="82">
        <f t="shared" si="2"/>
        <v>0.5128439528</v>
      </c>
    </row>
    <row r="913">
      <c r="A913" s="101">
        <v>44690.0</v>
      </c>
      <c r="B913" s="111">
        <v>2031.0</v>
      </c>
      <c r="C913" s="111">
        <v>1.0</v>
      </c>
      <c r="D913" s="110" t="s">
        <v>227</v>
      </c>
      <c r="E913" s="111">
        <v>1.0</v>
      </c>
      <c r="F913" s="111">
        <v>0.1534</v>
      </c>
      <c r="G913" s="111">
        <v>0.074</v>
      </c>
      <c r="H913" s="114" t="s">
        <v>281</v>
      </c>
      <c r="I913" s="112">
        <f t="shared" si="1"/>
        <v>1.072972973</v>
      </c>
      <c r="J913" s="82">
        <f t="shared" si="2"/>
        <v>0.482398957</v>
      </c>
    </row>
    <row r="914">
      <c r="A914" s="101">
        <v>44690.0</v>
      </c>
      <c r="B914" s="111">
        <v>2031.0</v>
      </c>
      <c r="C914" s="111">
        <v>1.0</v>
      </c>
      <c r="D914" s="110" t="s">
        <v>227</v>
      </c>
      <c r="E914" s="111">
        <v>0.0</v>
      </c>
      <c r="F914" s="111">
        <v>0.0399</v>
      </c>
      <c r="G914" s="111">
        <v>0.019</v>
      </c>
      <c r="H914" s="114" t="s">
        <v>281</v>
      </c>
      <c r="I914" s="112">
        <f t="shared" si="1"/>
        <v>1.1</v>
      </c>
      <c r="J914" s="82">
        <f t="shared" si="2"/>
        <v>0.4761904762</v>
      </c>
    </row>
    <row r="915">
      <c r="A915" s="101">
        <v>44690.0</v>
      </c>
      <c r="B915" s="111">
        <v>2031.0</v>
      </c>
      <c r="C915" s="111">
        <v>2.0</v>
      </c>
      <c r="D915" s="110" t="s">
        <v>228</v>
      </c>
      <c r="E915" s="111">
        <v>0.0</v>
      </c>
      <c r="F915" s="111">
        <v>2.2479</v>
      </c>
      <c r="G915" s="111">
        <v>1.14</v>
      </c>
      <c r="H915" s="114" t="s">
        <v>281</v>
      </c>
      <c r="I915" s="112">
        <f t="shared" si="1"/>
        <v>0.9718421053</v>
      </c>
      <c r="J915" s="82">
        <f t="shared" si="2"/>
        <v>0.5071399973</v>
      </c>
    </row>
    <row r="916">
      <c r="A916" s="101">
        <v>44690.0</v>
      </c>
      <c r="B916" s="111">
        <v>2031.0</v>
      </c>
      <c r="C916" s="111">
        <v>2.0</v>
      </c>
      <c r="D916" s="110" t="s">
        <v>227</v>
      </c>
      <c r="E916" s="111">
        <v>0.0</v>
      </c>
      <c r="F916" s="111">
        <v>0.2512</v>
      </c>
      <c r="G916" s="111">
        <v>0.096</v>
      </c>
      <c r="H916" s="114" t="s">
        <v>281</v>
      </c>
      <c r="I916" s="112">
        <f t="shared" si="1"/>
        <v>1.616666667</v>
      </c>
      <c r="J916" s="82">
        <f t="shared" si="2"/>
        <v>0.3821656051</v>
      </c>
    </row>
    <row r="917">
      <c r="A917" s="101">
        <v>44690.0</v>
      </c>
      <c r="B917" s="111">
        <v>2031.0</v>
      </c>
      <c r="C917" s="111">
        <v>2.0</v>
      </c>
      <c r="D917" s="110" t="s">
        <v>227</v>
      </c>
      <c r="E917" s="111">
        <v>1.0</v>
      </c>
      <c r="F917" s="111">
        <v>2.6386</v>
      </c>
      <c r="G917" s="111">
        <v>0.224</v>
      </c>
      <c r="H917" s="114" t="s">
        <v>281</v>
      </c>
      <c r="I917" s="112">
        <f t="shared" si="1"/>
        <v>10.77946429</v>
      </c>
      <c r="J917" s="82">
        <f t="shared" si="2"/>
        <v>0.08489350413</v>
      </c>
      <c r="K917" s="66">
        <v>1.0</v>
      </c>
    </row>
    <row r="918">
      <c r="A918" s="101">
        <v>44690.0</v>
      </c>
      <c r="B918" s="111">
        <v>2031.0</v>
      </c>
      <c r="C918" s="111">
        <v>3.0</v>
      </c>
      <c r="D918" s="110" t="s">
        <v>227</v>
      </c>
      <c r="E918" s="111">
        <v>1.0</v>
      </c>
      <c r="F918" s="111">
        <v>0.1087</v>
      </c>
      <c r="G918" s="111">
        <v>0.1468</v>
      </c>
      <c r="H918" s="114" t="s">
        <v>281</v>
      </c>
      <c r="I918" s="112">
        <f t="shared" si="1"/>
        <v>-0.2595367847</v>
      </c>
      <c r="J918" s="82">
        <f t="shared" si="2"/>
        <v>1.35050598</v>
      </c>
    </row>
    <row r="919">
      <c r="A919" s="101">
        <v>44690.0</v>
      </c>
      <c r="B919" s="111">
        <v>2031.0</v>
      </c>
      <c r="C919" s="111">
        <v>3.0</v>
      </c>
      <c r="D919" s="110" t="s">
        <v>228</v>
      </c>
      <c r="E919" s="111">
        <v>0.0</v>
      </c>
      <c r="F919" s="111">
        <v>1.4773</v>
      </c>
      <c r="G919" s="111">
        <v>0.775</v>
      </c>
      <c r="H919" s="114" t="s">
        <v>281</v>
      </c>
      <c r="I919" s="112">
        <f t="shared" si="1"/>
        <v>0.9061935484</v>
      </c>
      <c r="J919" s="82">
        <f t="shared" si="2"/>
        <v>0.5246056996</v>
      </c>
    </row>
    <row r="920">
      <c r="A920" s="101">
        <v>44690.0</v>
      </c>
      <c r="B920" s="111">
        <v>2031.0</v>
      </c>
      <c r="C920" s="111">
        <v>3.0</v>
      </c>
      <c r="D920" s="110" t="s">
        <v>227</v>
      </c>
      <c r="E920" s="111">
        <v>0.0</v>
      </c>
      <c r="F920" s="111">
        <v>0.2943</v>
      </c>
      <c r="G920" s="111">
        <v>0.0489</v>
      </c>
      <c r="H920" s="114" t="s">
        <v>281</v>
      </c>
      <c r="I920" s="112">
        <f t="shared" si="1"/>
        <v>5.018404908</v>
      </c>
      <c r="J920" s="82">
        <f t="shared" si="2"/>
        <v>0.1661569827</v>
      </c>
      <c r="K920" s="66">
        <v>1.0</v>
      </c>
    </row>
    <row r="921">
      <c r="A921" s="101">
        <v>44690.0</v>
      </c>
      <c r="B921" s="111">
        <v>2080.0</v>
      </c>
      <c r="C921" s="111">
        <v>1.0</v>
      </c>
      <c r="D921" s="110" t="s">
        <v>228</v>
      </c>
      <c r="E921" s="111">
        <v>0.0</v>
      </c>
      <c r="F921" s="111">
        <v>1.7455</v>
      </c>
      <c r="G921" s="111">
        <v>0.7823</v>
      </c>
      <c r="H921" s="114" t="s">
        <v>281</v>
      </c>
      <c r="I921" s="112">
        <f t="shared" si="1"/>
        <v>1.231241212</v>
      </c>
      <c r="J921" s="82">
        <f t="shared" si="2"/>
        <v>0.448181037</v>
      </c>
    </row>
    <row r="922">
      <c r="A922" s="101">
        <v>44690.0</v>
      </c>
      <c r="B922" s="111">
        <v>2085.0</v>
      </c>
      <c r="C922" s="111">
        <v>1.0</v>
      </c>
      <c r="D922" s="110" t="s">
        <v>228</v>
      </c>
      <c r="E922" s="111">
        <v>0.0</v>
      </c>
      <c r="F922" s="111">
        <v>0.7909</v>
      </c>
      <c r="G922" s="111">
        <v>0.3619</v>
      </c>
      <c r="H922" s="114" t="s">
        <v>281</v>
      </c>
      <c r="I922" s="112">
        <f t="shared" si="1"/>
        <v>1.185410334</v>
      </c>
      <c r="J922" s="82">
        <f t="shared" si="2"/>
        <v>0.4575799722</v>
      </c>
    </row>
    <row r="923">
      <c r="A923" s="101">
        <v>44690.0</v>
      </c>
      <c r="B923" s="111">
        <v>2085.0</v>
      </c>
      <c r="C923" s="111">
        <v>1.0</v>
      </c>
      <c r="D923" s="110" t="s">
        <v>227</v>
      </c>
      <c r="E923" s="111">
        <v>1.0</v>
      </c>
      <c r="F923" s="111">
        <v>0.6429</v>
      </c>
      <c r="G923" s="111">
        <v>0.2899</v>
      </c>
      <c r="H923" s="114" t="s">
        <v>281</v>
      </c>
      <c r="I923" s="112">
        <f t="shared" si="1"/>
        <v>1.217661263</v>
      </c>
      <c r="J923" s="82">
        <f t="shared" si="2"/>
        <v>0.4509254939</v>
      </c>
    </row>
    <row r="924">
      <c r="A924" s="101">
        <v>44690.0</v>
      </c>
      <c r="B924" s="111">
        <v>2085.0</v>
      </c>
      <c r="C924" s="111">
        <v>1.0</v>
      </c>
      <c r="D924" s="110" t="s">
        <v>227</v>
      </c>
      <c r="E924" s="111">
        <v>0.0</v>
      </c>
      <c r="F924" s="111">
        <v>0.1888</v>
      </c>
      <c r="G924" s="111">
        <v>0.0789</v>
      </c>
      <c r="H924" s="114" t="s">
        <v>281</v>
      </c>
      <c r="I924" s="112">
        <f t="shared" si="1"/>
        <v>1.392902408</v>
      </c>
      <c r="J924" s="82">
        <f t="shared" si="2"/>
        <v>0.4179025424</v>
      </c>
    </row>
    <row r="925">
      <c r="A925" s="101">
        <v>44690.0</v>
      </c>
      <c r="B925" s="111">
        <v>2085.0</v>
      </c>
      <c r="C925" s="111">
        <v>2.0</v>
      </c>
      <c r="D925" s="110" t="s">
        <v>228</v>
      </c>
      <c r="E925" s="111">
        <v>0.0</v>
      </c>
      <c r="F925" s="111">
        <v>0.4911</v>
      </c>
      <c r="G925" s="111">
        <v>0.2295</v>
      </c>
      <c r="H925" s="114" t="s">
        <v>281</v>
      </c>
      <c r="I925" s="112">
        <f t="shared" si="1"/>
        <v>1.139869281</v>
      </c>
      <c r="J925" s="82">
        <f t="shared" si="2"/>
        <v>0.4673182651</v>
      </c>
    </row>
    <row r="926">
      <c r="A926" s="101">
        <v>44690.0</v>
      </c>
      <c r="B926" s="111">
        <v>2085.0</v>
      </c>
      <c r="C926" s="111">
        <v>2.0</v>
      </c>
      <c r="D926" s="110" t="s">
        <v>227</v>
      </c>
      <c r="E926" s="111">
        <v>1.0</v>
      </c>
      <c r="F926" s="111">
        <v>0.1935</v>
      </c>
      <c r="G926" s="111">
        <v>0.0889</v>
      </c>
      <c r="H926" s="114" t="s">
        <v>281</v>
      </c>
      <c r="I926" s="112">
        <f t="shared" si="1"/>
        <v>1.176602925</v>
      </c>
      <c r="J926" s="82">
        <f t="shared" si="2"/>
        <v>0.4594315245</v>
      </c>
    </row>
    <row r="927">
      <c r="A927" s="101">
        <v>44690.0</v>
      </c>
      <c r="B927" s="111">
        <v>2085.0</v>
      </c>
      <c r="C927" s="111">
        <v>2.0</v>
      </c>
      <c r="D927" s="110" t="s">
        <v>227</v>
      </c>
      <c r="E927" s="111">
        <v>0.0</v>
      </c>
      <c r="F927" s="111">
        <v>0.0978</v>
      </c>
      <c r="G927" s="111">
        <v>0.0419</v>
      </c>
      <c r="H927" s="114" t="s">
        <v>281</v>
      </c>
      <c r="I927" s="112">
        <f t="shared" si="1"/>
        <v>1.334128878</v>
      </c>
      <c r="J927" s="82">
        <f t="shared" si="2"/>
        <v>0.4284253579</v>
      </c>
    </row>
    <row r="928">
      <c r="A928" s="101">
        <v>44690.0</v>
      </c>
      <c r="B928" s="111">
        <v>2086.0</v>
      </c>
      <c r="C928" s="111">
        <v>1.0</v>
      </c>
      <c r="D928" s="110" t="s">
        <v>227</v>
      </c>
      <c r="E928" s="111">
        <v>1.0</v>
      </c>
      <c r="F928" s="111">
        <v>0.3808</v>
      </c>
      <c r="G928" s="111">
        <v>0.1642</v>
      </c>
      <c r="H928" s="114" t="s">
        <v>281</v>
      </c>
      <c r="I928" s="112">
        <f t="shared" si="1"/>
        <v>1.319123021</v>
      </c>
      <c r="J928" s="82">
        <f t="shared" si="2"/>
        <v>0.431197479</v>
      </c>
    </row>
    <row r="929">
      <c r="A929" s="101">
        <v>44690.0</v>
      </c>
      <c r="B929" s="111">
        <v>2086.0</v>
      </c>
      <c r="C929" s="111">
        <v>1.0</v>
      </c>
      <c r="D929" s="110" t="s">
        <v>227</v>
      </c>
      <c r="E929" s="111">
        <v>0.0</v>
      </c>
      <c r="F929" s="111">
        <v>0.436</v>
      </c>
      <c r="G929" s="111">
        <v>0.1757</v>
      </c>
      <c r="H929" s="114" t="s">
        <v>281</v>
      </c>
      <c r="I929" s="112">
        <f t="shared" si="1"/>
        <v>1.481502561</v>
      </c>
      <c r="J929" s="82">
        <f t="shared" si="2"/>
        <v>0.4029816514</v>
      </c>
    </row>
    <row r="930">
      <c r="A930" s="101">
        <v>44690.0</v>
      </c>
      <c r="B930" s="111">
        <v>2086.0</v>
      </c>
      <c r="C930" s="111">
        <v>2.0</v>
      </c>
      <c r="D930" s="110" t="s">
        <v>228</v>
      </c>
      <c r="E930" s="111">
        <v>0.0</v>
      </c>
      <c r="F930" s="111">
        <v>2.092</v>
      </c>
      <c r="G930" s="111">
        <v>0.9603</v>
      </c>
      <c r="H930" s="114" t="s">
        <v>281</v>
      </c>
      <c r="I930" s="112">
        <f t="shared" si="1"/>
        <v>1.17848589</v>
      </c>
      <c r="J930" s="82">
        <f t="shared" si="2"/>
        <v>0.4590344168</v>
      </c>
    </row>
    <row r="931">
      <c r="A931" s="101">
        <v>44690.0</v>
      </c>
      <c r="B931" s="111">
        <v>2086.0</v>
      </c>
      <c r="C931" s="111">
        <v>2.0</v>
      </c>
      <c r="D931" s="110" t="s">
        <v>227</v>
      </c>
      <c r="E931" s="111">
        <v>1.0</v>
      </c>
      <c r="F931" s="111">
        <v>0.221</v>
      </c>
      <c r="G931" s="111">
        <v>0.0978</v>
      </c>
      <c r="H931" s="114" t="s">
        <v>281</v>
      </c>
      <c r="I931" s="112">
        <f t="shared" si="1"/>
        <v>1.259713701</v>
      </c>
      <c r="J931" s="82">
        <f t="shared" si="2"/>
        <v>0.4425339367</v>
      </c>
    </row>
    <row r="932">
      <c r="A932" s="101">
        <v>44690.0</v>
      </c>
      <c r="B932" s="111">
        <v>2086.0</v>
      </c>
      <c r="C932" s="111">
        <v>2.0</v>
      </c>
      <c r="D932" s="110" t="s">
        <v>227</v>
      </c>
      <c r="E932" s="111">
        <v>0.0</v>
      </c>
      <c r="F932" s="111">
        <v>0.5771</v>
      </c>
      <c r="G932" s="111">
        <v>0.2319</v>
      </c>
      <c r="H932" s="114" t="s">
        <v>281</v>
      </c>
      <c r="I932" s="112">
        <f t="shared" si="1"/>
        <v>1.488572661</v>
      </c>
      <c r="J932" s="82">
        <f t="shared" si="2"/>
        <v>0.4018367701</v>
      </c>
    </row>
    <row r="933">
      <c r="A933" s="101">
        <v>44690.0</v>
      </c>
      <c r="B933" s="111">
        <v>2086.0</v>
      </c>
      <c r="C933" s="111">
        <v>3.0</v>
      </c>
      <c r="D933" s="110" t="s">
        <v>228</v>
      </c>
      <c r="E933" s="111">
        <v>0.0</v>
      </c>
      <c r="F933" s="111">
        <v>1.4232</v>
      </c>
      <c r="G933" s="116">
        <v>0.691</v>
      </c>
      <c r="H933" s="114" t="s">
        <v>281</v>
      </c>
      <c r="I933" s="112">
        <f t="shared" si="1"/>
        <v>1.059623734</v>
      </c>
      <c r="J933" s="82">
        <f t="shared" si="2"/>
        <v>0.4855255762</v>
      </c>
    </row>
    <row r="934">
      <c r="A934" s="101">
        <v>44690.0</v>
      </c>
      <c r="B934" s="111">
        <v>2086.0</v>
      </c>
      <c r="C934" s="111">
        <v>3.0</v>
      </c>
      <c r="D934" s="110" t="s">
        <v>227</v>
      </c>
      <c r="E934" s="111">
        <v>1.0</v>
      </c>
      <c r="F934" s="111">
        <v>0.3905</v>
      </c>
      <c r="G934" s="111">
        <v>0.1775</v>
      </c>
      <c r="H934" s="114" t="s">
        <v>281</v>
      </c>
      <c r="I934" s="112">
        <f t="shared" si="1"/>
        <v>1.2</v>
      </c>
      <c r="J934" s="82">
        <f t="shared" si="2"/>
        <v>0.4545454545</v>
      </c>
    </row>
    <row r="935">
      <c r="A935" s="101">
        <v>44690.0</v>
      </c>
      <c r="B935" s="111">
        <v>2086.0</v>
      </c>
      <c r="C935" s="111">
        <v>3.0</v>
      </c>
      <c r="D935" s="110" t="s">
        <v>227</v>
      </c>
      <c r="E935" s="111">
        <v>0.0</v>
      </c>
      <c r="F935" s="111">
        <v>0.1511</v>
      </c>
      <c r="G935" s="111">
        <v>0.0577</v>
      </c>
      <c r="H935" s="114" t="s">
        <v>281</v>
      </c>
      <c r="I935" s="112">
        <f t="shared" si="1"/>
        <v>1.618717504</v>
      </c>
      <c r="J935" s="82">
        <f t="shared" si="2"/>
        <v>0.3818663137</v>
      </c>
    </row>
    <row r="936">
      <c r="A936" s="101">
        <v>44690.0</v>
      </c>
      <c r="B936" s="111">
        <v>2087.0</v>
      </c>
      <c r="C936" s="111">
        <v>1.0</v>
      </c>
      <c r="D936" s="110" t="s">
        <v>228</v>
      </c>
      <c r="E936" s="111">
        <v>0.0</v>
      </c>
      <c r="F936" s="111">
        <v>0.747</v>
      </c>
      <c r="G936" s="111">
        <v>0.3482</v>
      </c>
      <c r="H936" s="114" t="s">
        <v>281</v>
      </c>
      <c r="I936" s="112">
        <f t="shared" si="1"/>
        <v>1.145318782</v>
      </c>
      <c r="J936" s="82">
        <f t="shared" si="2"/>
        <v>0.4661311914</v>
      </c>
    </row>
    <row r="937">
      <c r="A937" s="101">
        <v>44690.0</v>
      </c>
      <c r="B937" s="111">
        <v>2087.0</v>
      </c>
      <c r="C937" s="111">
        <v>1.0</v>
      </c>
      <c r="D937" s="110" t="s">
        <v>227</v>
      </c>
      <c r="E937" s="111">
        <v>1.0</v>
      </c>
      <c r="F937" s="111">
        <v>0.2468</v>
      </c>
      <c r="G937" s="116">
        <v>0.111</v>
      </c>
      <c r="H937" s="114" t="s">
        <v>281</v>
      </c>
      <c r="I937" s="112">
        <f t="shared" si="1"/>
        <v>1.223423423</v>
      </c>
      <c r="J937" s="82">
        <f t="shared" si="2"/>
        <v>0.4497568882</v>
      </c>
    </row>
    <row r="938">
      <c r="A938" s="101">
        <v>44690.0</v>
      </c>
      <c r="B938" s="111">
        <v>2087.0</v>
      </c>
      <c r="C938" s="111">
        <v>1.0</v>
      </c>
      <c r="D938" s="110" t="s">
        <v>227</v>
      </c>
      <c r="E938" s="111">
        <v>0.0</v>
      </c>
      <c r="F938" s="111">
        <v>0.2863</v>
      </c>
      <c r="G938" s="111">
        <v>0.1156</v>
      </c>
      <c r="H938" s="114" t="s">
        <v>281</v>
      </c>
      <c r="I938" s="112">
        <f t="shared" si="1"/>
        <v>1.476643599</v>
      </c>
      <c r="J938" s="82">
        <f t="shared" si="2"/>
        <v>0.4037722669</v>
      </c>
    </row>
    <row r="939">
      <c r="A939" s="101">
        <v>44690.0</v>
      </c>
      <c r="B939" s="111">
        <v>2087.0</v>
      </c>
      <c r="C939" s="111">
        <v>2.0</v>
      </c>
      <c r="D939" s="110" t="s">
        <v>228</v>
      </c>
      <c r="E939" s="111">
        <v>0.0</v>
      </c>
      <c r="F939" s="111">
        <v>1.1821</v>
      </c>
      <c r="G939" s="111">
        <v>0.5367</v>
      </c>
      <c r="H939" s="114" t="s">
        <v>281</v>
      </c>
      <c r="I939" s="112">
        <f t="shared" si="1"/>
        <v>1.202534004</v>
      </c>
      <c r="J939" s="82">
        <f t="shared" si="2"/>
        <v>0.4540225023</v>
      </c>
    </row>
    <row r="940">
      <c r="A940" s="101">
        <v>44690.0</v>
      </c>
      <c r="B940" s="111">
        <v>2087.0</v>
      </c>
      <c r="C940" s="111">
        <v>2.0</v>
      </c>
      <c r="D940" s="110" t="s">
        <v>227</v>
      </c>
      <c r="E940" s="111">
        <v>1.0</v>
      </c>
      <c r="F940" s="111">
        <v>0.4134</v>
      </c>
      <c r="G940" s="111">
        <v>0.1863</v>
      </c>
      <c r="H940" s="114" t="s">
        <v>281</v>
      </c>
      <c r="I940" s="112">
        <f t="shared" si="1"/>
        <v>1.21900161</v>
      </c>
      <c r="J940" s="82">
        <f t="shared" si="2"/>
        <v>0.4506531205</v>
      </c>
    </row>
    <row r="941">
      <c r="A941" s="101">
        <v>44690.0</v>
      </c>
      <c r="B941" s="111">
        <v>2087.0</v>
      </c>
      <c r="C941" s="111">
        <v>2.0</v>
      </c>
      <c r="D941" s="110" t="s">
        <v>227</v>
      </c>
      <c r="E941" s="111">
        <v>0.0</v>
      </c>
      <c r="F941" s="111">
        <v>0.2727</v>
      </c>
      <c r="G941" s="111">
        <v>0.1076</v>
      </c>
      <c r="H941" s="114" t="s">
        <v>281</v>
      </c>
      <c r="I941" s="112">
        <f t="shared" si="1"/>
        <v>1.534386617</v>
      </c>
      <c r="J941" s="82">
        <f t="shared" si="2"/>
        <v>0.3945727906</v>
      </c>
    </row>
    <row r="942">
      <c r="A942" s="101">
        <v>44690.0</v>
      </c>
      <c r="B942" s="111">
        <v>2087.0</v>
      </c>
      <c r="C942" s="111">
        <v>3.0</v>
      </c>
      <c r="D942" s="110" t="s">
        <v>227</v>
      </c>
      <c r="E942" s="111">
        <v>1.0</v>
      </c>
      <c r="F942" s="111">
        <v>0.6176</v>
      </c>
      <c r="G942" s="111">
        <v>0.2874</v>
      </c>
      <c r="H942" s="114" t="s">
        <v>281</v>
      </c>
      <c r="I942" s="112">
        <f t="shared" si="1"/>
        <v>1.148921364</v>
      </c>
      <c r="J942" s="82">
        <f t="shared" si="2"/>
        <v>0.4653497409</v>
      </c>
    </row>
    <row r="943">
      <c r="A943" s="101">
        <v>44690.0</v>
      </c>
      <c r="B943" s="111">
        <v>2087.0</v>
      </c>
      <c r="C943" s="111">
        <v>3.0</v>
      </c>
      <c r="D943" s="110" t="s">
        <v>228</v>
      </c>
      <c r="E943" s="111">
        <v>0.0</v>
      </c>
      <c r="F943" s="116">
        <v>2.509</v>
      </c>
      <c r="G943" s="111">
        <v>1.1249</v>
      </c>
      <c r="H943" s="114" t="s">
        <v>281</v>
      </c>
      <c r="I943" s="112">
        <f t="shared" si="1"/>
        <v>1.230420482</v>
      </c>
      <c r="J943" s="82">
        <f t="shared" si="2"/>
        <v>0.4483459546</v>
      </c>
    </row>
    <row r="944">
      <c r="A944" s="101">
        <v>44690.0</v>
      </c>
      <c r="B944" s="111">
        <v>2087.0</v>
      </c>
      <c r="C944" s="111">
        <v>3.0</v>
      </c>
      <c r="D944" s="110" t="s">
        <v>227</v>
      </c>
      <c r="E944" s="111">
        <v>0.0</v>
      </c>
      <c r="F944" s="111">
        <v>0.5559</v>
      </c>
      <c r="G944" s="116">
        <v>0.208</v>
      </c>
      <c r="H944" s="114" t="s">
        <v>281</v>
      </c>
      <c r="I944" s="112">
        <f t="shared" si="1"/>
        <v>1.672596154</v>
      </c>
      <c r="J944" s="82">
        <f t="shared" si="2"/>
        <v>0.3741680158</v>
      </c>
    </row>
    <row r="945">
      <c r="A945" s="101">
        <v>44690.0</v>
      </c>
      <c r="B945" s="111">
        <v>2088.0</v>
      </c>
      <c r="C945" s="111">
        <v>1.0</v>
      </c>
      <c r="D945" s="110" t="s">
        <v>228</v>
      </c>
      <c r="E945" s="111">
        <v>1.0</v>
      </c>
      <c r="F945" s="111">
        <v>0.7021</v>
      </c>
      <c r="G945" s="116">
        <v>0.336</v>
      </c>
      <c r="H945" s="114" t="s">
        <v>281</v>
      </c>
      <c r="I945" s="112">
        <f t="shared" si="1"/>
        <v>1.089583333</v>
      </c>
      <c r="J945" s="82">
        <f t="shared" si="2"/>
        <v>0.4785643071</v>
      </c>
    </row>
    <row r="946">
      <c r="A946" s="101">
        <v>44690.0</v>
      </c>
      <c r="B946" s="111">
        <v>2088.0</v>
      </c>
      <c r="C946" s="111">
        <v>1.0</v>
      </c>
      <c r="D946" s="110" t="s">
        <v>227</v>
      </c>
      <c r="E946" s="111">
        <v>0.0</v>
      </c>
      <c r="F946" s="111">
        <v>0.1365</v>
      </c>
      <c r="G946" s="111">
        <v>0.0598</v>
      </c>
      <c r="H946" s="114" t="s">
        <v>281</v>
      </c>
      <c r="I946" s="112">
        <f t="shared" si="1"/>
        <v>1.282608696</v>
      </c>
      <c r="J946" s="82">
        <f t="shared" si="2"/>
        <v>0.4380952381</v>
      </c>
    </row>
    <row r="947">
      <c r="A947" s="101">
        <v>44690.0</v>
      </c>
      <c r="B947" s="111">
        <v>2088.0</v>
      </c>
      <c r="C947" s="111">
        <v>1.0</v>
      </c>
      <c r="D947" s="110" t="s">
        <v>227</v>
      </c>
      <c r="E947" s="111">
        <v>1.0</v>
      </c>
      <c r="F947" s="111">
        <v>1.0377</v>
      </c>
      <c r="G947" s="111">
        <v>0.154</v>
      </c>
      <c r="H947" s="114" t="s">
        <v>281</v>
      </c>
      <c r="I947" s="112">
        <f t="shared" si="1"/>
        <v>5.738311688</v>
      </c>
      <c r="J947" s="82">
        <f t="shared" si="2"/>
        <v>0.1484051267</v>
      </c>
      <c r="K947" s="66">
        <v>1.0</v>
      </c>
    </row>
    <row r="948">
      <c r="A948" s="101">
        <v>44690.0</v>
      </c>
      <c r="B948" s="111">
        <v>2088.0</v>
      </c>
      <c r="C948" s="111">
        <v>2.0</v>
      </c>
      <c r="D948" s="110" t="s">
        <v>228</v>
      </c>
      <c r="E948" s="111">
        <v>0.0</v>
      </c>
      <c r="F948" s="111">
        <v>0.561</v>
      </c>
      <c r="G948" s="111">
        <v>0.2565</v>
      </c>
      <c r="H948" s="114" t="s">
        <v>281</v>
      </c>
      <c r="I948" s="112">
        <f t="shared" si="1"/>
        <v>1.187134503</v>
      </c>
      <c r="J948" s="82">
        <f t="shared" si="2"/>
        <v>0.4572192513</v>
      </c>
    </row>
    <row r="949">
      <c r="A949" s="101">
        <v>44690.0</v>
      </c>
      <c r="B949" s="111">
        <v>2088.0</v>
      </c>
      <c r="C949" s="111">
        <v>2.0</v>
      </c>
      <c r="D949" s="110" t="s">
        <v>227</v>
      </c>
      <c r="E949" s="111">
        <v>0.0</v>
      </c>
      <c r="F949" s="111">
        <v>0.0784</v>
      </c>
      <c r="G949" s="111">
        <v>0.0349</v>
      </c>
      <c r="H949" s="114" t="s">
        <v>281</v>
      </c>
      <c r="I949" s="112">
        <f t="shared" si="1"/>
        <v>1.246418338</v>
      </c>
      <c r="J949" s="82">
        <f t="shared" si="2"/>
        <v>0.4451530612</v>
      </c>
    </row>
    <row r="950">
      <c r="A950" s="101">
        <v>44690.0</v>
      </c>
      <c r="B950" s="111">
        <v>2088.0</v>
      </c>
      <c r="C950" s="111">
        <v>2.0</v>
      </c>
      <c r="D950" s="110" t="s">
        <v>227</v>
      </c>
      <c r="E950" s="111">
        <v>1.0</v>
      </c>
      <c r="F950" s="111">
        <v>0.4012</v>
      </c>
      <c r="G950" s="111">
        <v>0.1769</v>
      </c>
      <c r="H950" s="114" t="s">
        <v>281</v>
      </c>
      <c r="I950" s="112">
        <f t="shared" si="1"/>
        <v>1.267947993</v>
      </c>
      <c r="J950" s="82">
        <f t="shared" si="2"/>
        <v>0.4409272183</v>
      </c>
    </row>
    <row r="951">
      <c r="A951" s="101">
        <v>44690.0</v>
      </c>
      <c r="B951" s="111">
        <v>2088.0</v>
      </c>
      <c r="C951" s="111">
        <v>3.0</v>
      </c>
      <c r="D951" s="110" t="s">
        <v>228</v>
      </c>
      <c r="E951" s="111">
        <v>0.0</v>
      </c>
      <c r="F951" s="111">
        <v>0.9132</v>
      </c>
      <c r="G951" s="111">
        <v>0.4257</v>
      </c>
      <c r="H951" s="114" t="s">
        <v>281</v>
      </c>
      <c r="I951" s="112">
        <f t="shared" si="1"/>
        <v>1.145172657</v>
      </c>
      <c r="J951" s="82">
        <f t="shared" si="2"/>
        <v>0.4661629435</v>
      </c>
    </row>
    <row r="952">
      <c r="A952" s="101">
        <v>44690.0</v>
      </c>
      <c r="B952" s="111">
        <v>2088.0</v>
      </c>
      <c r="C952" s="111">
        <v>3.0</v>
      </c>
      <c r="D952" s="110" t="s">
        <v>227</v>
      </c>
      <c r="E952" s="111">
        <v>1.0</v>
      </c>
      <c r="F952" s="111">
        <v>0.3755</v>
      </c>
      <c r="G952" s="111">
        <v>0.1714</v>
      </c>
      <c r="H952" s="114" t="s">
        <v>281</v>
      </c>
      <c r="I952" s="112">
        <f t="shared" si="1"/>
        <v>1.190781797</v>
      </c>
      <c r="J952" s="82">
        <f t="shared" si="2"/>
        <v>0.4564580559</v>
      </c>
    </row>
    <row r="953">
      <c r="A953" s="101">
        <v>44690.0</v>
      </c>
      <c r="B953" s="111">
        <v>2088.0</v>
      </c>
      <c r="C953" s="111">
        <v>3.0</v>
      </c>
      <c r="D953" s="110" t="s">
        <v>227</v>
      </c>
      <c r="E953" s="111">
        <v>0.0</v>
      </c>
      <c r="F953" s="111">
        <v>0.0733</v>
      </c>
      <c r="G953" s="111">
        <v>0.0314</v>
      </c>
      <c r="H953" s="114" t="s">
        <v>281</v>
      </c>
      <c r="I953" s="112">
        <f t="shared" si="1"/>
        <v>1.334394904</v>
      </c>
      <c r="J953" s="82">
        <f t="shared" si="2"/>
        <v>0.4283765348</v>
      </c>
    </row>
    <row r="954">
      <c r="A954" s="101">
        <v>44690.0</v>
      </c>
      <c r="B954" s="111">
        <v>2089.0</v>
      </c>
      <c r="C954" s="111">
        <v>1.0</v>
      </c>
      <c r="D954" s="110" t="s">
        <v>228</v>
      </c>
      <c r="E954" s="111">
        <v>1.0</v>
      </c>
      <c r="F954" s="111">
        <v>0.514</v>
      </c>
      <c r="G954" s="111">
        <v>0.276</v>
      </c>
      <c r="H954" s="114" t="s">
        <v>281</v>
      </c>
      <c r="I954" s="112">
        <f t="shared" si="1"/>
        <v>0.8623188406</v>
      </c>
      <c r="J954" s="82">
        <f t="shared" si="2"/>
        <v>0.5369649805</v>
      </c>
    </row>
    <row r="955">
      <c r="A955" s="101">
        <v>44690.0</v>
      </c>
      <c r="B955" s="111">
        <v>2089.0</v>
      </c>
      <c r="C955" s="111">
        <v>1.0</v>
      </c>
      <c r="D955" s="110" t="s">
        <v>228</v>
      </c>
      <c r="E955" s="111">
        <v>0.0</v>
      </c>
      <c r="F955" s="111">
        <v>1.1533</v>
      </c>
      <c r="G955" s="111">
        <v>0.5086</v>
      </c>
      <c r="H955" s="114" t="s">
        <v>281</v>
      </c>
      <c r="I955" s="112">
        <f t="shared" si="1"/>
        <v>1.267597326</v>
      </c>
      <c r="J955" s="82">
        <f t="shared" si="2"/>
        <v>0.4409954045</v>
      </c>
    </row>
    <row r="956">
      <c r="A956" s="101">
        <v>44690.0</v>
      </c>
      <c r="B956" s="111">
        <v>2089.0</v>
      </c>
      <c r="C956" s="111">
        <v>1.0</v>
      </c>
      <c r="D956" s="110" t="s">
        <v>227</v>
      </c>
      <c r="E956" s="111">
        <v>1.0</v>
      </c>
      <c r="F956" s="111">
        <v>0.1333</v>
      </c>
      <c r="G956" s="111">
        <v>0.0573</v>
      </c>
      <c r="H956" s="114" t="s">
        <v>281</v>
      </c>
      <c r="I956" s="112">
        <f t="shared" si="1"/>
        <v>1.326352531</v>
      </c>
      <c r="J956" s="82">
        <f t="shared" si="2"/>
        <v>0.4298574644</v>
      </c>
    </row>
    <row r="957">
      <c r="A957" s="101">
        <v>44690.0</v>
      </c>
      <c r="B957" s="111">
        <v>2089.0</v>
      </c>
      <c r="C957" s="111">
        <v>1.0</v>
      </c>
      <c r="D957" s="110" t="s">
        <v>227</v>
      </c>
      <c r="E957" s="111">
        <v>0.0</v>
      </c>
      <c r="F957" s="111">
        <v>0.0844</v>
      </c>
      <c r="G957" s="111">
        <v>0.0334</v>
      </c>
      <c r="H957" s="114" t="s">
        <v>281</v>
      </c>
      <c r="I957" s="112">
        <f t="shared" si="1"/>
        <v>1.526946108</v>
      </c>
      <c r="J957" s="82">
        <f t="shared" si="2"/>
        <v>0.3957345972</v>
      </c>
    </row>
    <row r="958">
      <c r="A958" s="101">
        <v>44690.0</v>
      </c>
      <c r="B958" s="111">
        <v>2089.0</v>
      </c>
      <c r="C958" s="111">
        <v>2.0</v>
      </c>
      <c r="D958" s="110" t="s">
        <v>228</v>
      </c>
      <c r="E958" s="111">
        <v>0.0</v>
      </c>
      <c r="F958" s="111">
        <v>0.8859</v>
      </c>
      <c r="G958" s="111">
        <v>0.483</v>
      </c>
      <c r="H958" s="114" t="s">
        <v>281</v>
      </c>
      <c r="I958" s="112">
        <f t="shared" si="1"/>
        <v>0.8341614907</v>
      </c>
      <c r="J958" s="82">
        <f t="shared" si="2"/>
        <v>0.5452082628</v>
      </c>
    </row>
    <row r="959">
      <c r="A959" s="101">
        <v>44690.0</v>
      </c>
      <c r="B959" s="111">
        <v>2089.0</v>
      </c>
      <c r="C959" s="111">
        <v>2.0</v>
      </c>
      <c r="D959" s="110" t="s">
        <v>227</v>
      </c>
      <c r="E959" s="111">
        <v>0.0</v>
      </c>
      <c r="F959" s="111">
        <v>0.1613</v>
      </c>
      <c r="G959" s="111">
        <v>0.0729</v>
      </c>
      <c r="H959" s="114" t="s">
        <v>281</v>
      </c>
      <c r="I959" s="112">
        <f t="shared" si="1"/>
        <v>1.212620027</v>
      </c>
      <c r="J959" s="82">
        <f t="shared" si="2"/>
        <v>0.4519528828</v>
      </c>
    </row>
    <row r="960">
      <c r="A960" s="101">
        <v>44690.0</v>
      </c>
      <c r="B960" s="111">
        <v>2090.0</v>
      </c>
      <c r="C960" s="111">
        <v>1.0</v>
      </c>
      <c r="D960" s="110" t="s">
        <v>228</v>
      </c>
      <c r="E960" s="111">
        <v>0.0</v>
      </c>
      <c r="F960" s="111">
        <v>0.9738</v>
      </c>
      <c r="G960" s="111">
        <v>0.4575</v>
      </c>
      <c r="H960" s="114" t="s">
        <v>281</v>
      </c>
      <c r="I960" s="112">
        <f t="shared" si="1"/>
        <v>1.12852459</v>
      </c>
      <c r="J960" s="82">
        <f t="shared" si="2"/>
        <v>0.4698089957</v>
      </c>
    </row>
    <row r="961">
      <c r="A961" s="101">
        <v>44690.0</v>
      </c>
      <c r="B961" s="111">
        <v>2090.0</v>
      </c>
      <c r="C961" s="111">
        <v>1.0</v>
      </c>
      <c r="D961" s="110" t="s">
        <v>227</v>
      </c>
      <c r="E961" s="111">
        <v>0.0</v>
      </c>
      <c r="F961" s="111">
        <v>0.0828</v>
      </c>
      <c r="G961" s="111">
        <v>0.0343</v>
      </c>
      <c r="H961" s="114" t="s">
        <v>281</v>
      </c>
      <c r="I961" s="112">
        <f t="shared" si="1"/>
        <v>1.413994169</v>
      </c>
      <c r="J961" s="82">
        <f t="shared" si="2"/>
        <v>0.4142512077</v>
      </c>
    </row>
    <row r="962">
      <c r="A962" s="101">
        <v>44690.0</v>
      </c>
      <c r="B962" s="111">
        <v>2090.0</v>
      </c>
      <c r="C962" s="111">
        <v>1.0</v>
      </c>
      <c r="D962" s="110" t="s">
        <v>227</v>
      </c>
      <c r="E962" s="111">
        <v>1.0</v>
      </c>
      <c r="F962" s="111">
        <v>0.1676</v>
      </c>
      <c r="G962" s="116">
        <v>0.053</v>
      </c>
      <c r="H962" s="114" t="s">
        <v>281</v>
      </c>
      <c r="I962" s="112">
        <f t="shared" si="1"/>
        <v>2.162264151</v>
      </c>
      <c r="J962" s="82">
        <f t="shared" si="2"/>
        <v>0.3162291169</v>
      </c>
    </row>
    <row r="963">
      <c r="A963" s="101">
        <v>44690.0</v>
      </c>
      <c r="B963" s="111">
        <v>2090.0</v>
      </c>
      <c r="C963" s="111">
        <v>2.0</v>
      </c>
      <c r="D963" s="110" t="s">
        <v>227</v>
      </c>
      <c r="E963" s="111">
        <v>1.0</v>
      </c>
      <c r="F963" s="111">
        <v>0.1294</v>
      </c>
      <c r="G963" s="111">
        <v>0.0628</v>
      </c>
      <c r="H963" s="114" t="s">
        <v>281</v>
      </c>
      <c r="I963" s="112">
        <f t="shared" si="1"/>
        <v>1.060509554</v>
      </c>
      <c r="J963" s="82">
        <f t="shared" si="2"/>
        <v>0.485316847</v>
      </c>
    </row>
    <row r="964">
      <c r="A964" s="101">
        <v>44690.0</v>
      </c>
      <c r="B964" s="111">
        <v>2090.0</v>
      </c>
      <c r="C964" s="111">
        <v>2.0</v>
      </c>
      <c r="D964" s="110" t="s">
        <v>228</v>
      </c>
      <c r="E964" s="111">
        <v>0.0</v>
      </c>
      <c r="F964" s="111">
        <v>0.675</v>
      </c>
      <c r="G964" s="111">
        <v>0.3088</v>
      </c>
      <c r="H964" s="114" t="s">
        <v>281</v>
      </c>
      <c r="I964" s="112">
        <f t="shared" si="1"/>
        <v>1.185880829</v>
      </c>
      <c r="J964" s="82">
        <f t="shared" si="2"/>
        <v>0.4574814815</v>
      </c>
    </row>
    <row r="965">
      <c r="A965" s="101">
        <v>44690.0</v>
      </c>
      <c r="B965" s="111">
        <v>2090.0</v>
      </c>
      <c r="C965" s="111">
        <v>2.0</v>
      </c>
      <c r="D965" s="110" t="s">
        <v>227</v>
      </c>
      <c r="E965" s="111">
        <v>0.0</v>
      </c>
      <c r="F965" s="111">
        <v>0.0467</v>
      </c>
      <c r="G965" s="111">
        <v>0.0195</v>
      </c>
      <c r="H965" s="114" t="s">
        <v>281</v>
      </c>
      <c r="I965" s="112">
        <f t="shared" si="1"/>
        <v>1.394871795</v>
      </c>
      <c r="J965" s="82">
        <f t="shared" si="2"/>
        <v>0.4175588865</v>
      </c>
    </row>
    <row r="966">
      <c r="A966" s="101">
        <v>44690.0</v>
      </c>
      <c r="B966" s="111">
        <v>2090.0</v>
      </c>
      <c r="C966" s="111">
        <v>3.0</v>
      </c>
      <c r="D966" s="110" t="s">
        <v>227</v>
      </c>
      <c r="E966" s="111">
        <v>1.0</v>
      </c>
      <c r="F966" s="111">
        <v>0.1189</v>
      </c>
      <c r="G966" s="111">
        <v>0.0564</v>
      </c>
      <c r="H966" s="114" t="s">
        <v>281</v>
      </c>
      <c r="I966" s="112">
        <f t="shared" si="1"/>
        <v>1.108156028</v>
      </c>
      <c r="J966" s="82">
        <f t="shared" si="2"/>
        <v>0.4743481918</v>
      </c>
    </row>
    <row r="967">
      <c r="A967" s="101">
        <v>44690.0</v>
      </c>
      <c r="B967" s="111">
        <v>2090.0</v>
      </c>
      <c r="C967" s="111">
        <v>3.0</v>
      </c>
      <c r="D967" s="110" t="s">
        <v>228</v>
      </c>
      <c r="E967" s="111">
        <v>0.0</v>
      </c>
      <c r="F967" s="111">
        <v>0.973</v>
      </c>
      <c r="G967" s="111">
        <v>0.4512</v>
      </c>
      <c r="H967" s="114" t="s">
        <v>281</v>
      </c>
      <c r="I967" s="112">
        <f t="shared" si="1"/>
        <v>1.156471631</v>
      </c>
      <c r="J967" s="82">
        <f t="shared" si="2"/>
        <v>0.4637204522</v>
      </c>
    </row>
    <row r="968">
      <c r="A968" s="101">
        <v>44690.0</v>
      </c>
      <c r="B968" s="111">
        <v>2090.0</v>
      </c>
      <c r="C968" s="111">
        <v>3.0</v>
      </c>
      <c r="D968" s="110" t="s">
        <v>227</v>
      </c>
      <c r="E968" s="111">
        <v>0.0</v>
      </c>
      <c r="F968" s="111">
        <v>0.1127</v>
      </c>
      <c r="G968" s="111">
        <v>0.0468</v>
      </c>
      <c r="H968" s="114" t="s">
        <v>281</v>
      </c>
      <c r="I968" s="112">
        <f t="shared" si="1"/>
        <v>1.408119658</v>
      </c>
      <c r="J968" s="82">
        <f t="shared" si="2"/>
        <v>0.4152617569</v>
      </c>
    </row>
    <row r="969">
      <c r="A969" s="101">
        <v>44690.0</v>
      </c>
      <c r="B969" s="111">
        <v>2091.0</v>
      </c>
      <c r="C969" s="111">
        <v>1.0</v>
      </c>
      <c r="D969" s="110" t="s">
        <v>228</v>
      </c>
      <c r="E969" s="111">
        <v>1.0</v>
      </c>
      <c r="F969" s="111">
        <v>0.4477</v>
      </c>
      <c r="G969" s="111">
        <v>0.285</v>
      </c>
      <c r="H969" s="114" t="s">
        <v>281</v>
      </c>
      <c r="I969" s="112">
        <f t="shared" si="1"/>
        <v>0.570877193</v>
      </c>
      <c r="J969" s="82">
        <f t="shared" si="2"/>
        <v>0.6365870002</v>
      </c>
    </row>
    <row r="970">
      <c r="A970" s="101">
        <v>44690.0</v>
      </c>
      <c r="B970" s="111">
        <v>2091.0</v>
      </c>
      <c r="C970" s="111">
        <v>1.0</v>
      </c>
      <c r="D970" s="110" t="s">
        <v>228</v>
      </c>
      <c r="E970" s="111">
        <v>0.0</v>
      </c>
      <c r="F970" s="111">
        <v>1.2878</v>
      </c>
      <c r="G970" s="111">
        <v>0.637</v>
      </c>
      <c r="H970" s="114" t="s">
        <v>281</v>
      </c>
      <c r="I970" s="112">
        <f t="shared" si="1"/>
        <v>1.02166405</v>
      </c>
      <c r="J970" s="82">
        <f t="shared" si="2"/>
        <v>0.4946420252</v>
      </c>
    </row>
    <row r="971">
      <c r="A971" s="101">
        <v>44690.0</v>
      </c>
      <c r="B971" s="111">
        <v>2091.0</v>
      </c>
      <c r="C971" s="111">
        <v>1.0</v>
      </c>
      <c r="D971" s="110" t="s">
        <v>227</v>
      </c>
      <c r="E971" s="111">
        <v>1.0</v>
      </c>
      <c r="F971" s="111">
        <v>0.6295</v>
      </c>
      <c r="G971" s="111">
        <v>0.31</v>
      </c>
      <c r="H971" s="114" t="s">
        <v>281</v>
      </c>
      <c r="I971" s="112">
        <f t="shared" si="1"/>
        <v>1.030645161</v>
      </c>
      <c r="J971" s="82">
        <f t="shared" si="2"/>
        <v>0.4924543288</v>
      </c>
    </row>
    <row r="972">
      <c r="A972" s="101">
        <v>44690.0</v>
      </c>
      <c r="B972" s="111">
        <v>2091.0</v>
      </c>
      <c r="C972" s="111">
        <v>1.0</v>
      </c>
      <c r="D972" s="110" t="s">
        <v>227</v>
      </c>
      <c r="E972" s="111">
        <v>0.0</v>
      </c>
      <c r="F972" s="111">
        <v>0.1837</v>
      </c>
      <c r="G972" s="111">
        <v>0.078</v>
      </c>
      <c r="H972" s="114" t="s">
        <v>281</v>
      </c>
      <c r="I972" s="112">
        <f t="shared" si="1"/>
        <v>1.355128205</v>
      </c>
      <c r="J972" s="82">
        <f t="shared" si="2"/>
        <v>0.4246053348</v>
      </c>
    </row>
    <row r="973">
      <c r="A973" s="101">
        <v>44690.0</v>
      </c>
      <c r="B973" s="111">
        <v>2091.0</v>
      </c>
      <c r="C973" s="111">
        <v>3.0</v>
      </c>
      <c r="D973" s="110" t="s">
        <v>228</v>
      </c>
      <c r="E973" s="111">
        <v>0.0</v>
      </c>
      <c r="F973" s="111">
        <v>1.5016</v>
      </c>
      <c r="G973" s="111">
        <v>0.734</v>
      </c>
      <c r="H973" s="114" t="s">
        <v>281</v>
      </c>
      <c r="I973" s="112">
        <f t="shared" si="1"/>
        <v>1.045776567</v>
      </c>
      <c r="J973" s="82">
        <f t="shared" si="2"/>
        <v>0.4888119339</v>
      </c>
    </row>
    <row r="974">
      <c r="A974" s="101">
        <v>44690.0</v>
      </c>
      <c r="B974" s="111">
        <v>2091.0</v>
      </c>
      <c r="C974" s="111">
        <v>3.0</v>
      </c>
      <c r="D974" s="110" t="s">
        <v>227</v>
      </c>
      <c r="E974" s="111">
        <v>0.0</v>
      </c>
      <c r="F974" s="111">
        <v>0.178</v>
      </c>
      <c r="G974" s="111">
        <v>0.071</v>
      </c>
      <c r="H974" s="114" t="s">
        <v>281</v>
      </c>
      <c r="I974" s="112">
        <f t="shared" si="1"/>
        <v>1.507042254</v>
      </c>
      <c r="J974" s="82">
        <f t="shared" si="2"/>
        <v>0.3988764045</v>
      </c>
    </row>
    <row r="975">
      <c r="A975" s="101">
        <v>44690.0</v>
      </c>
      <c r="B975" s="111">
        <v>2092.0</v>
      </c>
      <c r="C975" s="111">
        <v>1.0</v>
      </c>
      <c r="D975" s="110" t="s">
        <v>228</v>
      </c>
      <c r="E975" s="111">
        <v>1.0</v>
      </c>
      <c r="F975" s="111">
        <v>0.6412</v>
      </c>
      <c r="G975" s="111">
        <v>0.376</v>
      </c>
      <c r="H975" s="114" t="s">
        <v>281</v>
      </c>
      <c r="I975" s="112">
        <f t="shared" si="1"/>
        <v>0.7053191489</v>
      </c>
      <c r="J975" s="82">
        <f t="shared" si="2"/>
        <v>0.5864004991</v>
      </c>
    </row>
    <row r="976">
      <c r="A976" s="101">
        <v>44690.0</v>
      </c>
      <c r="B976" s="111">
        <v>2092.0</v>
      </c>
      <c r="C976" s="111">
        <v>1.0</v>
      </c>
      <c r="D976" s="110" t="s">
        <v>227</v>
      </c>
      <c r="E976" s="111">
        <v>1.0</v>
      </c>
      <c r="F976" s="111">
        <v>0.0818</v>
      </c>
      <c r="G976" s="111">
        <v>0.045</v>
      </c>
      <c r="H976" s="114" t="s">
        <v>281</v>
      </c>
      <c r="I976" s="112">
        <f t="shared" si="1"/>
        <v>0.8177777778</v>
      </c>
      <c r="J976" s="82">
        <f t="shared" si="2"/>
        <v>0.5501222494</v>
      </c>
    </row>
    <row r="977">
      <c r="A977" s="101">
        <v>44690.0</v>
      </c>
      <c r="B977" s="111">
        <v>2092.0</v>
      </c>
      <c r="C977" s="111">
        <v>1.0</v>
      </c>
      <c r="D977" s="110" t="s">
        <v>227</v>
      </c>
      <c r="E977" s="111">
        <v>1.0</v>
      </c>
      <c r="F977" s="111">
        <v>0.1033</v>
      </c>
      <c r="G977" s="111">
        <v>0.056</v>
      </c>
      <c r="H977" s="114" t="s">
        <v>281</v>
      </c>
      <c r="I977" s="112">
        <f t="shared" si="1"/>
        <v>0.8446428571</v>
      </c>
      <c r="J977" s="82">
        <f t="shared" si="2"/>
        <v>0.5421103582</v>
      </c>
    </row>
    <row r="978">
      <c r="A978" s="101">
        <v>44690.0</v>
      </c>
      <c r="B978" s="111">
        <v>2092.0</v>
      </c>
      <c r="C978" s="111">
        <v>2.0</v>
      </c>
      <c r="D978" s="110" t="s">
        <v>228</v>
      </c>
      <c r="E978" s="111">
        <v>1.0</v>
      </c>
      <c r="F978" s="111">
        <v>0.6106</v>
      </c>
      <c r="G978" s="111">
        <v>0.36</v>
      </c>
      <c r="H978" s="114" t="s">
        <v>281</v>
      </c>
      <c r="I978" s="112">
        <f t="shared" si="1"/>
        <v>0.6961111111</v>
      </c>
      <c r="J978" s="82">
        <f t="shared" si="2"/>
        <v>0.5895840157</v>
      </c>
    </row>
    <row r="979">
      <c r="A979" s="101">
        <v>44690.0</v>
      </c>
      <c r="B979" s="111">
        <v>2092.0</v>
      </c>
      <c r="C979" s="111">
        <v>2.0</v>
      </c>
      <c r="D979" s="110" t="s">
        <v>228</v>
      </c>
      <c r="E979" s="111">
        <v>0.0</v>
      </c>
      <c r="F979" s="111">
        <v>0.384</v>
      </c>
      <c r="G979" s="111">
        <v>0.203</v>
      </c>
      <c r="H979" s="114" t="s">
        <v>281</v>
      </c>
      <c r="I979" s="112">
        <f t="shared" si="1"/>
        <v>0.8916256158</v>
      </c>
      <c r="J979" s="82">
        <f t="shared" si="2"/>
        <v>0.5286458333</v>
      </c>
    </row>
    <row r="980">
      <c r="A980" s="101">
        <v>44690.0</v>
      </c>
      <c r="B980" s="111">
        <v>2092.0</v>
      </c>
      <c r="C980" s="111">
        <v>2.0</v>
      </c>
      <c r="D980" s="110" t="s">
        <v>227</v>
      </c>
      <c r="E980" s="111">
        <v>0.0</v>
      </c>
      <c r="F980" s="111">
        <v>0.0186</v>
      </c>
      <c r="G980" s="111">
        <v>0.008</v>
      </c>
      <c r="H980" s="114" t="s">
        <v>281</v>
      </c>
      <c r="I980" s="112">
        <f t="shared" si="1"/>
        <v>1.325</v>
      </c>
      <c r="J980" s="82">
        <f t="shared" si="2"/>
        <v>0.4301075269</v>
      </c>
    </row>
    <row r="981">
      <c r="A981" s="101">
        <v>44690.0</v>
      </c>
      <c r="B981" s="111">
        <v>2092.0</v>
      </c>
      <c r="C981" s="111">
        <v>3.0</v>
      </c>
      <c r="D981" s="110" t="s">
        <v>228</v>
      </c>
      <c r="E981" s="111">
        <v>1.0</v>
      </c>
      <c r="F981" s="111">
        <v>1.1203</v>
      </c>
      <c r="G981" s="111">
        <v>0.693</v>
      </c>
      <c r="H981" s="114" t="s">
        <v>281</v>
      </c>
      <c r="I981" s="112">
        <f t="shared" si="1"/>
        <v>0.6165945166</v>
      </c>
      <c r="J981" s="82">
        <f t="shared" si="2"/>
        <v>0.6185843078</v>
      </c>
    </row>
    <row r="982">
      <c r="A982" s="101">
        <v>44690.0</v>
      </c>
      <c r="B982" s="111">
        <v>2092.0</v>
      </c>
      <c r="C982" s="111">
        <v>3.0</v>
      </c>
      <c r="D982" s="110" t="s">
        <v>227</v>
      </c>
      <c r="E982" s="111">
        <v>1.0</v>
      </c>
      <c r="F982" s="111">
        <v>0.1988</v>
      </c>
      <c r="G982" s="111">
        <v>0.105</v>
      </c>
      <c r="H982" s="114" t="s">
        <v>281</v>
      </c>
      <c r="I982" s="112">
        <f t="shared" si="1"/>
        <v>0.8933333333</v>
      </c>
      <c r="J982" s="82">
        <f t="shared" si="2"/>
        <v>0.5281690141</v>
      </c>
    </row>
    <row r="983">
      <c r="A983" s="101">
        <v>44690.0</v>
      </c>
      <c r="B983" s="111">
        <v>2092.0</v>
      </c>
      <c r="C983" s="111">
        <v>3.0</v>
      </c>
      <c r="D983" s="110" t="s">
        <v>228</v>
      </c>
      <c r="E983" s="111">
        <v>0.0</v>
      </c>
      <c r="F983" s="111">
        <v>0.4857</v>
      </c>
      <c r="G983" s="111">
        <v>0.242</v>
      </c>
      <c r="H983" s="114" t="s">
        <v>281</v>
      </c>
      <c r="I983" s="112">
        <f t="shared" si="1"/>
        <v>1.007024793</v>
      </c>
      <c r="J983" s="82">
        <f t="shared" si="2"/>
        <v>0.4982499485</v>
      </c>
    </row>
    <row r="984">
      <c r="A984" s="101">
        <v>44690.0</v>
      </c>
      <c r="B984" s="111">
        <v>2092.0</v>
      </c>
      <c r="C984" s="111">
        <v>3.0</v>
      </c>
      <c r="D984" s="110" t="s">
        <v>227</v>
      </c>
      <c r="E984" s="111">
        <v>0.0</v>
      </c>
      <c r="F984" s="111">
        <v>0.0613</v>
      </c>
      <c r="G984" s="111">
        <v>0.028</v>
      </c>
      <c r="H984" s="114" t="s">
        <v>281</v>
      </c>
      <c r="I984" s="112">
        <f t="shared" si="1"/>
        <v>1.189285714</v>
      </c>
      <c r="J984" s="82">
        <f t="shared" si="2"/>
        <v>0.4567699837</v>
      </c>
    </row>
    <row r="985">
      <c r="A985" s="101">
        <v>44690.0</v>
      </c>
      <c r="B985" s="111">
        <v>2093.0</v>
      </c>
      <c r="C985" s="111">
        <v>1.0</v>
      </c>
      <c r="D985" s="110" t="s">
        <v>228</v>
      </c>
      <c r="E985" s="111">
        <v>1.0</v>
      </c>
      <c r="F985" s="111">
        <v>1.6544</v>
      </c>
      <c r="G985" s="111">
        <v>0.977</v>
      </c>
      <c r="H985" s="114" t="s">
        <v>281</v>
      </c>
      <c r="I985" s="112">
        <f t="shared" si="1"/>
        <v>0.6933469806</v>
      </c>
      <c r="J985" s="82">
        <f t="shared" si="2"/>
        <v>0.5905464217</v>
      </c>
    </row>
    <row r="986">
      <c r="A986" s="101">
        <v>44690.0</v>
      </c>
      <c r="B986" s="111">
        <v>2093.0</v>
      </c>
      <c r="C986" s="111">
        <v>1.0</v>
      </c>
      <c r="D986" s="110" t="s">
        <v>227</v>
      </c>
      <c r="E986" s="111">
        <v>1.0</v>
      </c>
      <c r="F986" s="111">
        <v>0.4302</v>
      </c>
      <c r="G986" s="111">
        <v>0.2049</v>
      </c>
      <c r="H986" s="114" t="s">
        <v>281</v>
      </c>
      <c r="I986" s="112">
        <f t="shared" si="1"/>
        <v>1.099560761</v>
      </c>
      <c r="J986" s="82">
        <f t="shared" si="2"/>
        <v>0.4762900976</v>
      </c>
    </row>
    <row r="987">
      <c r="A987" s="101">
        <v>44690.0</v>
      </c>
      <c r="B987" s="111">
        <v>2093.0</v>
      </c>
      <c r="C987" s="111">
        <v>1.0</v>
      </c>
      <c r="D987" s="110" t="s">
        <v>228</v>
      </c>
      <c r="E987" s="111">
        <v>0.0</v>
      </c>
      <c r="F987" s="111">
        <v>1.5562</v>
      </c>
      <c r="G987" s="111">
        <v>0.7019</v>
      </c>
      <c r="H987" s="114" t="s">
        <v>281</v>
      </c>
      <c r="I987" s="112">
        <f t="shared" si="1"/>
        <v>1.217124947</v>
      </c>
      <c r="J987" s="82">
        <f t="shared" si="2"/>
        <v>0.4510345714</v>
      </c>
    </row>
    <row r="988">
      <c r="A988" s="101">
        <v>44690.0</v>
      </c>
      <c r="B988" s="111">
        <v>2093.0</v>
      </c>
      <c r="C988" s="111">
        <v>1.0</v>
      </c>
      <c r="D988" s="110" t="s">
        <v>227</v>
      </c>
      <c r="E988" s="111">
        <v>0.0</v>
      </c>
      <c r="F988" s="111">
        <v>0.1758</v>
      </c>
      <c r="G988" s="111">
        <v>0.072</v>
      </c>
      <c r="H988" s="114" t="s">
        <v>281</v>
      </c>
      <c r="I988" s="112">
        <f t="shared" si="1"/>
        <v>1.441666667</v>
      </c>
      <c r="J988" s="82">
        <f t="shared" si="2"/>
        <v>0.409556314</v>
      </c>
    </row>
    <row r="989">
      <c r="A989" s="101">
        <v>44690.0</v>
      </c>
      <c r="B989" s="111">
        <v>2093.0</v>
      </c>
      <c r="C989" s="111">
        <v>2.0</v>
      </c>
      <c r="D989" s="110" t="s">
        <v>228</v>
      </c>
      <c r="E989" s="111">
        <v>1.0</v>
      </c>
      <c r="F989" s="111">
        <v>0.981</v>
      </c>
      <c r="G989" s="111">
        <v>0.5657</v>
      </c>
      <c r="H989" s="114" t="s">
        <v>281</v>
      </c>
      <c r="I989" s="112">
        <f t="shared" si="1"/>
        <v>0.7341347004</v>
      </c>
      <c r="J989" s="82">
        <f t="shared" si="2"/>
        <v>0.576656473</v>
      </c>
    </row>
    <row r="990">
      <c r="A990" s="101">
        <v>44690.0</v>
      </c>
      <c r="B990" s="111">
        <v>2093.0</v>
      </c>
      <c r="C990" s="111">
        <v>2.0</v>
      </c>
      <c r="D990" s="110" t="s">
        <v>227</v>
      </c>
      <c r="E990" s="111">
        <v>1.0</v>
      </c>
      <c r="F990" s="111">
        <v>0.4622</v>
      </c>
      <c r="G990" s="111">
        <v>0.2245</v>
      </c>
      <c r="H990" s="114" t="s">
        <v>281</v>
      </c>
      <c r="I990" s="112">
        <f t="shared" si="1"/>
        <v>1.058797327</v>
      </c>
      <c r="J990" s="82">
        <f t="shared" si="2"/>
        <v>0.4857204673</v>
      </c>
    </row>
    <row r="991">
      <c r="A991" s="101">
        <v>44690.0</v>
      </c>
      <c r="B991" s="111">
        <v>2093.0</v>
      </c>
      <c r="C991" s="111">
        <v>2.0</v>
      </c>
      <c r="D991" s="110" t="s">
        <v>228</v>
      </c>
      <c r="E991" s="111">
        <v>0.0</v>
      </c>
      <c r="F991" s="111">
        <v>2.2081</v>
      </c>
      <c r="G991" s="111">
        <v>1.0237</v>
      </c>
      <c r="H991" s="114" t="s">
        <v>281</v>
      </c>
      <c r="I991" s="112">
        <f t="shared" si="1"/>
        <v>1.156979584</v>
      </c>
      <c r="J991" s="82">
        <f t="shared" si="2"/>
        <v>0.4636112495</v>
      </c>
    </row>
    <row r="992">
      <c r="A992" s="101">
        <v>44690.0</v>
      </c>
      <c r="B992" s="111">
        <v>2093.0</v>
      </c>
      <c r="C992" s="111">
        <v>2.0</v>
      </c>
      <c r="D992" s="110" t="s">
        <v>227</v>
      </c>
      <c r="E992" s="111">
        <v>0.0</v>
      </c>
      <c r="F992" s="111">
        <v>0.2001</v>
      </c>
      <c r="G992" s="111">
        <v>0.0835</v>
      </c>
      <c r="H992" s="114" t="s">
        <v>281</v>
      </c>
      <c r="I992" s="112">
        <f t="shared" si="1"/>
        <v>1.396407186</v>
      </c>
      <c r="J992" s="82">
        <f t="shared" si="2"/>
        <v>0.4172913543</v>
      </c>
    </row>
    <row r="993">
      <c r="A993" s="101">
        <v>44690.0</v>
      </c>
      <c r="B993" s="111">
        <v>2093.0</v>
      </c>
      <c r="C993" s="111">
        <v>3.0</v>
      </c>
      <c r="D993" s="110" t="s">
        <v>228</v>
      </c>
      <c r="E993" s="111">
        <v>1.0</v>
      </c>
      <c r="F993" s="111">
        <v>1.5782</v>
      </c>
      <c r="G993" s="111">
        <v>0.9233</v>
      </c>
      <c r="H993" s="114" t="s">
        <v>281</v>
      </c>
      <c r="I993" s="112">
        <f t="shared" si="1"/>
        <v>0.709303585</v>
      </c>
      <c r="J993" s="82">
        <f t="shared" si="2"/>
        <v>0.5850335826</v>
      </c>
    </row>
    <row r="994">
      <c r="A994" s="101">
        <v>44690.0</v>
      </c>
      <c r="B994" s="111">
        <v>2093.0</v>
      </c>
      <c r="C994" s="111">
        <v>3.0</v>
      </c>
      <c r="D994" s="110" t="s">
        <v>227</v>
      </c>
      <c r="E994" s="111">
        <v>1.0</v>
      </c>
      <c r="F994" s="111">
        <v>0.4259</v>
      </c>
      <c r="G994" s="111">
        <v>0.2092</v>
      </c>
      <c r="H994" s="114" t="s">
        <v>281</v>
      </c>
      <c r="I994" s="112">
        <f t="shared" si="1"/>
        <v>1.03585086</v>
      </c>
      <c r="J994" s="82">
        <f t="shared" si="2"/>
        <v>0.4911951162</v>
      </c>
    </row>
    <row r="995">
      <c r="A995" s="101">
        <v>44690.0</v>
      </c>
      <c r="B995" s="111">
        <v>2093.0</v>
      </c>
      <c r="C995" s="111">
        <v>3.0</v>
      </c>
      <c r="D995" s="110" t="s">
        <v>228</v>
      </c>
      <c r="E995" s="111">
        <v>0.0</v>
      </c>
      <c r="F995" s="111">
        <v>1.9718</v>
      </c>
      <c r="G995" s="111">
        <v>0.9419</v>
      </c>
      <c r="H995" s="114" t="s">
        <v>281</v>
      </c>
      <c r="I995" s="112">
        <f t="shared" si="1"/>
        <v>1.093428177</v>
      </c>
      <c r="J995" s="82">
        <f t="shared" si="2"/>
        <v>0.4776853636</v>
      </c>
    </row>
    <row r="996">
      <c r="A996" s="101">
        <v>44690.0</v>
      </c>
      <c r="B996" s="111">
        <v>2093.0</v>
      </c>
      <c r="C996" s="111">
        <v>3.0</v>
      </c>
      <c r="D996" s="110" t="s">
        <v>227</v>
      </c>
      <c r="E996" s="111">
        <v>0.0</v>
      </c>
      <c r="F996" s="111">
        <v>0.1678</v>
      </c>
      <c r="G996" s="111">
        <v>0.0684</v>
      </c>
      <c r="H996" s="114" t="s">
        <v>281</v>
      </c>
      <c r="I996" s="112">
        <f t="shared" si="1"/>
        <v>1.453216374</v>
      </c>
      <c r="J996" s="82">
        <f t="shared" si="2"/>
        <v>0.4076281287</v>
      </c>
    </row>
    <row r="997">
      <c r="A997" s="101">
        <v>44704.0</v>
      </c>
      <c r="B997" s="111">
        <v>2021.0</v>
      </c>
      <c r="C997" s="111">
        <v>1.0</v>
      </c>
      <c r="D997" s="110" t="s">
        <v>227</v>
      </c>
      <c r="E997" s="111">
        <v>1.0</v>
      </c>
      <c r="F997" s="111">
        <v>0.0936</v>
      </c>
      <c r="G997" s="111">
        <v>0.05</v>
      </c>
      <c r="H997" s="110" t="s">
        <v>281</v>
      </c>
      <c r="I997" s="112">
        <f t="shared" si="1"/>
        <v>0.872</v>
      </c>
      <c r="J997" s="82">
        <f t="shared" si="2"/>
        <v>0.5341880342</v>
      </c>
    </row>
    <row r="998">
      <c r="A998" s="101">
        <v>44704.0</v>
      </c>
      <c r="B998" s="111">
        <v>2021.0</v>
      </c>
      <c r="C998" s="111">
        <v>1.0</v>
      </c>
      <c r="D998" s="110" t="s">
        <v>227</v>
      </c>
      <c r="E998" s="111">
        <v>0.0</v>
      </c>
      <c r="F998" s="111">
        <v>0.0364</v>
      </c>
      <c r="G998" s="111">
        <v>0.018</v>
      </c>
      <c r="H998" s="117"/>
      <c r="I998" s="112">
        <f t="shared" si="1"/>
        <v>1.022222222</v>
      </c>
      <c r="J998" s="82">
        <f t="shared" si="2"/>
        <v>0.4945054945</v>
      </c>
    </row>
    <row r="999">
      <c r="A999" s="101">
        <v>44704.0</v>
      </c>
      <c r="B999" s="111">
        <v>2021.0</v>
      </c>
      <c r="C999" s="111">
        <v>2.0</v>
      </c>
      <c r="D999" s="110" t="s">
        <v>227</v>
      </c>
      <c r="E999" s="111">
        <v>1.0</v>
      </c>
      <c r="F999" s="111">
        <v>0.4702</v>
      </c>
      <c r="G999" s="111">
        <v>0.252</v>
      </c>
      <c r="H999" s="117"/>
      <c r="I999" s="112">
        <f t="shared" si="1"/>
        <v>0.8658730159</v>
      </c>
      <c r="J999" s="82">
        <f t="shared" si="2"/>
        <v>0.5359421523</v>
      </c>
    </row>
    <row r="1000">
      <c r="A1000" s="101">
        <v>44704.0</v>
      </c>
      <c r="B1000" s="111">
        <v>2021.0</v>
      </c>
      <c r="C1000" s="111">
        <v>2.0</v>
      </c>
      <c r="D1000" s="110" t="s">
        <v>228</v>
      </c>
      <c r="E1000" s="111">
        <v>0.0</v>
      </c>
      <c r="F1000" s="111">
        <v>0.686</v>
      </c>
      <c r="G1000" s="111">
        <v>0.366</v>
      </c>
      <c r="H1000" s="117"/>
      <c r="I1000" s="112">
        <f t="shared" si="1"/>
        <v>0.8743169399</v>
      </c>
      <c r="J1000" s="82">
        <f t="shared" si="2"/>
        <v>0.5335276968</v>
      </c>
    </row>
    <row r="1001">
      <c r="A1001" s="101">
        <v>44704.0</v>
      </c>
      <c r="B1001" s="111">
        <v>2021.0</v>
      </c>
      <c r="C1001" s="111">
        <v>2.0</v>
      </c>
      <c r="D1001" s="110" t="s">
        <v>227</v>
      </c>
      <c r="E1001" s="111">
        <v>0.0</v>
      </c>
      <c r="F1001" s="111">
        <v>0.0347</v>
      </c>
      <c r="G1001" s="111">
        <v>0.016</v>
      </c>
      <c r="H1001" s="117"/>
      <c r="I1001" s="112">
        <f t="shared" si="1"/>
        <v>1.16875</v>
      </c>
      <c r="J1001" s="82">
        <f t="shared" si="2"/>
        <v>0.4610951009</v>
      </c>
    </row>
    <row r="1002">
      <c r="A1002" s="101">
        <v>44704.0</v>
      </c>
      <c r="B1002" s="111">
        <v>2021.0</v>
      </c>
      <c r="C1002" s="111">
        <v>3.0</v>
      </c>
      <c r="D1002" s="110" t="s">
        <v>227</v>
      </c>
      <c r="E1002" s="111">
        <v>1.0</v>
      </c>
      <c r="F1002" s="111">
        <v>0.3031</v>
      </c>
      <c r="G1002" s="111">
        <v>0.1574</v>
      </c>
      <c r="H1002" s="117"/>
      <c r="I1002" s="112">
        <f t="shared" si="1"/>
        <v>0.9256670902</v>
      </c>
      <c r="J1002" s="82">
        <f t="shared" si="2"/>
        <v>0.5193005609</v>
      </c>
    </row>
    <row r="1003">
      <c r="A1003" s="101">
        <v>44704.0</v>
      </c>
      <c r="B1003" s="111">
        <v>2021.0</v>
      </c>
      <c r="C1003" s="111">
        <v>3.0</v>
      </c>
      <c r="D1003" s="110" t="s">
        <v>228</v>
      </c>
      <c r="E1003" s="111">
        <v>0.0</v>
      </c>
      <c r="F1003" s="111">
        <v>0.5872</v>
      </c>
      <c r="G1003" s="111">
        <v>0.298</v>
      </c>
      <c r="H1003" s="117"/>
      <c r="I1003" s="112">
        <f t="shared" si="1"/>
        <v>0.9704697987</v>
      </c>
      <c r="J1003" s="82">
        <f t="shared" si="2"/>
        <v>0.507493188</v>
      </c>
    </row>
    <row r="1004">
      <c r="A1004" s="101">
        <v>44704.0</v>
      </c>
      <c r="B1004" s="111">
        <v>2021.0</v>
      </c>
      <c r="C1004" s="111">
        <v>3.0</v>
      </c>
      <c r="D1004" s="110" t="s">
        <v>227</v>
      </c>
      <c r="E1004" s="111">
        <v>0.0</v>
      </c>
      <c r="F1004" s="111">
        <v>0.0458</v>
      </c>
      <c r="G1004" s="111">
        <v>0.021</v>
      </c>
      <c r="H1004" s="117"/>
      <c r="I1004" s="112">
        <f t="shared" si="1"/>
        <v>1.180952381</v>
      </c>
      <c r="J1004" s="82">
        <f t="shared" si="2"/>
        <v>0.4585152838</v>
      </c>
    </row>
    <row r="1005">
      <c r="A1005" s="101">
        <v>44704.0</v>
      </c>
      <c r="B1005" s="111">
        <v>2022.0</v>
      </c>
      <c r="C1005" s="111">
        <v>1.0</v>
      </c>
      <c r="D1005" s="110" t="s">
        <v>227</v>
      </c>
      <c r="E1005" s="111">
        <v>0.0</v>
      </c>
      <c r="F1005" s="111">
        <v>0.02371</v>
      </c>
      <c r="G1005" s="111">
        <v>0.119</v>
      </c>
      <c r="H1005" s="117"/>
      <c r="I1005" s="112">
        <f t="shared" si="1"/>
        <v>-0.8007563025</v>
      </c>
      <c r="J1005" s="82">
        <f t="shared" si="2"/>
        <v>5.018979334</v>
      </c>
    </row>
    <row r="1006">
      <c r="A1006" s="101">
        <v>44704.0</v>
      </c>
      <c r="B1006" s="111">
        <v>2022.0</v>
      </c>
      <c r="C1006" s="111">
        <v>1.0</v>
      </c>
      <c r="D1006" s="110" t="s">
        <v>228</v>
      </c>
      <c r="E1006" s="111">
        <v>1.0</v>
      </c>
      <c r="F1006" s="111">
        <v>0.4403</v>
      </c>
      <c r="G1006" s="111">
        <v>0.2501</v>
      </c>
      <c r="H1006" s="117"/>
      <c r="I1006" s="112">
        <f t="shared" si="1"/>
        <v>0.7604958017</v>
      </c>
      <c r="J1006" s="82">
        <f t="shared" si="2"/>
        <v>0.5680218033</v>
      </c>
    </row>
    <row r="1007">
      <c r="A1007" s="101">
        <v>44704.0</v>
      </c>
      <c r="B1007" s="111">
        <v>2022.0</v>
      </c>
      <c r="C1007" s="111">
        <v>1.0</v>
      </c>
      <c r="D1007" s="110" t="s">
        <v>227</v>
      </c>
      <c r="E1007" s="111">
        <v>1.0</v>
      </c>
      <c r="F1007" s="111">
        <v>0.2133</v>
      </c>
      <c r="G1007" s="111">
        <v>0.119</v>
      </c>
      <c r="H1007" s="117"/>
      <c r="I1007" s="112">
        <f t="shared" si="1"/>
        <v>0.7924369748</v>
      </c>
      <c r="J1007" s="82">
        <f t="shared" si="2"/>
        <v>0.5578996718</v>
      </c>
    </row>
    <row r="1008">
      <c r="A1008" s="101">
        <v>44704.0</v>
      </c>
      <c r="B1008" s="111">
        <v>2022.0</v>
      </c>
      <c r="C1008" s="111">
        <v>1.0</v>
      </c>
      <c r="D1008" s="110" t="s">
        <v>228</v>
      </c>
      <c r="E1008" s="111">
        <v>0.0</v>
      </c>
      <c r="F1008" s="111">
        <v>3.5892</v>
      </c>
      <c r="G1008" s="111">
        <v>1.992</v>
      </c>
      <c r="H1008" s="117"/>
      <c r="I1008" s="112">
        <f t="shared" si="1"/>
        <v>0.8018072289</v>
      </c>
      <c r="J1008" s="82">
        <f t="shared" si="2"/>
        <v>0.5549983283</v>
      </c>
    </row>
    <row r="1009">
      <c r="A1009" s="101">
        <v>44704.0</v>
      </c>
      <c r="B1009" s="111">
        <v>2022.0</v>
      </c>
      <c r="C1009" s="111">
        <v>2.0</v>
      </c>
      <c r="D1009" s="110" t="s">
        <v>228</v>
      </c>
      <c r="E1009" s="111">
        <v>1.0</v>
      </c>
      <c r="F1009" s="111">
        <v>1.3195</v>
      </c>
      <c r="G1009" s="111">
        <v>0.756</v>
      </c>
      <c r="H1009" s="117"/>
      <c r="I1009" s="112">
        <f t="shared" si="1"/>
        <v>0.7453703704</v>
      </c>
      <c r="J1009" s="82">
        <f t="shared" si="2"/>
        <v>0.5729442971</v>
      </c>
    </row>
    <row r="1010">
      <c r="A1010" s="101">
        <v>44704.0</v>
      </c>
      <c r="B1010" s="111">
        <v>2022.0</v>
      </c>
      <c r="C1010" s="111">
        <v>2.0</v>
      </c>
      <c r="D1010" s="110" t="s">
        <v>228</v>
      </c>
      <c r="E1010" s="111">
        <v>0.0</v>
      </c>
      <c r="F1010" s="111">
        <v>2.6489</v>
      </c>
      <c r="G1010" s="111">
        <v>1.4181</v>
      </c>
      <c r="H1010" s="117"/>
      <c r="I1010" s="112">
        <f t="shared" si="1"/>
        <v>0.8679218673</v>
      </c>
      <c r="J1010" s="82">
        <f t="shared" si="2"/>
        <v>0.535354298</v>
      </c>
    </row>
    <row r="1011">
      <c r="A1011" s="101">
        <v>44704.0</v>
      </c>
      <c r="B1011" s="111">
        <v>2022.0</v>
      </c>
      <c r="C1011" s="111">
        <v>2.0</v>
      </c>
      <c r="D1011" s="110" t="s">
        <v>227</v>
      </c>
      <c r="E1011" s="111">
        <v>1.0</v>
      </c>
      <c r="F1011" s="111">
        <v>0.2725</v>
      </c>
      <c r="G1011" s="111">
        <v>0.142</v>
      </c>
      <c r="H1011" s="117"/>
      <c r="I1011" s="112">
        <f t="shared" si="1"/>
        <v>0.9190140845</v>
      </c>
      <c r="J1011" s="82">
        <f t="shared" si="2"/>
        <v>0.5211009174</v>
      </c>
    </row>
    <row r="1012">
      <c r="A1012" s="101">
        <v>44704.0</v>
      </c>
      <c r="B1012" s="111">
        <v>2022.0</v>
      </c>
      <c r="C1012" s="111">
        <v>2.0</v>
      </c>
      <c r="D1012" s="110" t="s">
        <v>227</v>
      </c>
      <c r="E1012" s="111">
        <v>0.0</v>
      </c>
      <c r="F1012" s="111">
        <v>0.1947</v>
      </c>
      <c r="G1012" s="111">
        <v>0.093</v>
      </c>
      <c r="H1012" s="117"/>
      <c r="I1012" s="112">
        <f t="shared" si="1"/>
        <v>1.093548387</v>
      </c>
      <c r="J1012" s="82">
        <f t="shared" si="2"/>
        <v>0.4776579353</v>
      </c>
    </row>
    <row r="1013">
      <c r="A1013" s="101">
        <v>44704.0</v>
      </c>
      <c r="B1013" s="111">
        <v>2022.0</v>
      </c>
      <c r="C1013" s="111">
        <v>3.0</v>
      </c>
      <c r="D1013" s="110" t="s">
        <v>228</v>
      </c>
      <c r="E1013" s="111">
        <v>1.0</v>
      </c>
      <c r="F1013" s="111">
        <v>1.5818</v>
      </c>
      <c r="G1013" s="111">
        <v>0.931</v>
      </c>
      <c r="H1013" s="117"/>
      <c r="I1013" s="112">
        <f t="shared" si="1"/>
        <v>0.6990332975</v>
      </c>
      <c r="J1013" s="82">
        <f t="shared" si="2"/>
        <v>0.5885699836</v>
      </c>
    </row>
    <row r="1014">
      <c r="A1014" s="101">
        <v>44704.0</v>
      </c>
      <c r="B1014" s="111">
        <v>2022.0</v>
      </c>
      <c r="C1014" s="111">
        <v>3.0</v>
      </c>
      <c r="D1014" s="110" t="s">
        <v>228</v>
      </c>
      <c r="E1014" s="111">
        <v>0.0</v>
      </c>
      <c r="F1014" s="111">
        <v>0.4113</v>
      </c>
      <c r="G1014" s="111">
        <v>0.225</v>
      </c>
      <c r="H1014" s="117"/>
      <c r="I1014" s="112">
        <f t="shared" si="1"/>
        <v>0.828</v>
      </c>
      <c r="J1014" s="82">
        <f t="shared" si="2"/>
        <v>0.5470459519</v>
      </c>
    </row>
    <row r="1015">
      <c r="A1015" s="101">
        <v>44704.0</v>
      </c>
      <c r="B1015" s="111">
        <v>2022.0</v>
      </c>
      <c r="C1015" s="111">
        <v>3.0</v>
      </c>
      <c r="D1015" s="110" t="s">
        <v>227</v>
      </c>
      <c r="E1015" s="111">
        <v>1.0</v>
      </c>
      <c r="F1015" s="111">
        <v>0.3305</v>
      </c>
      <c r="G1015" s="111">
        <v>0.174</v>
      </c>
      <c r="H1015" s="117"/>
      <c r="I1015" s="112">
        <f t="shared" si="1"/>
        <v>0.8994252874</v>
      </c>
      <c r="J1015" s="82">
        <f t="shared" si="2"/>
        <v>0.5264750378</v>
      </c>
    </row>
    <row r="1016">
      <c r="A1016" s="101">
        <v>44704.0</v>
      </c>
      <c r="B1016" s="111">
        <v>2022.0</v>
      </c>
      <c r="C1016" s="111">
        <v>3.0</v>
      </c>
      <c r="D1016" s="110" t="s">
        <v>227</v>
      </c>
      <c r="E1016" s="111">
        <v>0.0</v>
      </c>
      <c r="F1016" s="111">
        <v>0.0357</v>
      </c>
      <c r="G1016" s="111">
        <v>0.016</v>
      </c>
      <c r="H1016" s="117"/>
      <c r="I1016" s="112">
        <f t="shared" si="1"/>
        <v>1.23125</v>
      </c>
      <c r="J1016" s="82">
        <f t="shared" si="2"/>
        <v>0.4481792717</v>
      </c>
    </row>
    <row r="1017">
      <c r="A1017" s="101">
        <v>44704.0</v>
      </c>
      <c r="B1017" s="111">
        <v>2026.0</v>
      </c>
      <c r="C1017" s="111">
        <v>1.0</v>
      </c>
      <c r="D1017" s="110" t="s">
        <v>228</v>
      </c>
      <c r="E1017" s="111">
        <v>0.0</v>
      </c>
      <c r="F1017" s="111">
        <v>0.9103</v>
      </c>
      <c r="G1017" s="111">
        <v>0.502</v>
      </c>
      <c r="H1017" s="117"/>
      <c r="I1017" s="112">
        <f t="shared" si="1"/>
        <v>0.8133466135</v>
      </c>
      <c r="J1017" s="82">
        <f t="shared" si="2"/>
        <v>0.5514665495</v>
      </c>
    </row>
    <row r="1018">
      <c r="A1018" s="101">
        <v>44704.0</v>
      </c>
      <c r="B1018" s="111">
        <v>2026.0</v>
      </c>
      <c r="C1018" s="111">
        <v>1.0</v>
      </c>
      <c r="D1018" s="110" t="s">
        <v>227</v>
      </c>
      <c r="E1018" s="111">
        <v>1.0</v>
      </c>
      <c r="F1018" s="111">
        <v>0.1283</v>
      </c>
      <c r="G1018" s="111">
        <v>0.069</v>
      </c>
      <c r="H1018" s="117"/>
      <c r="I1018" s="112">
        <f t="shared" si="1"/>
        <v>0.8594202899</v>
      </c>
      <c r="J1018" s="82">
        <f t="shared" si="2"/>
        <v>0.5378020265</v>
      </c>
    </row>
    <row r="1019">
      <c r="A1019" s="101">
        <v>44704.0</v>
      </c>
      <c r="B1019" s="111">
        <v>2026.0</v>
      </c>
      <c r="C1019" s="111">
        <v>1.0</v>
      </c>
      <c r="D1019" s="110" t="s">
        <v>227</v>
      </c>
      <c r="E1019" s="111">
        <v>0.0</v>
      </c>
      <c r="F1019" s="111">
        <v>0.1208</v>
      </c>
      <c r="G1019" s="111">
        <v>0.059</v>
      </c>
      <c r="H1019" s="117"/>
      <c r="I1019" s="112">
        <f t="shared" si="1"/>
        <v>1.047457627</v>
      </c>
      <c r="J1019" s="82">
        <f t="shared" si="2"/>
        <v>0.488410596</v>
      </c>
    </row>
    <row r="1020">
      <c r="A1020" s="101">
        <v>44704.0</v>
      </c>
      <c r="B1020" s="111">
        <v>2026.0</v>
      </c>
      <c r="C1020" s="111">
        <v>2.0</v>
      </c>
      <c r="D1020" s="110" t="s">
        <v>228</v>
      </c>
      <c r="E1020" s="111">
        <v>0.0</v>
      </c>
      <c r="F1020" s="111">
        <v>0.5368</v>
      </c>
      <c r="G1020" s="111">
        <v>0.288</v>
      </c>
      <c r="H1020" s="117"/>
      <c r="I1020" s="112">
        <f t="shared" si="1"/>
        <v>0.8638888889</v>
      </c>
      <c r="J1020" s="82">
        <f t="shared" si="2"/>
        <v>0.5365126677</v>
      </c>
    </row>
    <row r="1021">
      <c r="A1021" s="101">
        <v>44704.0</v>
      </c>
      <c r="B1021" s="111">
        <v>2026.0</v>
      </c>
      <c r="C1021" s="111">
        <v>2.0</v>
      </c>
      <c r="D1021" s="110" t="s">
        <v>227</v>
      </c>
      <c r="E1021" s="111">
        <v>1.0</v>
      </c>
      <c r="F1021" s="111">
        <v>0.0733</v>
      </c>
      <c r="G1021" s="111">
        <v>0.039</v>
      </c>
      <c r="H1021" s="117"/>
      <c r="I1021" s="112">
        <f t="shared" si="1"/>
        <v>0.8794871795</v>
      </c>
      <c r="J1021" s="82">
        <f t="shared" si="2"/>
        <v>0.5320600273</v>
      </c>
    </row>
    <row r="1022">
      <c r="A1022" s="101">
        <v>44704.0</v>
      </c>
      <c r="B1022" s="111">
        <v>2026.0</v>
      </c>
      <c r="C1022" s="111">
        <v>2.0</v>
      </c>
      <c r="D1022" s="110" t="s">
        <v>227</v>
      </c>
      <c r="E1022" s="111">
        <v>0.0</v>
      </c>
      <c r="F1022" s="111">
        <v>0.0689</v>
      </c>
      <c r="G1022" s="111">
        <v>0.034</v>
      </c>
      <c r="H1022" s="117"/>
      <c r="I1022" s="112">
        <f t="shared" si="1"/>
        <v>1.026470588</v>
      </c>
      <c r="J1022" s="82">
        <f t="shared" si="2"/>
        <v>0.4934687954</v>
      </c>
    </row>
    <row r="1023">
      <c r="A1023" s="101">
        <v>44704.0</v>
      </c>
      <c r="B1023" s="111">
        <v>2026.0</v>
      </c>
      <c r="C1023" s="111">
        <v>3.0</v>
      </c>
      <c r="D1023" s="110" t="s">
        <v>228</v>
      </c>
      <c r="E1023" s="111">
        <v>0.0</v>
      </c>
      <c r="F1023" s="111">
        <v>1.8934</v>
      </c>
      <c r="G1023" s="111">
        <v>1.0049</v>
      </c>
      <c r="H1023" s="117"/>
      <c r="I1023" s="112">
        <f t="shared" si="1"/>
        <v>0.8841675789</v>
      </c>
      <c r="J1023" s="82">
        <f t="shared" si="2"/>
        <v>0.5307383543</v>
      </c>
    </row>
    <row r="1024">
      <c r="A1024" s="101">
        <v>44704.0</v>
      </c>
      <c r="B1024" s="111">
        <v>2026.0</v>
      </c>
      <c r="C1024" s="111">
        <v>3.0</v>
      </c>
      <c r="D1024" s="110" t="s">
        <v>227</v>
      </c>
      <c r="E1024" s="111">
        <v>1.0</v>
      </c>
      <c r="F1024" s="111">
        <v>0.2891</v>
      </c>
      <c r="G1024" s="111">
        <v>0.1502</v>
      </c>
      <c r="H1024" s="117"/>
      <c r="I1024" s="112">
        <f t="shared" si="1"/>
        <v>0.9247669774</v>
      </c>
      <c r="J1024" s="82">
        <f t="shared" si="2"/>
        <v>0.5195434106</v>
      </c>
    </row>
    <row r="1025">
      <c r="A1025" s="101">
        <v>44704.0</v>
      </c>
      <c r="B1025" s="111">
        <v>2026.0</v>
      </c>
      <c r="C1025" s="111">
        <v>3.0</v>
      </c>
      <c r="D1025" s="110" t="s">
        <v>227</v>
      </c>
      <c r="E1025" s="111">
        <v>0.0</v>
      </c>
      <c r="F1025" s="111">
        <v>0.3265</v>
      </c>
      <c r="G1025" s="111">
        <v>0.1584</v>
      </c>
      <c r="H1025" s="117"/>
      <c r="I1025" s="112">
        <f t="shared" si="1"/>
        <v>1.061237374</v>
      </c>
      <c r="J1025" s="82">
        <f t="shared" si="2"/>
        <v>0.4851454824</v>
      </c>
    </row>
    <row r="1026">
      <c r="A1026" s="101">
        <v>44704.0</v>
      </c>
      <c r="B1026" s="111">
        <v>2027.0</v>
      </c>
      <c r="C1026" s="111">
        <v>1.0</v>
      </c>
      <c r="D1026" s="110" t="s">
        <v>227</v>
      </c>
      <c r="E1026" s="111">
        <v>1.0</v>
      </c>
      <c r="F1026" s="111">
        <v>0.2886</v>
      </c>
      <c r="G1026" s="111">
        <v>0.1571</v>
      </c>
      <c r="H1026" s="117"/>
      <c r="I1026" s="112">
        <f t="shared" si="1"/>
        <v>0.8370464672</v>
      </c>
      <c r="J1026" s="82">
        <f t="shared" si="2"/>
        <v>0.5443520444</v>
      </c>
    </row>
    <row r="1027">
      <c r="A1027" s="101">
        <v>44704.0</v>
      </c>
      <c r="B1027" s="111">
        <v>2027.0</v>
      </c>
      <c r="C1027" s="111">
        <v>1.0</v>
      </c>
      <c r="D1027" s="110" t="s">
        <v>228</v>
      </c>
      <c r="E1027" s="111">
        <v>0.0</v>
      </c>
      <c r="F1027" s="111">
        <v>0.7805</v>
      </c>
      <c r="G1027" s="111">
        <v>0.418</v>
      </c>
      <c r="H1027" s="117"/>
      <c r="I1027" s="112">
        <f t="shared" si="1"/>
        <v>0.8672248804</v>
      </c>
      <c r="J1027" s="82">
        <f t="shared" si="2"/>
        <v>0.535554132</v>
      </c>
    </row>
    <row r="1028">
      <c r="A1028" s="101">
        <v>44704.0</v>
      </c>
      <c r="B1028" s="111">
        <v>2027.0</v>
      </c>
      <c r="C1028" s="111">
        <v>1.0</v>
      </c>
      <c r="D1028" s="110" t="s">
        <v>227</v>
      </c>
      <c r="E1028" s="111">
        <v>0.0</v>
      </c>
      <c r="F1028" s="111">
        <v>0.1203</v>
      </c>
      <c r="G1028" s="111">
        <v>0.061</v>
      </c>
      <c r="H1028" s="117"/>
      <c r="I1028" s="112">
        <f t="shared" si="1"/>
        <v>0.9721311475</v>
      </c>
      <c r="J1028" s="82">
        <f t="shared" si="2"/>
        <v>0.5070656692</v>
      </c>
    </row>
    <row r="1029">
      <c r="A1029" s="101">
        <v>44704.0</v>
      </c>
      <c r="B1029" s="111">
        <v>2027.0</v>
      </c>
      <c r="C1029" s="111">
        <v>2.0</v>
      </c>
      <c r="D1029" s="110" t="s">
        <v>227</v>
      </c>
      <c r="E1029" s="111">
        <v>1.0</v>
      </c>
      <c r="F1029" s="111">
        <v>0.3379</v>
      </c>
      <c r="G1029" s="111">
        <v>0.1793</v>
      </c>
      <c r="H1029" s="117"/>
      <c r="I1029" s="112">
        <f t="shared" si="1"/>
        <v>0.8845510318</v>
      </c>
      <c r="J1029" s="82">
        <f t="shared" si="2"/>
        <v>0.530630364</v>
      </c>
    </row>
    <row r="1030">
      <c r="A1030" s="101">
        <v>44704.0</v>
      </c>
      <c r="B1030" s="111">
        <v>2027.0</v>
      </c>
      <c r="C1030" s="111">
        <v>2.0</v>
      </c>
      <c r="D1030" s="110" t="s">
        <v>228</v>
      </c>
      <c r="E1030" s="111">
        <v>0.0</v>
      </c>
      <c r="F1030" s="111">
        <v>1.1069</v>
      </c>
      <c r="G1030" s="111">
        <v>0.5771</v>
      </c>
      <c r="H1030" s="117"/>
      <c r="I1030" s="112">
        <f t="shared" si="1"/>
        <v>0.9180384682</v>
      </c>
      <c r="J1030" s="82">
        <f t="shared" si="2"/>
        <v>0.5213659771</v>
      </c>
    </row>
    <row r="1031">
      <c r="A1031" s="101">
        <v>44704.0</v>
      </c>
      <c r="B1031" s="111">
        <v>2027.0</v>
      </c>
      <c r="C1031" s="111">
        <v>2.0</v>
      </c>
      <c r="D1031" s="110" t="s">
        <v>227</v>
      </c>
      <c r="E1031" s="111">
        <v>0.0</v>
      </c>
      <c r="F1031" s="111">
        <v>0.1026</v>
      </c>
      <c r="G1031" s="111">
        <v>0.052</v>
      </c>
      <c r="H1031" s="117"/>
      <c r="I1031" s="112">
        <f t="shared" si="1"/>
        <v>0.9730769231</v>
      </c>
      <c r="J1031" s="82">
        <f t="shared" si="2"/>
        <v>0.5068226121</v>
      </c>
    </row>
    <row r="1032">
      <c r="A1032" s="101">
        <v>44704.0</v>
      </c>
      <c r="B1032" s="111">
        <v>2027.0</v>
      </c>
      <c r="C1032" s="111">
        <v>3.0</v>
      </c>
      <c r="D1032" s="110" t="s">
        <v>227</v>
      </c>
      <c r="E1032" s="111">
        <v>1.0</v>
      </c>
      <c r="F1032" s="111">
        <v>0.5064</v>
      </c>
      <c r="G1032" s="111">
        <v>0.255</v>
      </c>
      <c r="H1032" s="117"/>
      <c r="I1032" s="112">
        <f t="shared" si="1"/>
        <v>0.9858823529</v>
      </c>
      <c r="J1032" s="82">
        <f t="shared" si="2"/>
        <v>0.5035545024</v>
      </c>
    </row>
    <row r="1033">
      <c r="A1033" s="101">
        <v>44704.0</v>
      </c>
      <c r="B1033" s="111">
        <v>2027.0</v>
      </c>
      <c r="C1033" s="111">
        <v>3.0</v>
      </c>
      <c r="D1033" s="110" t="s">
        <v>227</v>
      </c>
      <c r="E1033" s="111">
        <v>1.0</v>
      </c>
      <c r="F1033" s="111">
        <v>0.5064</v>
      </c>
      <c r="G1033" s="111">
        <v>0.255</v>
      </c>
      <c r="H1033" s="117"/>
      <c r="I1033" s="112">
        <f t="shared" si="1"/>
        <v>0.9858823529</v>
      </c>
      <c r="J1033" s="82">
        <f t="shared" si="2"/>
        <v>0.5035545024</v>
      </c>
    </row>
    <row r="1034">
      <c r="A1034" s="101">
        <v>44704.0</v>
      </c>
      <c r="B1034" s="111">
        <v>2027.0</v>
      </c>
      <c r="C1034" s="111">
        <v>3.0</v>
      </c>
      <c r="D1034" s="110" t="s">
        <v>228</v>
      </c>
      <c r="E1034" s="111">
        <v>0.0</v>
      </c>
      <c r="F1034" s="111">
        <v>1.9161</v>
      </c>
      <c r="G1034" s="111">
        <v>0.963</v>
      </c>
      <c r="H1034" s="117"/>
      <c r="I1034" s="112">
        <f t="shared" si="1"/>
        <v>0.9897196262</v>
      </c>
      <c r="J1034" s="82">
        <f t="shared" si="2"/>
        <v>0.5025833725</v>
      </c>
    </row>
    <row r="1035">
      <c r="A1035" s="101">
        <v>44704.0</v>
      </c>
      <c r="B1035" s="111">
        <v>2027.0</v>
      </c>
      <c r="C1035" s="111">
        <v>3.0</v>
      </c>
      <c r="D1035" s="110" t="s">
        <v>227</v>
      </c>
      <c r="E1035" s="111">
        <v>0.0</v>
      </c>
      <c r="F1035" s="111">
        <v>0.147</v>
      </c>
      <c r="G1035" s="111">
        <v>0.07</v>
      </c>
      <c r="H1035" s="117"/>
      <c r="I1035" s="112">
        <f t="shared" si="1"/>
        <v>1.1</v>
      </c>
      <c r="J1035" s="82">
        <f t="shared" si="2"/>
        <v>0.4761904762</v>
      </c>
    </row>
    <row r="1036">
      <c r="A1036" s="101">
        <v>44704.0</v>
      </c>
      <c r="B1036" s="111">
        <v>2028.0</v>
      </c>
      <c r="C1036" s="111">
        <v>1.0</v>
      </c>
      <c r="D1036" s="110" t="s">
        <v>228</v>
      </c>
      <c r="E1036" s="111">
        <v>0.0</v>
      </c>
      <c r="F1036" s="111">
        <v>0.8756</v>
      </c>
      <c r="G1036" s="111">
        <v>0.489</v>
      </c>
      <c r="H1036" s="117"/>
      <c r="I1036" s="112">
        <f t="shared" si="1"/>
        <v>0.790593047</v>
      </c>
      <c r="J1036" s="82">
        <f t="shared" si="2"/>
        <v>0.5584741891</v>
      </c>
    </row>
    <row r="1037">
      <c r="A1037" s="101">
        <v>44704.0</v>
      </c>
      <c r="B1037" s="111">
        <v>2028.0</v>
      </c>
      <c r="C1037" s="111">
        <v>1.0</v>
      </c>
      <c r="D1037" s="110" t="s">
        <v>227</v>
      </c>
      <c r="E1037" s="111">
        <v>1.0</v>
      </c>
      <c r="F1037" s="111">
        <v>0.2114</v>
      </c>
      <c r="G1037" s="111">
        <v>0.11</v>
      </c>
      <c r="H1037" s="117"/>
      <c r="I1037" s="112">
        <f t="shared" si="1"/>
        <v>0.9218181818</v>
      </c>
      <c r="J1037" s="82">
        <f t="shared" si="2"/>
        <v>0.5203405866</v>
      </c>
    </row>
    <row r="1038">
      <c r="A1038" s="101">
        <v>44704.0</v>
      </c>
      <c r="B1038" s="111">
        <v>2028.0</v>
      </c>
      <c r="C1038" s="111">
        <v>1.0</v>
      </c>
      <c r="D1038" s="110" t="s">
        <v>227</v>
      </c>
      <c r="E1038" s="111">
        <v>0.0</v>
      </c>
      <c r="F1038" s="111">
        <v>0.0592</v>
      </c>
      <c r="G1038" s="111">
        <v>0.0299</v>
      </c>
      <c r="H1038" s="117"/>
      <c r="I1038" s="112">
        <f t="shared" si="1"/>
        <v>0.9799331104</v>
      </c>
      <c r="J1038" s="82">
        <f t="shared" si="2"/>
        <v>0.5050675676</v>
      </c>
    </row>
    <row r="1039">
      <c r="A1039" s="101">
        <v>44704.0</v>
      </c>
      <c r="B1039" s="111">
        <v>2028.0</v>
      </c>
      <c r="C1039" s="111">
        <v>2.0</v>
      </c>
      <c r="D1039" s="110" t="s">
        <v>228</v>
      </c>
      <c r="E1039" s="111">
        <v>0.0</v>
      </c>
      <c r="F1039" s="111">
        <v>0.7848</v>
      </c>
      <c r="G1039" s="111">
        <v>0.4442</v>
      </c>
      <c r="H1039" s="117"/>
      <c r="I1039" s="112">
        <f t="shared" si="1"/>
        <v>0.7667717244</v>
      </c>
      <c r="J1039" s="82">
        <f t="shared" si="2"/>
        <v>0.5660040775</v>
      </c>
    </row>
    <row r="1040">
      <c r="A1040" s="101">
        <v>44704.0</v>
      </c>
      <c r="B1040" s="111">
        <v>2028.0</v>
      </c>
      <c r="C1040" s="111">
        <v>2.0</v>
      </c>
      <c r="D1040" s="110" t="s">
        <v>227</v>
      </c>
      <c r="E1040" s="111">
        <v>1.0</v>
      </c>
      <c r="F1040" s="111">
        <v>0.1087</v>
      </c>
      <c r="G1040" s="111">
        <v>0.0562</v>
      </c>
      <c r="H1040" s="117"/>
      <c r="I1040" s="112">
        <f t="shared" si="1"/>
        <v>0.9341637011</v>
      </c>
      <c r="J1040" s="82">
        <f t="shared" si="2"/>
        <v>0.5170193192</v>
      </c>
    </row>
    <row r="1041">
      <c r="A1041" s="101">
        <v>44704.0</v>
      </c>
      <c r="B1041" s="111">
        <v>2028.0</v>
      </c>
      <c r="C1041" s="111">
        <v>2.0</v>
      </c>
      <c r="D1041" s="110" t="s">
        <v>227</v>
      </c>
      <c r="E1041" s="111">
        <v>0.0</v>
      </c>
      <c r="F1041" s="111">
        <v>0.0714</v>
      </c>
      <c r="G1041" s="111">
        <v>0.0349</v>
      </c>
      <c r="H1041" s="117"/>
      <c r="I1041" s="112">
        <f t="shared" si="1"/>
        <v>1.045845272</v>
      </c>
      <c r="J1041" s="82">
        <f t="shared" si="2"/>
        <v>0.4887955182</v>
      </c>
    </row>
    <row r="1042">
      <c r="A1042" s="101">
        <v>44704.0</v>
      </c>
      <c r="B1042" s="111">
        <v>2028.0</v>
      </c>
      <c r="C1042" s="111">
        <v>3.0</v>
      </c>
      <c r="D1042" s="110" t="s">
        <v>228</v>
      </c>
      <c r="E1042" s="111">
        <v>0.0</v>
      </c>
      <c r="F1042" s="111">
        <v>1.8612</v>
      </c>
      <c r="G1042" s="111">
        <v>1.0362</v>
      </c>
      <c r="H1042" s="117"/>
      <c r="I1042" s="112">
        <f t="shared" si="1"/>
        <v>0.7961783439</v>
      </c>
      <c r="J1042" s="82">
        <f t="shared" si="2"/>
        <v>0.5567375887</v>
      </c>
    </row>
    <row r="1043">
      <c r="A1043" s="101">
        <v>44704.0</v>
      </c>
      <c r="B1043" s="111">
        <v>2028.0</v>
      </c>
      <c r="C1043" s="111">
        <v>3.0</v>
      </c>
      <c r="D1043" s="110" t="s">
        <v>227</v>
      </c>
      <c r="E1043" s="111">
        <v>0.0</v>
      </c>
      <c r="F1043" s="111">
        <v>0.1711</v>
      </c>
      <c r="G1043" s="111">
        <v>0.086</v>
      </c>
      <c r="H1043" s="117"/>
      <c r="I1043" s="112">
        <f t="shared" si="1"/>
        <v>0.9895348837</v>
      </c>
      <c r="J1043" s="82">
        <f t="shared" si="2"/>
        <v>0.5026300409</v>
      </c>
    </row>
    <row r="1044">
      <c r="A1044" s="101">
        <v>44704.0</v>
      </c>
      <c r="B1044" s="111">
        <v>2028.0</v>
      </c>
      <c r="C1044" s="111">
        <v>3.0</v>
      </c>
      <c r="D1044" s="110" t="s">
        <v>227</v>
      </c>
      <c r="E1044" s="111">
        <v>1.0</v>
      </c>
      <c r="F1044" s="111">
        <v>0.3053</v>
      </c>
      <c r="G1044" s="111">
        <v>0.153</v>
      </c>
      <c r="H1044" s="117"/>
      <c r="I1044" s="112">
        <f t="shared" si="1"/>
        <v>0.9954248366</v>
      </c>
      <c r="J1044" s="82">
        <f t="shared" si="2"/>
        <v>0.5011464134</v>
      </c>
    </row>
    <row r="1045">
      <c r="A1045" s="101">
        <v>44704.0</v>
      </c>
      <c r="B1045" s="111">
        <v>2029.0</v>
      </c>
      <c r="C1045" s="111">
        <v>1.0</v>
      </c>
      <c r="D1045" s="110" t="s">
        <v>228</v>
      </c>
      <c r="E1045" s="111">
        <v>1.0</v>
      </c>
      <c r="F1045" s="111">
        <v>0.4022</v>
      </c>
      <c r="G1045" s="111">
        <v>0.233</v>
      </c>
      <c r="H1045" s="117"/>
      <c r="I1045" s="112">
        <f t="shared" si="1"/>
        <v>0.7261802575</v>
      </c>
      <c r="J1045" s="82">
        <f t="shared" si="2"/>
        <v>0.5793137742</v>
      </c>
    </row>
    <row r="1046">
      <c r="A1046" s="101">
        <v>44704.0</v>
      </c>
      <c r="B1046" s="111">
        <v>2029.0</v>
      </c>
      <c r="C1046" s="111">
        <v>1.0</v>
      </c>
      <c r="D1046" s="110" t="s">
        <v>228</v>
      </c>
      <c r="E1046" s="111">
        <v>0.0</v>
      </c>
      <c r="F1046" s="111">
        <v>1.8393</v>
      </c>
      <c r="G1046" s="111">
        <v>1.051</v>
      </c>
      <c r="H1046" s="117"/>
      <c r="I1046" s="112">
        <f t="shared" si="1"/>
        <v>0.7500475737</v>
      </c>
      <c r="J1046" s="82">
        <f t="shared" si="2"/>
        <v>0.5714130376</v>
      </c>
    </row>
    <row r="1047">
      <c r="A1047" s="101">
        <v>44704.0</v>
      </c>
      <c r="B1047" s="111">
        <v>2029.0</v>
      </c>
      <c r="C1047" s="111">
        <v>1.0</v>
      </c>
      <c r="D1047" s="110" t="s">
        <v>227</v>
      </c>
      <c r="E1047" s="111">
        <v>1.0</v>
      </c>
      <c r="F1047" s="111">
        <v>0.2522</v>
      </c>
      <c r="G1047" s="111">
        <v>0.133</v>
      </c>
      <c r="H1047" s="117"/>
      <c r="I1047" s="112">
        <f t="shared" si="1"/>
        <v>0.8962406015</v>
      </c>
      <c r="J1047" s="82">
        <f t="shared" si="2"/>
        <v>0.5273592387</v>
      </c>
    </row>
    <row r="1048">
      <c r="A1048" s="101">
        <v>44704.0</v>
      </c>
      <c r="B1048" s="111">
        <v>2029.0</v>
      </c>
      <c r="C1048" s="111">
        <v>1.0</v>
      </c>
      <c r="D1048" s="110" t="s">
        <v>227</v>
      </c>
      <c r="E1048" s="111">
        <v>0.0</v>
      </c>
      <c r="F1048" s="111">
        <v>0.0817</v>
      </c>
      <c r="G1048" s="111">
        <v>0.0425</v>
      </c>
      <c r="H1048" s="117"/>
      <c r="I1048" s="112">
        <f t="shared" si="1"/>
        <v>0.9223529412</v>
      </c>
      <c r="J1048" s="82">
        <f t="shared" si="2"/>
        <v>0.5201958384</v>
      </c>
    </row>
    <row r="1049">
      <c r="A1049" s="101">
        <v>44704.0</v>
      </c>
      <c r="B1049" s="111">
        <v>2029.0</v>
      </c>
      <c r="C1049" s="111">
        <v>2.0</v>
      </c>
      <c r="D1049" s="110" t="s">
        <v>228</v>
      </c>
      <c r="E1049" s="111">
        <v>1.0</v>
      </c>
      <c r="F1049" s="111">
        <v>0.1904</v>
      </c>
      <c r="G1049" s="111">
        <v>0.1122</v>
      </c>
      <c r="H1049" s="117"/>
      <c r="I1049" s="112">
        <f t="shared" si="1"/>
        <v>0.696969697</v>
      </c>
      <c r="J1049" s="82">
        <f t="shared" si="2"/>
        <v>0.5892857143</v>
      </c>
    </row>
    <row r="1050">
      <c r="A1050" s="101">
        <v>44704.0</v>
      </c>
      <c r="B1050" s="111">
        <v>2029.0</v>
      </c>
      <c r="C1050" s="111">
        <v>2.0</v>
      </c>
      <c r="D1050" s="110" t="s">
        <v>228</v>
      </c>
      <c r="E1050" s="111">
        <v>0.0</v>
      </c>
      <c r="F1050" s="111">
        <v>2.8668</v>
      </c>
      <c r="G1050" s="111">
        <v>1.5796</v>
      </c>
      <c r="H1050" s="117"/>
      <c r="I1050" s="112">
        <f t="shared" si="1"/>
        <v>0.8148898455</v>
      </c>
      <c r="J1050" s="82">
        <f t="shared" si="2"/>
        <v>0.550997628</v>
      </c>
    </row>
    <row r="1051">
      <c r="A1051" s="101">
        <v>44704.0</v>
      </c>
      <c r="B1051" s="111">
        <v>2029.0</v>
      </c>
      <c r="C1051" s="111">
        <v>2.0</v>
      </c>
      <c r="D1051" s="110" t="s">
        <v>227</v>
      </c>
      <c r="E1051" s="111">
        <v>1.0</v>
      </c>
      <c r="F1051" s="111">
        <v>0.3259</v>
      </c>
      <c r="G1051" s="111">
        <v>0.179</v>
      </c>
      <c r="H1051" s="117"/>
      <c r="I1051" s="112">
        <f t="shared" si="1"/>
        <v>0.8206703911</v>
      </c>
      <c r="J1051" s="82">
        <f t="shared" si="2"/>
        <v>0.5492482357</v>
      </c>
    </row>
    <row r="1052">
      <c r="A1052" s="101">
        <v>44704.0</v>
      </c>
      <c r="B1052" s="111">
        <v>2029.0</v>
      </c>
      <c r="C1052" s="111">
        <v>2.0</v>
      </c>
      <c r="D1052" s="110" t="s">
        <v>227</v>
      </c>
      <c r="E1052" s="111">
        <v>0.0</v>
      </c>
      <c r="F1052" s="111">
        <v>0.1515</v>
      </c>
      <c r="G1052" s="111">
        <v>0.079</v>
      </c>
      <c r="H1052" s="117"/>
      <c r="I1052" s="112">
        <f t="shared" si="1"/>
        <v>0.917721519</v>
      </c>
      <c r="J1052" s="82">
        <f t="shared" si="2"/>
        <v>0.5214521452</v>
      </c>
    </row>
    <row r="1053">
      <c r="A1053" s="101">
        <v>44704.0</v>
      </c>
      <c r="B1053" s="111">
        <v>2029.0</v>
      </c>
      <c r="C1053" s="111">
        <v>3.0</v>
      </c>
      <c r="D1053" s="110" t="s">
        <v>228</v>
      </c>
      <c r="E1053" s="111">
        <v>1.0</v>
      </c>
      <c r="F1053" s="111">
        <v>0.7988</v>
      </c>
      <c r="G1053" s="111">
        <v>0.458</v>
      </c>
      <c r="H1053" s="117"/>
      <c r="I1053" s="112">
        <f t="shared" si="1"/>
        <v>0.7441048035</v>
      </c>
      <c r="J1053" s="82">
        <f t="shared" si="2"/>
        <v>0.5733600401</v>
      </c>
    </row>
    <row r="1054">
      <c r="A1054" s="101">
        <v>44704.0</v>
      </c>
      <c r="B1054" s="111">
        <v>2029.0</v>
      </c>
      <c r="C1054" s="111">
        <v>3.0</v>
      </c>
      <c r="D1054" s="110" t="s">
        <v>228</v>
      </c>
      <c r="E1054" s="111">
        <v>0.0</v>
      </c>
      <c r="F1054" s="111">
        <v>1.4277</v>
      </c>
      <c r="G1054" s="111">
        <v>0.8012</v>
      </c>
      <c r="H1054" s="117"/>
      <c r="I1054" s="112">
        <f t="shared" si="1"/>
        <v>0.7819520719</v>
      </c>
      <c r="J1054" s="82">
        <f t="shared" si="2"/>
        <v>0.5611823212</v>
      </c>
    </row>
    <row r="1055">
      <c r="A1055" s="101">
        <v>44704.0</v>
      </c>
      <c r="B1055" s="111">
        <v>2029.0</v>
      </c>
      <c r="C1055" s="111">
        <v>3.0</v>
      </c>
      <c r="D1055" s="110" t="s">
        <v>227</v>
      </c>
      <c r="E1055" s="111">
        <v>1.0</v>
      </c>
      <c r="F1055" s="111">
        <v>0.3436</v>
      </c>
      <c r="G1055" s="111">
        <v>0.1859</v>
      </c>
      <c r="H1055" s="117"/>
      <c r="I1055" s="112">
        <f t="shared" si="1"/>
        <v>0.8483055406</v>
      </c>
      <c r="J1055" s="82">
        <f t="shared" si="2"/>
        <v>0.5410360885</v>
      </c>
    </row>
    <row r="1056">
      <c r="A1056" s="101">
        <v>44704.0</v>
      </c>
      <c r="B1056" s="111">
        <v>2029.0</v>
      </c>
      <c r="C1056" s="111">
        <v>3.0</v>
      </c>
      <c r="D1056" s="110" t="s">
        <v>227</v>
      </c>
      <c r="E1056" s="111">
        <v>0.0</v>
      </c>
      <c r="F1056" s="111">
        <v>0.073</v>
      </c>
      <c r="G1056" s="111">
        <v>0.036</v>
      </c>
      <c r="H1056" s="117"/>
      <c r="I1056" s="112">
        <f t="shared" si="1"/>
        <v>1.027777778</v>
      </c>
      <c r="J1056" s="82">
        <f t="shared" si="2"/>
        <v>0.4931506849</v>
      </c>
    </row>
    <row r="1057">
      <c r="A1057" s="101">
        <v>44704.0</v>
      </c>
      <c r="B1057" s="111">
        <v>2030.0</v>
      </c>
      <c r="C1057" s="111">
        <v>1.0</v>
      </c>
      <c r="D1057" s="110" t="s">
        <v>228</v>
      </c>
      <c r="E1057" s="111">
        <v>0.0</v>
      </c>
      <c r="F1057" s="111">
        <v>0.9779</v>
      </c>
      <c r="G1057" s="111">
        <v>0.549</v>
      </c>
      <c r="H1057" s="117"/>
      <c r="I1057" s="112">
        <f t="shared" si="1"/>
        <v>0.7812386157</v>
      </c>
      <c r="J1057" s="82">
        <f t="shared" si="2"/>
        <v>0.5614070968</v>
      </c>
    </row>
    <row r="1058">
      <c r="A1058" s="101">
        <v>44704.0</v>
      </c>
      <c r="B1058" s="111">
        <v>2030.0</v>
      </c>
      <c r="C1058" s="111">
        <v>1.0</v>
      </c>
      <c r="D1058" s="110" t="s">
        <v>227</v>
      </c>
      <c r="E1058" s="111">
        <v>0.0</v>
      </c>
      <c r="F1058" s="111">
        <v>0.1739</v>
      </c>
      <c r="G1058" s="111">
        <v>0.091</v>
      </c>
      <c r="H1058" s="117"/>
      <c r="I1058" s="112">
        <f t="shared" si="1"/>
        <v>0.910989011</v>
      </c>
      <c r="J1058" s="82">
        <f t="shared" si="2"/>
        <v>0.5232892467</v>
      </c>
    </row>
    <row r="1059">
      <c r="A1059" s="101">
        <v>44704.0</v>
      </c>
      <c r="B1059" s="111">
        <v>2030.0</v>
      </c>
      <c r="C1059" s="111">
        <v>2.0</v>
      </c>
      <c r="D1059" s="110" t="s">
        <v>228</v>
      </c>
      <c r="E1059" s="111">
        <v>0.0</v>
      </c>
      <c r="F1059" s="111">
        <v>0.6483</v>
      </c>
      <c r="G1059" s="111">
        <v>0.359</v>
      </c>
      <c r="H1059" s="117"/>
      <c r="I1059" s="112">
        <f t="shared" si="1"/>
        <v>0.8058495822</v>
      </c>
      <c r="J1059" s="82">
        <f t="shared" si="2"/>
        <v>0.5537559772</v>
      </c>
    </row>
    <row r="1060">
      <c r="A1060" s="101">
        <v>44704.0</v>
      </c>
      <c r="B1060" s="111">
        <v>2030.0</v>
      </c>
      <c r="C1060" s="111">
        <v>2.0</v>
      </c>
      <c r="D1060" s="110" t="s">
        <v>227</v>
      </c>
      <c r="E1060" s="111">
        <v>0.0</v>
      </c>
      <c r="F1060" s="111">
        <v>0.1292</v>
      </c>
      <c r="G1060" s="111">
        <v>0.0619</v>
      </c>
      <c r="H1060" s="117"/>
      <c r="I1060" s="112">
        <f t="shared" si="1"/>
        <v>1.08723748</v>
      </c>
      <c r="J1060" s="82">
        <f t="shared" si="2"/>
        <v>0.4791021672</v>
      </c>
    </row>
    <row r="1061">
      <c r="A1061" s="101">
        <v>44704.0</v>
      </c>
      <c r="B1061" s="111">
        <v>2030.0</v>
      </c>
      <c r="C1061" s="111">
        <v>3.0</v>
      </c>
      <c r="D1061" s="110" t="s">
        <v>228</v>
      </c>
      <c r="E1061" s="111">
        <v>1.0</v>
      </c>
      <c r="F1061" s="111">
        <v>2.0399</v>
      </c>
      <c r="G1061" s="111">
        <v>1.236</v>
      </c>
      <c r="H1061" s="117"/>
      <c r="I1061" s="112">
        <f t="shared" si="1"/>
        <v>0.6504045307</v>
      </c>
      <c r="J1061" s="82">
        <f t="shared" si="2"/>
        <v>0.6059120545</v>
      </c>
    </row>
    <row r="1062">
      <c r="A1062" s="101">
        <v>44704.0</v>
      </c>
      <c r="B1062" s="111">
        <v>2030.0</v>
      </c>
      <c r="C1062" s="111">
        <v>3.0</v>
      </c>
      <c r="D1062" s="110" t="s">
        <v>228</v>
      </c>
      <c r="E1062" s="111">
        <v>0.0</v>
      </c>
      <c r="F1062" s="111">
        <v>0.2367</v>
      </c>
      <c r="G1062" s="111">
        <v>0.128</v>
      </c>
      <c r="H1062" s="117"/>
      <c r="I1062" s="112">
        <f t="shared" si="1"/>
        <v>0.84921875</v>
      </c>
      <c r="J1062" s="82">
        <f t="shared" si="2"/>
        <v>0.5407689058</v>
      </c>
    </row>
    <row r="1063">
      <c r="A1063" s="101">
        <v>44704.0</v>
      </c>
      <c r="B1063" s="111">
        <v>2030.0</v>
      </c>
      <c r="C1063" s="111">
        <v>3.0</v>
      </c>
      <c r="D1063" s="110" t="s">
        <v>227</v>
      </c>
      <c r="E1063" s="111">
        <v>1.0</v>
      </c>
      <c r="F1063" s="111">
        <v>0.7527</v>
      </c>
      <c r="G1063" s="111">
        <v>0.397</v>
      </c>
      <c r="H1063" s="117"/>
      <c r="I1063" s="112">
        <f t="shared" si="1"/>
        <v>0.8959697733</v>
      </c>
      <c r="J1063" s="82">
        <f t="shared" si="2"/>
        <v>0.5274345689</v>
      </c>
    </row>
    <row r="1064">
      <c r="A1064" s="101">
        <v>44704.0</v>
      </c>
      <c r="B1064" s="111">
        <v>2030.0</v>
      </c>
      <c r="C1064" s="111">
        <v>3.0</v>
      </c>
      <c r="D1064" s="110" t="s">
        <v>227</v>
      </c>
      <c r="E1064" s="111">
        <v>0.0</v>
      </c>
      <c r="F1064" s="111">
        <v>0.0292</v>
      </c>
      <c r="G1064" s="111">
        <v>0.0132</v>
      </c>
      <c r="H1064" s="117"/>
      <c r="I1064" s="112">
        <f t="shared" si="1"/>
        <v>1.212121212</v>
      </c>
      <c r="J1064" s="82">
        <f t="shared" si="2"/>
        <v>0.4520547945</v>
      </c>
    </row>
    <row r="1065">
      <c r="A1065" s="101">
        <v>44704.0</v>
      </c>
      <c r="B1065" s="111">
        <v>2031.0</v>
      </c>
      <c r="C1065" s="111">
        <v>1.0</v>
      </c>
      <c r="D1065" s="110" t="s">
        <v>228</v>
      </c>
      <c r="E1065" s="111">
        <v>0.0</v>
      </c>
      <c r="F1065" s="111">
        <v>1.3598</v>
      </c>
      <c r="G1065" s="111">
        <v>0.7297</v>
      </c>
      <c r="H1065" s="117"/>
      <c r="I1065" s="112">
        <f t="shared" si="1"/>
        <v>0.8635055502</v>
      </c>
      <c r="J1065" s="82">
        <f t="shared" si="2"/>
        <v>0.5366230328</v>
      </c>
    </row>
    <row r="1066">
      <c r="A1066" s="101">
        <v>44704.0</v>
      </c>
      <c r="B1066" s="111">
        <v>2031.0</v>
      </c>
      <c r="C1066" s="111">
        <v>1.0</v>
      </c>
      <c r="D1066" s="110" t="s">
        <v>227</v>
      </c>
      <c r="E1066" s="111">
        <v>1.0</v>
      </c>
      <c r="F1066" s="111">
        <v>0.4889</v>
      </c>
      <c r="G1066" s="111">
        <v>0.2618</v>
      </c>
      <c r="H1066" s="117"/>
      <c r="I1066" s="112">
        <f t="shared" si="1"/>
        <v>0.8674560733</v>
      </c>
      <c r="J1066" s="82">
        <f t="shared" si="2"/>
        <v>0.5354878298</v>
      </c>
    </row>
    <row r="1067">
      <c r="A1067" s="101">
        <v>44704.0</v>
      </c>
      <c r="B1067" s="111">
        <v>2031.0</v>
      </c>
      <c r="C1067" s="111">
        <v>1.0</v>
      </c>
      <c r="D1067" s="110" t="s">
        <v>227</v>
      </c>
      <c r="E1067" s="111">
        <v>0.0</v>
      </c>
      <c r="F1067" s="111">
        <v>0.116</v>
      </c>
      <c r="G1067" s="111">
        <v>0.058</v>
      </c>
      <c r="H1067" s="117"/>
      <c r="I1067" s="112">
        <f t="shared" si="1"/>
        <v>1</v>
      </c>
      <c r="J1067" s="82">
        <f t="shared" si="2"/>
        <v>0.5</v>
      </c>
    </row>
    <row r="1068">
      <c r="A1068" s="101">
        <v>44704.0</v>
      </c>
      <c r="B1068" s="111">
        <v>2031.0</v>
      </c>
      <c r="C1068" s="111">
        <v>2.0</v>
      </c>
      <c r="D1068" s="110" t="s">
        <v>228</v>
      </c>
      <c r="E1068" s="111">
        <v>0.0</v>
      </c>
      <c r="F1068" s="111">
        <v>1.0341</v>
      </c>
      <c r="G1068" s="111">
        <v>0.5544</v>
      </c>
      <c r="H1068" s="117"/>
      <c r="I1068" s="112">
        <f t="shared" si="1"/>
        <v>0.8652597403</v>
      </c>
      <c r="J1068" s="82">
        <f t="shared" si="2"/>
        <v>0.5361183638</v>
      </c>
    </row>
    <row r="1069">
      <c r="A1069" s="101">
        <v>44704.0</v>
      </c>
      <c r="B1069" s="111">
        <v>2031.0</v>
      </c>
      <c r="C1069" s="111">
        <v>2.0</v>
      </c>
      <c r="D1069" s="110" t="s">
        <v>227</v>
      </c>
      <c r="E1069" s="111">
        <v>1.0</v>
      </c>
      <c r="F1069" s="111">
        <v>0.3078</v>
      </c>
      <c r="G1069" s="111">
        <v>0.1617</v>
      </c>
      <c r="H1069" s="117"/>
      <c r="I1069" s="112">
        <f t="shared" si="1"/>
        <v>0.9035250464</v>
      </c>
      <c r="J1069" s="82">
        <f t="shared" si="2"/>
        <v>0.5253411306</v>
      </c>
    </row>
    <row r="1070">
      <c r="A1070" s="101">
        <v>44704.0</v>
      </c>
      <c r="B1070" s="111">
        <v>2031.0</v>
      </c>
      <c r="C1070" s="111">
        <v>2.0</v>
      </c>
      <c r="D1070" s="110" t="s">
        <v>227</v>
      </c>
      <c r="E1070" s="111">
        <v>0.0</v>
      </c>
      <c r="F1070" s="111">
        <v>0.0635</v>
      </c>
      <c r="G1070" s="111">
        <v>0.0319</v>
      </c>
      <c r="H1070" s="117"/>
      <c r="I1070" s="112">
        <f t="shared" si="1"/>
        <v>0.9905956113</v>
      </c>
      <c r="J1070" s="82">
        <f t="shared" si="2"/>
        <v>0.5023622047</v>
      </c>
    </row>
    <row r="1071">
      <c r="A1071" s="101">
        <v>44704.0</v>
      </c>
      <c r="B1071" s="111">
        <v>2031.0</v>
      </c>
      <c r="C1071" s="111">
        <v>3.0</v>
      </c>
      <c r="D1071" s="110" t="s">
        <v>228</v>
      </c>
      <c r="E1071" s="111">
        <v>0.0</v>
      </c>
      <c r="F1071" s="111">
        <v>1.5629</v>
      </c>
      <c r="G1071" s="111">
        <v>0.837</v>
      </c>
      <c r="H1071" s="117"/>
      <c r="I1071" s="112">
        <f t="shared" si="1"/>
        <v>0.8672640382</v>
      </c>
      <c r="J1071" s="82">
        <f t="shared" si="2"/>
        <v>0.535542901</v>
      </c>
    </row>
    <row r="1072">
      <c r="A1072" s="101">
        <v>44704.0</v>
      </c>
      <c r="B1072" s="111">
        <v>2031.0</v>
      </c>
      <c r="C1072" s="111">
        <v>3.0</v>
      </c>
      <c r="D1072" s="110" t="s">
        <v>227</v>
      </c>
      <c r="E1072" s="111">
        <v>1.0</v>
      </c>
      <c r="F1072" s="111">
        <v>0.092</v>
      </c>
      <c r="G1072" s="111">
        <v>0.0476</v>
      </c>
      <c r="H1072" s="117"/>
      <c r="I1072" s="112">
        <f t="shared" si="1"/>
        <v>0.9327731092</v>
      </c>
      <c r="J1072" s="82">
        <f t="shared" si="2"/>
        <v>0.5173913043</v>
      </c>
    </row>
    <row r="1073">
      <c r="A1073" s="101">
        <v>44704.0</v>
      </c>
      <c r="B1073" s="111">
        <v>2031.0</v>
      </c>
      <c r="C1073" s="111">
        <v>3.0</v>
      </c>
      <c r="D1073" s="110" t="s">
        <v>227</v>
      </c>
      <c r="E1073" s="111">
        <v>1.0</v>
      </c>
      <c r="F1073" s="111">
        <v>0.5695</v>
      </c>
      <c r="G1073" s="111">
        <v>0.2941</v>
      </c>
      <c r="H1073" s="117"/>
      <c r="I1073" s="112">
        <f t="shared" si="1"/>
        <v>0.936416185</v>
      </c>
      <c r="J1073" s="82">
        <f t="shared" si="2"/>
        <v>0.5164179104</v>
      </c>
    </row>
    <row r="1074">
      <c r="A1074" s="101">
        <v>44704.0</v>
      </c>
      <c r="B1074" s="111">
        <v>2083.0</v>
      </c>
      <c r="C1074" s="111">
        <v>1.0</v>
      </c>
      <c r="D1074" s="110" t="s">
        <v>227</v>
      </c>
      <c r="E1074" s="111">
        <v>1.0</v>
      </c>
      <c r="F1074" s="111">
        <v>0.3504</v>
      </c>
      <c r="G1074" s="111">
        <v>0.193</v>
      </c>
      <c r="H1074" s="117"/>
      <c r="I1074" s="112">
        <f t="shared" si="1"/>
        <v>0.8155440415</v>
      </c>
      <c r="J1074" s="82">
        <f t="shared" si="2"/>
        <v>0.5507990868</v>
      </c>
    </row>
    <row r="1075">
      <c r="A1075" s="101">
        <v>44704.0</v>
      </c>
      <c r="B1075" s="111">
        <v>2083.0</v>
      </c>
      <c r="C1075" s="111">
        <v>1.0</v>
      </c>
      <c r="D1075" s="110" t="s">
        <v>228</v>
      </c>
      <c r="E1075" s="111">
        <v>0.0</v>
      </c>
      <c r="F1075" s="111">
        <v>1.5564</v>
      </c>
      <c r="G1075" s="111">
        <v>0.856</v>
      </c>
      <c r="H1075" s="117"/>
      <c r="I1075" s="112">
        <f t="shared" si="1"/>
        <v>0.8182242991</v>
      </c>
      <c r="J1075" s="82">
        <f t="shared" si="2"/>
        <v>0.5499871498</v>
      </c>
    </row>
    <row r="1076">
      <c r="A1076" s="101">
        <v>44704.0</v>
      </c>
      <c r="B1076" s="111">
        <v>2083.0</v>
      </c>
      <c r="C1076" s="111">
        <v>1.0</v>
      </c>
      <c r="D1076" s="110" t="s">
        <v>227</v>
      </c>
      <c r="E1076" s="111">
        <v>0.0</v>
      </c>
      <c r="F1076" s="111">
        <v>0.1909</v>
      </c>
      <c r="G1076" s="111">
        <v>0.099</v>
      </c>
      <c r="H1076" s="117"/>
      <c r="I1076" s="112">
        <f t="shared" si="1"/>
        <v>0.9282828283</v>
      </c>
      <c r="J1076" s="82">
        <f t="shared" si="2"/>
        <v>0.5185961236</v>
      </c>
    </row>
    <row r="1077">
      <c r="A1077" s="101">
        <v>44704.0</v>
      </c>
      <c r="B1077" s="111">
        <v>2083.0</v>
      </c>
      <c r="C1077" s="111">
        <v>2.0</v>
      </c>
      <c r="D1077" s="110" t="s">
        <v>227</v>
      </c>
      <c r="E1077" s="111">
        <v>1.0</v>
      </c>
      <c r="F1077" s="111">
        <v>0.098</v>
      </c>
      <c r="G1077" s="111">
        <v>0.054</v>
      </c>
      <c r="H1077" s="117"/>
      <c r="I1077" s="112">
        <f t="shared" si="1"/>
        <v>0.8148148148</v>
      </c>
      <c r="J1077" s="82">
        <f t="shared" si="2"/>
        <v>0.5510204082</v>
      </c>
    </row>
    <row r="1078">
      <c r="A1078" s="101">
        <v>44704.0</v>
      </c>
      <c r="B1078" s="111">
        <v>2083.0</v>
      </c>
      <c r="C1078" s="111">
        <v>2.0</v>
      </c>
      <c r="D1078" s="110" t="s">
        <v>228</v>
      </c>
      <c r="E1078" s="111">
        <v>0.0</v>
      </c>
      <c r="F1078" s="111">
        <v>0.5237</v>
      </c>
      <c r="G1078" s="111">
        <v>0.283</v>
      </c>
      <c r="H1078" s="117"/>
      <c r="I1078" s="112">
        <f t="shared" si="1"/>
        <v>0.8505300353</v>
      </c>
      <c r="J1078" s="82">
        <f t="shared" si="2"/>
        <v>0.540385717</v>
      </c>
    </row>
    <row r="1079">
      <c r="A1079" s="101">
        <v>44704.0</v>
      </c>
      <c r="B1079" s="111">
        <v>2083.0</v>
      </c>
      <c r="C1079" s="111">
        <v>2.0</v>
      </c>
      <c r="D1079" s="110" t="s">
        <v>227</v>
      </c>
      <c r="E1079" s="111">
        <v>0.0</v>
      </c>
      <c r="F1079" s="111">
        <v>0.05</v>
      </c>
      <c r="G1079" s="111">
        <v>0.026</v>
      </c>
      <c r="H1079" s="117"/>
      <c r="I1079" s="112">
        <f t="shared" si="1"/>
        <v>0.9230769231</v>
      </c>
      <c r="J1079" s="82">
        <f t="shared" si="2"/>
        <v>0.52</v>
      </c>
    </row>
    <row r="1080">
      <c r="A1080" s="101">
        <v>44704.0</v>
      </c>
      <c r="B1080" s="111">
        <v>2083.0</v>
      </c>
      <c r="C1080" s="111">
        <v>3.0</v>
      </c>
      <c r="D1080" s="110" t="s">
        <v>227</v>
      </c>
      <c r="E1080" s="111">
        <v>1.0</v>
      </c>
      <c r="F1080" s="111">
        <v>0.6495</v>
      </c>
      <c r="G1080" s="111">
        <v>0.38</v>
      </c>
      <c r="H1080" s="117"/>
      <c r="I1080" s="112">
        <f t="shared" si="1"/>
        <v>0.7092105263</v>
      </c>
      <c r="J1080" s="82">
        <f t="shared" si="2"/>
        <v>0.5850654349</v>
      </c>
    </row>
    <row r="1081">
      <c r="A1081" s="101">
        <v>44704.0</v>
      </c>
      <c r="B1081" s="111">
        <v>2083.0</v>
      </c>
      <c r="C1081" s="111">
        <v>3.0</v>
      </c>
      <c r="D1081" s="110" t="s">
        <v>228</v>
      </c>
      <c r="E1081" s="111">
        <v>0.0</v>
      </c>
      <c r="F1081" s="111">
        <v>1.257</v>
      </c>
      <c r="G1081" s="111">
        <v>0.7143</v>
      </c>
      <c r="H1081" s="117"/>
      <c r="I1081" s="112">
        <f t="shared" si="1"/>
        <v>0.7597648047</v>
      </c>
      <c r="J1081" s="82">
        <f t="shared" si="2"/>
        <v>0.5682577566</v>
      </c>
    </row>
    <row r="1082">
      <c r="A1082" s="101">
        <v>44704.0</v>
      </c>
      <c r="B1082" s="111">
        <v>2343.0</v>
      </c>
      <c r="C1082" s="111">
        <v>1.0</v>
      </c>
      <c r="D1082" s="110" t="s">
        <v>228</v>
      </c>
      <c r="E1082" s="111">
        <v>0.0</v>
      </c>
      <c r="F1082" s="111">
        <v>1.312</v>
      </c>
      <c r="G1082" s="111">
        <v>0.7051</v>
      </c>
      <c r="H1082" s="117"/>
      <c r="I1082" s="112">
        <f t="shared" si="1"/>
        <v>0.8607289746</v>
      </c>
      <c r="J1082" s="82">
        <f t="shared" si="2"/>
        <v>0.5374237805</v>
      </c>
    </row>
    <row r="1083">
      <c r="A1083" s="101">
        <v>44704.0</v>
      </c>
      <c r="B1083" s="111">
        <v>2343.0</v>
      </c>
      <c r="C1083" s="111">
        <v>1.0</v>
      </c>
      <c r="D1083" s="110" t="s">
        <v>227</v>
      </c>
      <c r="E1083" s="111">
        <v>1.0</v>
      </c>
      <c r="F1083" s="111">
        <v>0.1752</v>
      </c>
      <c r="G1083" s="111">
        <v>0.0929</v>
      </c>
      <c r="H1083" s="117"/>
      <c r="I1083" s="112">
        <f t="shared" si="1"/>
        <v>0.8858988159</v>
      </c>
      <c r="J1083" s="82">
        <f t="shared" si="2"/>
        <v>0.5302511416</v>
      </c>
    </row>
    <row r="1084">
      <c r="A1084" s="101">
        <v>44704.0</v>
      </c>
      <c r="B1084" s="111">
        <v>2343.0</v>
      </c>
      <c r="C1084" s="111">
        <v>1.0</v>
      </c>
      <c r="D1084" s="110" t="s">
        <v>227</v>
      </c>
      <c r="E1084" s="111">
        <v>0.0</v>
      </c>
      <c r="F1084" s="111">
        <v>0.1966</v>
      </c>
      <c r="G1084" s="111">
        <v>0.096</v>
      </c>
      <c r="H1084" s="117"/>
      <c r="I1084" s="112">
        <f t="shared" si="1"/>
        <v>1.047916667</v>
      </c>
      <c r="J1084" s="82">
        <f t="shared" si="2"/>
        <v>0.488301119</v>
      </c>
    </row>
    <row r="1085">
      <c r="A1085" s="101">
        <v>44704.0</v>
      </c>
      <c r="B1085" s="111">
        <v>2343.0</v>
      </c>
      <c r="C1085" s="111">
        <v>2.0</v>
      </c>
      <c r="D1085" s="110" t="s">
        <v>228</v>
      </c>
      <c r="E1085" s="111">
        <v>0.0</v>
      </c>
      <c r="F1085" s="111">
        <v>1.2636</v>
      </c>
      <c r="G1085" s="111">
        <v>0.683</v>
      </c>
      <c r="H1085" s="117"/>
      <c r="I1085" s="112">
        <f t="shared" si="1"/>
        <v>0.8500732064</v>
      </c>
      <c r="J1085" s="82">
        <f t="shared" si="2"/>
        <v>0.5405191516</v>
      </c>
    </row>
    <row r="1086">
      <c r="A1086" s="101">
        <v>44704.0</v>
      </c>
      <c r="B1086" s="111">
        <v>2343.0</v>
      </c>
      <c r="C1086" s="111">
        <v>2.0</v>
      </c>
      <c r="D1086" s="110" t="s">
        <v>227</v>
      </c>
      <c r="E1086" s="111">
        <v>1.0</v>
      </c>
      <c r="F1086" s="111">
        <v>0.0749</v>
      </c>
      <c r="G1086" s="111">
        <v>0.038</v>
      </c>
      <c r="H1086" s="117"/>
      <c r="I1086" s="112">
        <f t="shared" si="1"/>
        <v>0.9710526316</v>
      </c>
      <c r="J1086" s="82">
        <f t="shared" si="2"/>
        <v>0.5073431242</v>
      </c>
    </row>
    <row r="1087">
      <c r="A1087" s="101">
        <v>44704.0</v>
      </c>
      <c r="B1087" s="111">
        <v>2343.0</v>
      </c>
      <c r="C1087" s="111">
        <v>2.0</v>
      </c>
      <c r="D1087" s="110" t="s">
        <v>227</v>
      </c>
      <c r="E1087" s="111">
        <v>0.0</v>
      </c>
      <c r="F1087" s="111">
        <v>0.2424</v>
      </c>
      <c r="G1087" s="111">
        <v>0.1219</v>
      </c>
      <c r="H1087" s="117"/>
      <c r="I1087" s="112">
        <f t="shared" si="1"/>
        <v>0.9885151764</v>
      </c>
      <c r="J1087" s="82">
        <f t="shared" si="2"/>
        <v>0.5028877888</v>
      </c>
    </row>
    <row r="1088">
      <c r="A1088" s="101">
        <v>44704.0</v>
      </c>
      <c r="B1088" s="111">
        <v>2343.0</v>
      </c>
      <c r="C1088" s="111">
        <v>3.0</v>
      </c>
      <c r="D1088" s="110" t="s">
        <v>228</v>
      </c>
      <c r="E1088" s="111">
        <v>0.0</v>
      </c>
      <c r="F1088" s="111">
        <v>2.5116</v>
      </c>
      <c r="G1088" s="111">
        <v>1.3398</v>
      </c>
      <c r="H1088" s="117"/>
      <c r="I1088" s="112">
        <f t="shared" si="1"/>
        <v>0.8746081505</v>
      </c>
      <c r="J1088" s="82">
        <f t="shared" si="2"/>
        <v>0.5334448161</v>
      </c>
    </row>
    <row r="1089">
      <c r="A1089" s="101">
        <v>44704.0</v>
      </c>
      <c r="B1089" s="111">
        <v>2343.0</v>
      </c>
      <c r="C1089" s="111">
        <v>3.0</v>
      </c>
      <c r="D1089" s="110" t="s">
        <v>227</v>
      </c>
      <c r="E1089" s="111">
        <v>1.0</v>
      </c>
      <c r="F1089" s="111">
        <v>0.6992</v>
      </c>
      <c r="G1089" s="111">
        <v>0.3719</v>
      </c>
      <c r="H1089" s="117"/>
      <c r="I1089" s="112">
        <f t="shared" si="1"/>
        <v>0.8800752891</v>
      </c>
      <c r="J1089" s="82">
        <f t="shared" si="2"/>
        <v>0.5318935927</v>
      </c>
    </row>
    <row r="1090">
      <c r="A1090" s="101">
        <v>44704.0</v>
      </c>
      <c r="B1090" s="111">
        <v>2343.0</v>
      </c>
      <c r="C1090" s="111">
        <v>3.0</v>
      </c>
      <c r="D1090" s="110" t="s">
        <v>227</v>
      </c>
      <c r="E1090" s="111">
        <v>0.0</v>
      </c>
      <c r="F1090" s="111">
        <v>0.3521</v>
      </c>
      <c r="G1090" s="111">
        <v>0.1765</v>
      </c>
      <c r="H1090" s="117"/>
      <c r="I1090" s="112">
        <f t="shared" si="1"/>
        <v>0.9949008499</v>
      </c>
      <c r="J1090" s="82">
        <f t="shared" si="2"/>
        <v>0.501278046</v>
      </c>
    </row>
    <row r="1091">
      <c r="A1091" s="101">
        <v>44704.0</v>
      </c>
      <c r="B1091" s="111">
        <v>2354.0</v>
      </c>
      <c r="C1091" s="111">
        <v>1.0</v>
      </c>
      <c r="D1091" s="110" t="s">
        <v>228</v>
      </c>
      <c r="E1091" s="111">
        <v>1.0</v>
      </c>
      <c r="F1091" s="111">
        <v>1.5656</v>
      </c>
      <c r="G1091" s="111">
        <v>0.95</v>
      </c>
      <c r="H1091" s="117"/>
      <c r="I1091" s="112">
        <f t="shared" si="1"/>
        <v>0.648</v>
      </c>
      <c r="J1091" s="82">
        <f t="shared" si="2"/>
        <v>0.6067961165</v>
      </c>
    </row>
    <row r="1092">
      <c r="A1092" s="101">
        <v>44704.0</v>
      </c>
      <c r="B1092" s="111">
        <v>2354.0</v>
      </c>
      <c r="C1092" s="111">
        <v>1.0</v>
      </c>
      <c r="D1092" s="110" t="s">
        <v>227</v>
      </c>
      <c r="E1092" s="111">
        <v>1.0</v>
      </c>
      <c r="F1092" s="111">
        <v>0.2143</v>
      </c>
      <c r="G1092" s="111">
        <v>0.115</v>
      </c>
      <c r="H1092" s="117"/>
      <c r="I1092" s="112">
        <f t="shared" si="1"/>
        <v>0.8634782609</v>
      </c>
      <c r="J1092" s="82">
        <f t="shared" si="2"/>
        <v>0.5366308913</v>
      </c>
    </row>
    <row r="1093">
      <c r="A1093" s="101">
        <v>44704.0</v>
      </c>
      <c r="B1093" s="111">
        <v>2354.0</v>
      </c>
      <c r="C1093" s="111">
        <v>2.0</v>
      </c>
      <c r="D1093" s="110" t="s">
        <v>228</v>
      </c>
      <c r="E1093" s="111">
        <v>1.0</v>
      </c>
      <c r="F1093" s="111">
        <v>1.7053</v>
      </c>
      <c r="G1093" s="111">
        <v>1.018</v>
      </c>
      <c r="H1093" s="117"/>
      <c r="I1093" s="112">
        <f t="shared" si="1"/>
        <v>0.6751473477</v>
      </c>
      <c r="J1093" s="82">
        <f t="shared" si="2"/>
        <v>0.5969624113</v>
      </c>
    </row>
    <row r="1094">
      <c r="A1094" s="101">
        <v>44704.0</v>
      </c>
      <c r="B1094" s="111">
        <v>2354.0</v>
      </c>
      <c r="C1094" s="111">
        <v>2.0</v>
      </c>
      <c r="D1094" s="110" t="s">
        <v>227</v>
      </c>
      <c r="E1094" s="111">
        <v>1.0</v>
      </c>
      <c r="F1094" s="111">
        <v>0.3005</v>
      </c>
      <c r="G1094" s="111">
        <v>0.163</v>
      </c>
      <c r="H1094" s="117"/>
      <c r="I1094" s="112">
        <f t="shared" si="1"/>
        <v>0.8435582822</v>
      </c>
      <c r="J1094" s="82">
        <f t="shared" si="2"/>
        <v>0.5424292845</v>
      </c>
    </row>
    <row r="1095">
      <c r="A1095" s="101">
        <v>44704.0</v>
      </c>
      <c r="B1095" s="111">
        <v>2354.0</v>
      </c>
      <c r="C1095" s="111">
        <v>3.0</v>
      </c>
      <c r="D1095" s="110" t="s">
        <v>228</v>
      </c>
      <c r="E1095" s="111">
        <v>1.0</v>
      </c>
      <c r="F1095" s="111">
        <v>1.9796</v>
      </c>
      <c r="G1095" s="111">
        <v>1.2084</v>
      </c>
      <c r="H1095" s="117"/>
      <c r="I1095" s="112">
        <f t="shared" si="1"/>
        <v>0.6381992718</v>
      </c>
      <c r="J1095" s="82">
        <f t="shared" si="2"/>
        <v>0.6104263488</v>
      </c>
    </row>
    <row r="1096">
      <c r="A1096" s="101">
        <v>44704.0</v>
      </c>
      <c r="B1096" s="111">
        <v>2354.0</v>
      </c>
      <c r="C1096" s="111">
        <v>3.0</v>
      </c>
      <c r="D1096" s="110" t="s">
        <v>227</v>
      </c>
      <c r="E1096" s="111">
        <v>1.0</v>
      </c>
      <c r="F1096" s="111">
        <v>0.3161</v>
      </c>
      <c r="G1096" s="111">
        <v>0.1715</v>
      </c>
      <c r="H1096" s="117"/>
      <c r="I1096" s="112">
        <f t="shared" si="1"/>
        <v>0.843148688</v>
      </c>
      <c r="J1096" s="82">
        <f t="shared" si="2"/>
        <v>0.542549826</v>
      </c>
    </row>
    <row r="1097">
      <c r="A1097" s="101">
        <v>44704.0</v>
      </c>
      <c r="B1097" s="111">
        <v>2360.0</v>
      </c>
      <c r="C1097" s="111">
        <v>1.0</v>
      </c>
      <c r="D1097" s="110" t="s">
        <v>227</v>
      </c>
      <c r="E1097" s="111">
        <v>1.0</v>
      </c>
      <c r="F1097" s="111">
        <v>0.1567</v>
      </c>
      <c r="G1097" s="111">
        <v>0.081</v>
      </c>
      <c r="H1097" s="117"/>
      <c r="I1097" s="112">
        <f t="shared" si="1"/>
        <v>0.9345679012</v>
      </c>
      <c r="J1097" s="82">
        <f t="shared" si="2"/>
        <v>0.5169112955</v>
      </c>
    </row>
    <row r="1098">
      <c r="A1098" s="101">
        <v>44704.0</v>
      </c>
      <c r="B1098" s="111">
        <v>2360.0</v>
      </c>
      <c r="C1098" s="111">
        <v>1.0</v>
      </c>
      <c r="D1098" s="110" t="s">
        <v>228</v>
      </c>
      <c r="E1098" s="111">
        <v>0.0</v>
      </c>
      <c r="F1098" s="111">
        <v>0.9726</v>
      </c>
      <c r="G1098" s="111">
        <v>0.497</v>
      </c>
      <c r="H1098" s="117"/>
      <c r="I1098" s="112">
        <f t="shared" si="1"/>
        <v>0.9569416499</v>
      </c>
      <c r="J1098" s="82">
        <f t="shared" si="2"/>
        <v>0.5110014394</v>
      </c>
    </row>
    <row r="1099">
      <c r="A1099" s="101">
        <v>44704.0</v>
      </c>
      <c r="B1099" s="111">
        <v>2360.0</v>
      </c>
      <c r="C1099" s="111">
        <v>1.0</v>
      </c>
      <c r="D1099" s="110" t="s">
        <v>227</v>
      </c>
      <c r="E1099" s="111">
        <v>0.0</v>
      </c>
      <c r="F1099" s="111">
        <v>0.1708</v>
      </c>
      <c r="G1099" s="111">
        <v>0.083</v>
      </c>
      <c r="H1099" s="117"/>
      <c r="I1099" s="112">
        <f t="shared" si="1"/>
        <v>1.057831325</v>
      </c>
      <c r="J1099" s="82">
        <f t="shared" si="2"/>
        <v>0.4859484778</v>
      </c>
    </row>
    <row r="1100">
      <c r="A1100" s="101">
        <v>44704.0</v>
      </c>
      <c r="B1100" s="111">
        <v>2360.0</v>
      </c>
      <c r="C1100" s="111">
        <v>2.0</v>
      </c>
      <c r="D1100" s="110" t="s">
        <v>227</v>
      </c>
      <c r="E1100" s="111">
        <v>1.0</v>
      </c>
      <c r="F1100" s="111">
        <v>0.3965</v>
      </c>
      <c r="G1100" s="111">
        <v>0.1971</v>
      </c>
      <c r="H1100" s="117"/>
      <c r="I1100" s="112">
        <f t="shared" si="1"/>
        <v>1.011669203</v>
      </c>
      <c r="J1100" s="82">
        <f t="shared" si="2"/>
        <v>0.4970996217</v>
      </c>
    </row>
    <row r="1101">
      <c r="A1101" s="101">
        <v>44704.0</v>
      </c>
      <c r="B1101" s="111">
        <v>2360.0</v>
      </c>
      <c r="C1101" s="111">
        <v>2.0</v>
      </c>
      <c r="D1101" s="110" t="s">
        <v>227</v>
      </c>
      <c r="E1101" s="111">
        <v>0.0</v>
      </c>
      <c r="F1101" s="111">
        <v>0.2129</v>
      </c>
      <c r="G1101" s="111">
        <v>0.105</v>
      </c>
      <c r="H1101" s="117"/>
      <c r="I1101" s="112">
        <f t="shared" si="1"/>
        <v>1.027619048</v>
      </c>
      <c r="J1101" s="82">
        <f t="shared" si="2"/>
        <v>0.4931892907</v>
      </c>
    </row>
    <row r="1102">
      <c r="A1102" s="101">
        <v>44704.0</v>
      </c>
      <c r="B1102" s="111">
        <v>2360.0</v>
      </c>
      <c r="C1102" s="111">
        <v>2.0</v>
      </c>
      <c r="D1102" s="110" t="s">
        <v>228</v>
      </c>
      <c r="E1102" s="111">
        <v>0.0</v>
      </c>
      <c r="F1102" s="111">
        <v>2.0733</v>
      </c>
      <c r="G1102" s="111">
        <v>1.0037</v>
      </c>
      <c r="H1102" s="117"/>
      <c r="I1102" s="112">
        <f t="shared" si="1"/>
        <v>1.065657069</v>
      </c>
      <c r="J1102" s="82">
        <f t="shared" si="2"/>
        <v>0.4841074615</v>
      </c>
    </row>
    <row r="1103">
      <c r="A1103" s="101">
        <v>44704.0</v>
      </c>
      <c r="B1103" s="111">
        <v>2360.0</v>
      </c>
      <c r="C1103" s="111">
        <v>3.0</v>
      </c>
      <c r="D1103" s="110" t="s">
        <v>227</v>
      </c>
      <c r="E1103" s="111">
        <v>0.0</v>
      </c>
      <c r="F1103" s="111">
        <v>0.3085</v>
      </c>
      <c r="G1103" s="111">
        <v>0.161</v>
      </c>
      <c r="H1103" s="117"/>
      <c r="I1103" s="112">
        <f t="shared" si="1"/>
        <v>0.9161490683</v>
      </c>
      <c r="J1103" s="82">
        <f t="shared" si="2"/>
        <v>0.5218800648</v>
      </c>
    </row>
    <row r="1104">
      <c r="A1104" s="101">
        <v>44704.0</v>
      </c>
      <c r="B1104" s="111">
        <v>2360.0</v>
      </c>
      <c r="C1104" s="111">
        <v>3.0</v>
      </c>
      <c r="D1104" s="110" t="s">
        <v>228</v>
      </c>
      <c r="E1104" s="111">
        <v>0.0</v>
      </c>
      <c r="F1104" s="111">
        <v>2.0829</v>
      </c>
      <c r="G1104" s="111">
        <v>1.067</v>
      </c>
      <c r="H1104" s="117"/>
      <c r="I1104" s="112">
        <f t="shared" si="1"/>
        <v>0.952108716</v>
      </c>
      <c r="J1104" s="82">
        <f t="shared" si="2"/>
        <v>0.5122665514</v>
      </c>
    </row>
    <row r="1105">
      <c r="A1105" s="101">
        <v>44704.0</v>
      </c>
      <c r="B1105" s="111">
        <v>2360.0</v>
      </c>
      <c r="C1105" s="111">
        <v>3.0</v>
      </c>
      <c r="D1105" s="110" t="s">
        <v>227</v>
      </c>
      <c r="E1105" s="111">
        <v>1.0</v>
      </c>
      <c r="F1105" s="111">
        <v>0.3059</v>
      </c>
      <c r="G1105" s="111">
        <v>0.152</v>
      </c>
      <c r="H1105" s="117"/>
      <c r="I1105" s="112">
        <f t="shared" si="1"/>
        <v>1.0125</v>
      </c>
      <c r="J1105" s="82">
        <f t="shared" si="2"/>
        <v>0.4968944099</v>
      </c>
    </row>
    <row r="1106">
      <c r="A1106" s="101">
        <v>44704.0</v>
      </c>
      <c r="B1106" s="111">
        <v>2365.0</v>
      </c>
      <c r="C1106" s="111">
        <v>1.0</v>
      </c>
      <c r="D1106" s="110" t="s">
        <v>227</v>
      </c>
      <c r="E1106" s="111">
        <v>1.0</v>
      </c>
      <c r="F1106" s="111">
        <v>0.4458</v>
      </c>
      <c r="G1106" s="111">
        <v>0.238</v>
      </c>
      <c r="H1106" s="117"/>
      <c r="I1106" s="112">
        <f t="shared" si="1"/>
        <v>0.8731092437</v>
      </c>
      <c r="J1106" s="82">
        <f t="shared" si="2"/>
        <v>0.5338716913</v>
      </c>
    </row>
    <row r="1107">
      <c r="A1107" s="101">
        <v>44704.0</v>
      </c>
      <c r="B1107" s="111">
        <v>2365.0</v>
      </c>
      <c r="C1107" s="111">
        <v>1.0</v>
      </c>
      <c r="D1107" s="110" t="s">
        <v>227</v>
      </c>
      <c r="E1107" s="111">
        <v>0.0</v>
      </c>
      <c r="F1107" s="111">
        <v>0.0782</v>
      </c>
      <c r="G1107" s="111">
        <v>0.04</v>
      </c>
      <c r="H1107" s="117"/>
      <c r="I1107" s="112">
        <f t="shared" si="1"/>
        <v>0.955</v>
      </c>
      <c r="J1107" s="82">
        <f t="shared" si="2"/>
        <v>0.5115089514</v>
      </c>
    </row>
    <row r="1108">
      <c r="A1108" s="101">
        <v>44704.0</v>
      </c>
      <c r="B1108" s="111">
        <v>2365.0</v>
      </c>
      <c r="C1108" s="111">
        <v>1.0</v>
      </c>
      <c r="D1108" s="110" t="s">
        <v>228</v>
      </c>
      <c r="E1108" s="111">
        <v>0.0</v>
      </c>
      <c r="F1108" s="111">
        <v>0.8296</v>
      </c>
      <c r="G1108" s="111">
        <v>0.421</v>
      </c>
      <c r="H1108" s="117"/>
      <c r="I1108" s="112">
        <f t="shared" si="1"/>
        <v>0.9705463183</v>
      </c>
      <c r="J1108" s="82">
        <f t="shared" si="2"/>
        <v>0.5074734812</v>
      </c>
    </row>
    <row r="1109">
      <c r="A1109" s="101">
        <v>44704.0</v>
      </c>
      <c r="B1109" s="111">
        <v>2365.0</v>
      </c>
      <c r="C1109" s="111">
        <v>2.0</v>
      </c>
      <c r="D1109" s="110" t="s">
        <v>227</v>
      </c>
      <c r="E1109" s="111">
        <v>1.0</v>
      </c>
      <c r="F1109" s="111">
        <v>0.3289</v>
      </c>
      <c r="G1109" s="111">
        <v>0.173</v>
      </c>
      <c r="H1109" s="117"/>
      <c r="I1109" s="112">
        <f t="shared" si="1"/>
        <v>0.9011560694</v>
      </c>
      <c r="J1109" s="82">
        <f t="shared" si="2"/>
        <v>0.5259957434</v>
      </c>
    </row>
    <row r="1110">
      <c r="A1110" s="101">
        <v>44704.0</v>
      </c>
      <c r="B1110" s="111">
        <v>2365.0</v>
      </c>
      <c r="C1110" s="111">
        <v>2.0</v>
      </c>
      <c r="D1110" s="110" t="s">
        <v>228</v>
      </c>
      <c r="E1110" s="111">
        <v>0.0</v>
      </c>
      <c r="F1110" s="111">
        <v>0.8668</v>
      </c>
      <c r="G1110" s="111">
        <v>0.439</v>
      </c>
      <c r="H1110" s="117"/>
      <c r="I1110" s="112">
        <f t="shared" si="1"/>
        <v>0.9744874715</v>
      </c>
      <c r="J1110" s="82">
        <f t="shared" si="2"/>
        <v>0.5064605445</v>
      </c>
    </row>
    <row r="1111">
      <c r="A1111" s="101">
        <v>44704.0</v>
      </c>
      <c r="B1111" s="111">
        <v>2365.0</v>
      </c>
      <c r="C1111" s="111">
        <v>2.0</v>
      </c>
      <c r="D1111" s="110" t="s">
        <v>227</v>
      </c>
      <c r="E1111" s="111">
        <v>1.0</v>
      </c>
      <c r="F1111" s="111">
        <v>0.0951</v>
      </c>
      <c r="G1111" s="111">
        <v>0.046</v>
      </c>
      <c r="H1111" s="117"/>
      <c r="I1111" s="112">
        <f t="shared" si="1"/>
        <v>1.067391304</v>
      </c>
      <c r="J1111" s="82">
        <f t="shared" si="2"/>
        <v>0.483701367</v>
      </c>
    </row>
    <row r="1112">
      <c r="A1112" s="101">
        <v>44704.0</v>
      </c>
      <c r="B1112" s="111">
        <v>2365.0</v>
      </c>
      <c r="C1112" s="111">
        <v>3.0</v>
      </c>
      <c r="D1112" s="110" t="s">
        <v>227</v>
      </c>
      <c r="E1112" s="111">
        <v>1.0</v>
      </c>
      <c r="F1112" s="111">
        <v>0.4345</v>
      </c>
      <c r="G1112" s="111">
        <v>0.235</v>
      </c>
      <c r="H1112" s="117"/>
      <c r="I1112" s="112">
        <f t="shared" si="1"/>
        <v>0.8489361702</v>
      </c>
      <c r="J1112" s="82">
        <f t="shared" si="2"/>
        <v>0.5408515535</v>
      </c>
    </row>
    <row r="1113">
      <c r="A1113" s="101">
        <v>44704.0</v>
      </c>
      <c r="B1113" s="111">
        <v>2365.0</v>
      </c>
      <c r="C1113" s="111">
        <v>3.0</v>
      </c>
      <c r="D1113" s="110" t="s">
        <v>228</v>
      </c>
      <c r="E1113" s="111">
        <v>0.0</v>
      </c>
      <c r="F1113" s="111">
        <v>0.7149</v>
      </c>
      <c r="G1113" s="111">
        <v>0.363</v>
      </c>
      <c r="H1113" s="117"/>
      <c r="I1113" s="112">
        <f t="shared" si="1"/>
        <v>0.9694214876</v>
      </c>
      <c r="J1113" s="82">
        <f t="shared" si="2"/>
        <v>0.5077633235</v>
      </c>
    </row>
    <row r="1114">
      <c r="A1114" s="101">
        <v>44704.0</v>
      </c>
      <c r="B1114" s="111">
        <v>2365.0</v>
      </c>
      <c r="C1114" s="111">
        <v>3.0</v>
      </c>
      <c r="D1114" s="110" t="s">
        <v>227</v>
      </c>
      <c r="E1114" s="111">
        <v>0.0</v>
      </c>
      <c r="F1114" s="111">
        <v>0.0519</v>
      </c>
      <c r="G1114" s="111">
        <v>0.025</v>
      </c>
      <c r="H1114" s="117"/>
      <c r="I1114" s="112">
        <f t="shared" si="1"/>
        <v>1.076</v>
      </c>
      <c r="J1114" s="82">
        <f t="shared" si="2"/>
        <v>0.4816955684</v>
      </c>
    </row>
    <row r="1115">
      <c r="A1115" s="101">
        <v>44704.0</v>
      </c>
      <c r="B1115" s="111">
        <v>2367.0</v>
      </c>
      <c r="C1115" s="111">
        <v>1.0</v>
      </c>
      <c r="D1115" s="110" t="s">
        <v>227</v>
      </c>
      <c r="E1115" s="111">
        <v>1.0</v>
      </c>
      <c r="F1115" s="111">
        <v>0.3452</v>
      </c>
      <c r="G1115" s="111">
        <v>0.178</v>
      </c>
      <c r="H1115" s="117"/>
      <c r="I1115" s="112">
        <f t="shared" si="1"/>
        <v>0.9393258427</v>
      </c>
      <c r="J1115" s="82">
        <f t="shared" si="2"/>
        <v>0.5156431054</v>
      </c>
    </row>
    <row r="1116">
      <c r="A1116" s="101">
        <v>44704.0</v>
      </c>
      <c r="B1116" s="111">
        <v>2367.0</v>
      </c>
      <c r="C1116" s="111">
        <v>1.0</v>
      </c>
      <c r="D1116" s="110" t="s">
        <v>228</v>
      </c>
      <c r="E1116" s="111">
        <v>0.0</v>
      </c>
      <c r="F1116" s="111">
        <v>0.5783</v>
      </c>
      <c r="G1116" s="111">
        <v>0.298</v>
      </c>
      <c r="H1116" s="117"/>
      <c r="I1116" s="112">
        <f t="shared" si="1"/>
        <v>0.9406040268</v>
      </c>
      <c r="J1116" s="82">
        <f t="shared" si="2"/>
        <v>0.5153034757</v>
      </c>
    </row>
    <row r="1117">
      <c r="A1117" s="101">
        <v>44704.0</v>
      </c>
      <c r="B1117" s="111">
        <v>2367.0</v>
      </c>
      <c r="C1117" s="111">
        <v>1.0</v>
      </c>
      <c r="D1117" s="110" t="s">
        <v>227</v>
      </c>
      <c r="E1117" s="111">
        <v>0.0</v>
      </c>
      <c r="F1117" s="111">
        <v>0.074</v>
      </c>
      <c r="G1117" s="111">
        <v>0.037</v>
      </c>
      <c r="H1117" s="117"/>
      <c r="I1117" s="112">
        <f t="shared" si="1"/>
        <v>1</v>
      </c>
      <c r="J1117" s="82">
        <f t="shared" si="2"/>
        <v>0.5</v>
      </c>
    </row>
    <row r="1118">
      <c r="A1118" s="101">
        <v>44704.0</v>
      </c>
      <c r="B1118" s="111">
        <v>2367.0</v>
      </c>
      <c r="C1118" s="111">
        <v>3.0</v>
      </c>
      <c r="D1118" s="110" t="s">
        <v>227</v>
      </c>
      <c r="E1118" s="111">
        <v>1.0</v>
      </c>
      <c r="F1118" s="111">
        <v>0.0898</v>
      </c>
      <c r="G1118" s="111">
        <v>0.047</v>
      </c>
      <c r="H1118" s="117"/>
      <c r="I1118" s="112">
        <f t="shared" si="1"/>
        <v>0.9106382979</v>
      </c>
      <c r="J1118" s="82">
        <f t="shared" si="2"/>
        <v>0.5233853007</v>
      </c>
    </row>
    <row r="1119">
      <c r="A1119" s="101">
        <v>44704.0</v>
      </c>
      <c r="B1119" s="111">
        <v>2367.0</v>
      </c>
      <c r="C1119" s="111">
        <v>3.0</v>
      </c>
      <c r="D1119" s="110" t="s">
        <v>228</v>
      </c>
      <c r="E1119" s="111">
        <v>0.0</v>
      </c>
      <c r="F1119" s="111">
        <v>0.8929</v>
      </c>
      <c r="G1119" s="111">
        <v>0.449</v>
      </c>
      <c r="H1119" s="117"/>
      <c r="I1119" s="112">
        <f t="shared" si="1"/>
        <v>0.9886414254</v>
      </c>
      <c r="J1119" s="82">
        <f t="shared" si="2"/>
        <v>0.5028558629</v>
      </c>
    </row>
    <row r="1120">
      <c r="A1120" s="101">
        <v>44704.0</v>
      </c>
      <c r="B1120" s="111">
        <v>2367.0</v>
      </c>
      <c r="C1120" s="111">
        <v>3.0</v>
      </c>
      <c r="D1120" s="110" t="s">
        <v>227</v>
      </c>
      <c r="E1120" s="111">
        <v>0.0</v>
      </c>
      <c r="F1120" s="111">
        <v>0.1401</v>
      </c>
      <c r="G1120" s="111">
        <v>0.07</v>
      </c>
      <c r="H1120" s="117"/>
      <c r="I1120" s="112">
        <f t="shared" si="1"/>
        <v>1.001428571</v>
      </c>
      <c r="J1120" s="82">
        <f t="shared" si="2"/>
        <v>0.4996431121</v>
      </c>
    </row>
    <row r="1121">
      <c r="A1121" s="101">
        <v>44704.0</v>
      </c>
      <c r="B1121" s="111">
        <v>2376.0</v>
      </c>
      <c r="C1121" s="111">
        <v>1.0</v>
      </c>
      <c r="D1121" s="110" t="s">
        <v>228</v>
      </c>
      <c r="E1121" s="111">
        <v>1.0</v>
      </c>
      <c r="F1121" s="111">
        <v>0.7558</v>
      </c>
      <c r="G1121" s="111">
        <v>0.44</v>
      </c>
      <c r="H1121" s="117"/>
      <c r="I1121" s="112">
        <f t="shared" si="1"/>
        <v>0.7177272727</v>
      </c>
      <c r="J1121" s="82">
        <f t="shared" si="2"/>
        <v>0.5821645938</v>
      </c>
    </row>
    <row r="1122">
      <c r="A1122" s="101">
        <v>44704.0</v>
      </c>
      <c r="B1122" s="111">
        <v>2376.0</v>
      </c>
      <c r="C1122" s="111">
        <v>1.0</v>
      </c>
      <c r="D1122" s="110" t="s">
        <v>227</v>
      </c>
      <c r="E1122" s="111">
        <v>1.0</v>
      </c>
      <c r="F1122" s="111">
        <v>0.0943</v>
      </c>
      <c r="G1122" s="111">
        <v>0.05</v>
      </c>
      <c r="H1122" s="117"/>
      <c r="I1122" s="112">
        <f t="shared" si="1"/>
        <v>0.886</v>
      </c>
      <c r="J1122" s="82">
        <f t="shared" si="2"/>
        <v>0.5302226935</v>
      </c>
    </row>
    <row r="1123">
      <c r="A1123" s="101">
        <v>44704.0</v>
      </c>
      <c r="B1123" s="111">
        <v>2376.0</v>
      </c>
      <c r="C1123" s="111">
        <v>2.0</v>
      </c>
      <c r="D1123" s="110" t="s">
        <v>228</v>
      </c>
      <c r="E1123" s="111">
        <v>1.0</v>
      </c>
      <c r="F1123" s="111">
        <v>2.2443</v>
      </c>
      <c r="G1123" s="111">
        <v>1.331</v>
      </c>
      <c r="H1123" s="117"/>
      <c r="I1123" s="112">
        <f t="shared" si="1"/>
        <v>0.6861758077</v>
      </c>
      <c r="J1123" s="82">
        <f t="shared" si="2"/>
        <v>0.5930579691</v>
      </c>
    </row>
    <row r="1124">
      <c r="A1124" s="101">
        <v>44704.0</v>
      </c>
      <c r="B1124" s="111">
        <v>2376.0</v>
      </c>
      <c r="C1124" s="111">
        <v>2.0</v>
      </c>
      <c r="D1124" s="110" t="s">
        <v>227</v>
      </c>
      <c r="E1124" s="111">
        <v>1.0</v>
      </c>
      <c r="F1124" s="111">
        <v>0.6257</v>
      </c>
      <c r="G1124" s="111">
        <v>0.3493</v>
      </c>
      <c r="H1124" s="117"/>
      <c r="I1124" s="112">
        <f t="shared" si="1"/>
        <v>0.7912968795</v>
      </c>
      <c r="J1124" s="82">
        <f t="shared" si="2"/>
        <v>0.5582547547</v>
      </c>
    </row>
    <row r="1125">
      <c r="A1125" s="101">
        <v>44704.0</v>
      </c>
      <c r="B1125" s="111">
        <v>2376.0</v>
      </c>
      <c r="C1125" s="111">
        <v>3.0</v>
      </c>
      <c r="D1125" s="110" t="s">
        <v>228</v>
      </c>
      <c r="E1125" s="111">
        <v>1.0</v>
      </c>
      <c r="F1125" s="111">
        <v>2.2485</v>
      </c>
      <c r="G1125" s="111">
        <v>1.378</v>
      </c>
      <c r="H1125" s="117"/>
      <c r="I1125" s="112">
        <f t="shared" si="1"/>
        <v>0.631712627</v>
      </c>
      <c r="J1125" s="82">
        <f t="shared" si="2"/>
        <v>0.6128530131</v>
      </c>
    </row>
    <row r="1126">
      <c r="A1126" s="101">
        <v>44704.0</v>
      </c>
      <c r="B1126" s="111">
        <v>2376.0</v>
      </c>
      <c r="C1126" s="111">
        <v>3.0</v>
      </c>
      <c r="D1126" s="110" t="s">
        <v>227</v>
      </c>
      <c r="E1126" s="111">
        <v>1.0</v>
      </c>
      <c r="F1126" s="111">
        <v>0.5868</v>
      </c>
      <c r="G1126" s="111">
        <v>0.317</v>
      </c>
      <c r="H1126" s="117"/>
      <c r="I1126" s="112">
        <f t="shared" si="1"/>
        <v>0.8511041009</v>
      </c>
      <c r="J1126" s="82">
        <f t="shared" si="2"/>
        <v>0.5402181322</v>
      </c>
    </row>
    <row r="1127">
      <c r="A1127" s="101">
        <v>44704.0</v>
      </c>
      <c r="B1127" s="111">
        <v>2377.0</v>
      </c>
      <c r="C1127" s="111">
        <v>1.0</v>
      </c>
      <c r="D1127" s="110" t="s">
        <v>228</v>
      </c>
      <c r="E1127" s="111">
        <v>1.0</v>
      </c>
      <c r="F1127" s="111">
        <v>2.956</v>
      </c>
      <c r="G1127" s="111">
        <v>1.739</v>
      </c>
      <c r="H1127" s="117"/>
      <c r="I1127" s="112">
        <f t="shared" si="1"/>
        <v>0.6998274871</v>
      </c>
      <c r="J1127" s="82">
        <f t="shared" si="2"/>
        <v>0.5882949932</v>
      </c>
    </row>
    <row r="1128">
      <c r="A1128" s="101">
        <v>44704.0</v>
      </c>
      <c r="B1128" s="111">
        <v>2377.0</v>
      </c>
      <c r="C1128" s="111">
        <v>1.0</v>
      </c>
      <c r="D1128" s="110" t="s">
        <v>227</v>
      </c>
      <c r="E1128" s="111">
        <v>1.0</v>
      </c>
      <c r="F1128" s="111">
        <v>0.7641</v>
      </c>
      <c r="G1128" s="111">
        <v>0.386</v>
      </c>
      <c r="H1128" s="117"/>
      <c r="I1128" s="112">
        <f t="shared" si="1"/>
        <v>0.9795336788</v>
      </c>
      <c r="J1128" s="82">
        <f t="shared" si="2"/>
        <v>0.5051694804</v>
      </c>
    </row>
    <row r="1129">
      <c r="A1129" s="101">
        <v>44704.0</v>
      </c>
      <c r="B1129" s="111">
        <v>2377.0</v>
      </c>
      <c r="C1129" s="111">
        <v>2.0</v>
      </c>
      <c r="D1129" s="110" t="s">
        <v>228</v>
      </c>
      <c r="E1129" s="111">
        <v>1.0</v>
      </c>
      <c r="F1129" s="111">
        <v>0.4562</v>
      </c>
      <c r="G1129" s="111">
        <v>0.272</v>
      </c>
      <c r="H1129" s="117"/>
      <c r="I1129" s="112">
        <f t="shared" si="1"/>
        <v>0.6772058824</v>
      </c>
      <c r="J1129" s="82">
        <f t="shared" si="2"/>
        <v>0.5962297238</v>
      </c>
    </row>
    <row r="1130">
      <c r="A1130" s="101">
        <v>44704.0</v>
      </c>
      <c r="B1130" s="111">
        <v>2377.0</v>
      </c>
      <c r="C1130" s="111">
        <v>2.0</v>
      </c>
      <c r="D1130" s="110" t="s">
        <v>227</v>
      </c>
      <c r="E1130" s="111">
        <v>1.0</v>
      </c>
      <c r="F1130" s="111">
        <v>0.223</v>
      </c>
      <c r="G1130" s="111">
        <v>0.113</v>
      </c>
      <c r="H1130" s="117"/>
      <c r="I1130" s="112">
        <f t="shared" si="1"/>
        <v>0.9734513274</v>
      </c>
      <c r="J1130" s="82">
        <f t="shared" si="2"/>
        <v>0.5067264574</v>
      </c>
    </row>
    <row r="1131">
      <c r="A1131" s="101">
        <v>44704.0</v>
      </c>
      <c r="B1131" s="111">
        <v>2377.0</v>
      </c>
      <c r="C1131" s="111">
        <v>2.0</v>
      </c>
      <c r="D1131" s="110" t="s">
        <v>227</v>
      </c>
      <c r="E1131" s="111">
        <v>0.0</v>
      </c>
      <c r="F1131" s="111">
        <v>0.0656</v>
      </c>
      <c r="G1131" s="111">
        <v>0.029</v>
      </c>
      <c r="H1131" s="117"/>
      <c r="I1131" s="112">
        <f t="shared" si="1"/>
        <v>1.262068966</v>
      </c>
      <c r="J1131" s="82">
        <f t="shared" si="2"/>
        <v>0.4420731707</v>
      </c>
    </row>
    <row r="1132">
      <c r="A1132" s="101">
        <v>44704.0</v>
      </c>
      <c r="B1132" s="111">
        <v>2377.0</v>
      </c>
      <c r="C1132" s="111">
        <v>3.0</v>
      </c>
      <c r="D1132" s="110" t="s">
        <v>228</v>
      </c>
      <c r="E1132" s="111">
        <v>1.0</v>
      </c>
      <c r="F1132" s="111">
        <v>1.0138</v>
      </c>
      <c r="G1132" s="111">
        <v>0.605</v>
      </c>
      <c r="H1132" s="117"/>
      <c r="I1132" s="112">
        <f t="shared" si="1"/>
        <v>0.6757024793</v>
      </c>
      <c r="J1132" s="82">
        <f t="shared" si="2"/>
        <v>0.5967646479</v>
      </c>
    </row>
    <row r="1133">
      <c r="A1133" s="101">
        <v>44704.0</v>
      </c>
      <c r="B1133" s="111">
        <v>2377.0</v>
      </c>
      <c r="C1133" s="111">
        <v>3.0</v>
      </c>
      <c r="D1133" s="110" t="s">
        <v>227</v>
      </c>
      <c r="E1133" s="111">
        <v>1.0</v>
      </c>
      <c r="F1133" s="111">
        <v>0.2161</v>
      </c>
      <c r="G1133" s="111">
        <v>0.115</v>
      </c>
      <c r="H1133" s="117"/>
      <c r="I1133" s="112">
        <f t="shared" si="1"/>
        <v>0.8791304348</v>
      </c>
      <c r="J1133" s="82">
        <f t="shared" si="2"/>
        <v>0.5321610366</v>
      </c>
    </row>
    <row r="1134">
      <c r="A1134" s="101">
        <v>44704.0</v>
      </c>
      <c r="B1134" s="111">
        <v>2380.0</v>
      </c>
      <c r="C1134" s="111">
        <v>3.0</v>
      </c>
      <c r="D1134" s="110" t="s">
        <v>227</v>
      </c>
      <c r="E1134" s="111">
        <v>0.0</v>
      </c>
      <c r="F1134" s="111">
        <v>0.2337</v>
      </c>
      <c r="G1134" s="111">
        <v>0.131</v>
      </c>
      <c r="H1134" s="117"/>
      <c r="I1134" s="112">
        <f t="shared" si="1"/>
        <v>0.7839694656</v>
      </c>
      <c r="J1134" s="82">
        <f t="shared" si="2"/>
        <v>0.5605477107</v>
      </c>
    </row>
    <row r="1135">
      <c r="A1135" s="101">
        <v>44704.0</v>
      </c>
      <c r="B1135" s="111">
        <v>2384.0</v>
      </c>
      <c r="C1135" s="111">
        <v>1.0</v>
      </c>
      <c r="D1135" s="110" t="s">
        <v>227</v>
      </c>
      <c r="E1135" s="111">
        <v>1.0</v>
      </c>
      <c r="F1135" s="111">
        <v>0.2038</v>
      </c>
      <c r="G1135" s="111">
        <v>0.1116</v>
      </c>
      <c r="H1135" s="117"/>
      <c r="I1135" s="112">
        <f t="shared" si="1"/>
        <v>0.8261648746</v>
      </c>
      <c r="J1135" s="82">
        <f t="shared" si="2"/>
        <v>0.547595682</v>
      </c>
    </row>
    <row r="1136">
      <c r="A1136" s="101">
        <v>44704.0</v>
      </c>
      <c r="B1136" s="111">
        <v>2384.0</v>
      </c>
      <c r="C1136" s="111">
        <v>1.0</v>
      </c>
      <c r="D1136" s="110" t="s">
        <v>228</v>
      </c>
      <c r="E1136" s="111">
        <v>0.0</v>
      </c>
      <c r="F1136" s="111">
        <v>1.0302</v>
      </c>
      <c r="G1136" s="111">
        <v>0.562</v>
      </c>
      <c r="H1136" s="117"/>
      <c r="I1136" s="112">
        <f t="shared" si="1"/>
        <v>0.8330960854</v>
      </c>
      <c r="J1136" s="82">
        <f t="shared" si="2"/>
        <v>0.5455251407</v>
      </c>
    </row>
    <row r="1137">
      <c r="A1137" s="101">
        <v>44704.0</v>
      </c>
      <c r="B1137" s="111">
        <v>2384.0</v>
      </c>
      <c r="C1137" s="111">
        <v>1.0</v>
      </c>
      <c r="D1137" s="110" t="s">
        <v>227</v>
      </c>
      <c r="E1137" s="111">
        <v>0.0</v>
      </c>
      <c r="F1137" s="111">
        <v>0.0857</v>
      </c>
      <c r="G1137" s="111">
        <v>0.0433</v>
      </c>
      <c r="H1137" s="117"/>
      <c r="I1137" s="112">
        <f t="shared" si="1"/>
        <v>0.9792147806</v>
      </c>
      <c r="J1137" s="82">
        <f t="shared" si="2"/>
        <v>0.5052508751</v>
      </c>
    </row>
    <row r="1138">
      <c r="A1138" s="101">
        <v>44704.0</v>
      </c>
      <c r="B1138" s="111">
        <v>2384.0</v>
      </c>
      <c r="C1138" s="111">
        <v>2.0</v>
      </c>
      <c r="D1138" s="110" t="s">
        <v>227</v>
      </c>
      <c r="E1138" s="111">
        <v>1.0</v>
      </c>
      <c r="F1138" s="111">
        <v>0.297</v>
      </c>
      <c r="G1138" s="111">
        <v>0.1642</v>
      </c>
      <c r="H1138" s="117"/>
      <c r="I1138" s="112">
        <f t="shared" si="1"/>
        <v>0.8087697929</v>
      </c>
      <c r="J1138" s="82">
        <f t="shared" si="2"/>
        <v>0.5528619529</v>
      </c>
    </row>
    <row r="1139">
      <c r="A1139" s="101">
        <v>44704.0</v>
      </c>
      <c r="B1139" s="111">
        <v>2384.0</v>
      </c>
      <c r="C1139" s="111">
        <v>2.0</v>
      </c>
      <c r="D1139" s="110" t="s">
        <v>228</v>
      </c>
      <c r="E1139" s="111">
        <v>0.0</v>
      </c>
      <c r="F1139" s="111">
        <v>0.9488</v>
      </c>
      <c r="G1139" s="111">
        <v>0.5214</v>
      </c>
      <c r="H1139" s="117"/>
      <c r="I1139" s="112">
        <f t="shared" si="1"/>
        <v>0.8197161488</v>
      </c>
      <c r="J1139" s="82">
        <f t="shared" si="2"/>
        <v>0.5495362563</v>
      </c>
    </row>
    <row r="1140">
      <c r="A1140" s="101">
        <v>44704.0</v>
      </c>
      <c r="B1140" s="111">
        <v>2384.0</v>
      </c>
      <c r="C1140" s="111">
        <v>2.0</v>
      </c>
      <c r="D1140" s="110" t="s">
        <v>227</v>
      </c>
      <c r="E1140" s="111">
        <v>0.0</v>
      </c>
      <c r="F1140" s="111">
        <v>0.1419</v>
      </c>
      <c r="G1140" s="111">
        <v>0.0728</v>
      </c>
      <c r="H1140" s="117"/>
      <c r="I1140" s="112">
        <f t="shared" si="1"/>
        <v>0.9491758242</v>
      </c>
      <c r="J1140" s="82">
        <f t="shared" si="2"/>
        <v>0.5130373502</v>
      </c>
    </row>
    <row r="1141">
      <c r="A1141" s="101">
        <v>44704.0</v>
      </c>
      <c r="B1141" s="111">
        <v>2384.0</v>
      </c>
      <c r="C1141" s="111">
        <v>3.0</v>
      </c>
      <c r="D1141" s="110" t="s">
        <v>228</v>
      </c>
      <c r="E1141" s="111">
        <v>0.0</v>
      </c>
      <c r="F1141" s="111">
        <v>0.5175</v>
      </c>
      <c r="G1141" s="111">
        <v>0.27</v>
      </c>
      <c r="H1141" s="117"/>
      <c r="I1141" s="112">
        <f t="shared" si="1"/>
        <v>0.9166666667</v>
      </c>
      <c r="J1141" s="82">
        <f t="shared" si="2"/>
        <v>0.5217391304</v>
      </c>
    </row>
    <row r="1142">
      <c r="A1142" s="101">
        <v>44704.0</v>
      </c>
      <c r="B1142" s="111">
        <v>2384.0</v>
      </c>
      <c r="C1142" s="111">
        <v>3.0</v>
      </c>
      <c r="D1142" s="110" t="s">
        <v>227</v>
      </c>
      <c r="E1142" s="111">
        <v>1.0</v>
      </c>
      <c r="F1142" s="111">
        <v>0.1037</v>
      </c>
      <c r="G1142" s="111">
        <v>0.054</v>
      </c>
      <c r="H1142" s="117"/>
      <c r="I1142" s="112">
        <f t="shared" si="1"/>
        <v>0.9203703704</v>
      </c>
      <c r="J1142" s="82">
        <f t="shared" si="2"/>
        <v>0.5207328833</v>
      </c>
    </row>
    <row r="1143">
      <c r="A1143" s="101">
        <v>44704.0</v>
      </c>
      <c r="B1143" s="111">
        <v>2384.0</v>
      </c>
      <c r="C1143" s="111">
        <v>3.0</v>
      </c>
      <c r="D1143" s="110" t="s">
        <v>227</v>
      </c>
      <c r="E1143" s="111">
        <v>0.0</v>
      </c>
      <c r="F1143" s="111">
        <v>0.046</v>
      </c>
      <c r="G1143" s="111">
        <v>0.021</v>
      </c>
      <c r="H1143" s="117"/>
      <c r="I1143" s="112">
        <f t="shared" si="1"/>
        <v>1.19047619</v>
      </c>
      <c r="J1143" s="82">
        <f t="shared" si="2"/>
        <v>0.4565217391</v>
      </c>
    </row>
    <row r="1144">
      <c r="A1144" s="101">
        <v>44705.0</v>
      </c>
      <c r="B1144" s="111">
        <v>2022.0</v>
      </c>
      <c r="C1144" s="111">
        <v>1.0</v>
      </c>
      <c r="D1144" s="110" t="s">
        <v>227</v>
      </c>
      <c r="E1144" s="111">
        <v>1.0</v>
      </c>
      <c r="F1144" s="111">
        <v>2.9333</v>
      </c>
      <c r="G1144" s="111">
        <v>0.488</v>
      </c>
      <c r="H1144" s="117"/>
      <c r="I1144" s="112">
        <f t="shared" si="1"/>
        <v>5.010860656</v>
      </c>
      <c r="J1144" s="82">
        <f t="shared" si="2"/>
        <v>0.1663655269</v>
      </c>
      <c r="K1144" s="66">
        <v>1.0</v>
      </c>
    </row>
    <row r="1145">
      <c r="A1145" s="101">
        <v>44706.0</v>
      </c>
      <c r="B1145" s="111">
        <v>2009.0</v>
      </c>
      <c r="C1145" s="111">
        <v>1.0</v>
      </c>
      <c r="D1145" s="110" t="s">
        <v>227</v>
      </c>
      <c r="E1145" s="111">
        <v>1.0</v>
      </c>
      <c r="F1145" s="111">
        <v>0.4376</v>
      </c>
      <c r="G1145" s="111">
        <v>0.225</v>
      </c>
      <c r="H1145" s="110" t="s">
        <v>277</v>
      </c>
      <c r="I1145" s="112">
        <f t="shared" si="1"/>
        <v>0.9448888889</v>
      </c>
      <c r="J1145" s="82">
        <f t="shared" si="2"/>
        <v>0.5141681901</v>
      </c>
    </row>
    <row r="1146">
      <c r="A1146" s="101">
        <v>44706.0</v>
      </c>
      <c r="B1146" s="111">
        <v>2009.0</v>
      </c>
      <c r="C1146" s="111">
        <v>1.0</v>
      </c>
      <c r="D1146" s="110" t="s">
        <v>228</v>
      </c>
      <c r="E1146" s="111">
        <v>0.0</v>
      </c>
      <c r="F1146" s="111">
        <v>1.8566</v>
      </c>
      <c r="G1146" s="111">
        <v>0.9365</v>
      </c>
      <c r="H1146" s="110" t="s">
        <v>277</v>
      </c>
      <c r="I1146" s="112">
        <f t="shared" si="1"/>
        <v>0.9824879872</v>
      </c>
      <c r="J1146" s="82">
        <f t="shared" si="2"/>
        <v>0.5044166756</v>
      </c>
    </row>
    <row r="1147">
      <c r="A1147" s="101">
        <v>44706.0</v>
      </c>
      <c r="B1147" s="111">
        <v>2009.0</v>
      </c>
      <c r="C1147" s="111">
        <v>1.0</v>
      </c>
      <c r="D1147" s="110" t="s">
        <v>227</v>
      </c>
      <c r="E1147" s="111">
        <v>0.0</v>
      </c>
      <c r="F1147" s="111">
        <v>0.244</v>
      </c>
      <c r="G1147" s="111">
        <v>0.108</v>
      </c>
      <c r="H1147" s="110" t="s">
        <v>277</v>
      </c>
      <c r="I1147" s="112">
        <f t="shared" si="1"/>
        <v>1.259259259</v>
      </c>
      <c r="J1147" s="82">
        <f t="shared" si="2"/>
        <v>0.4426229508</v>
      </c>
    </row>
    <row r="1148">
      <c r="A1148" s="101">
        <v>44706.0</v>
      </c>
      <c r="B1148" s="111">
        <v>2009.0</v>
      </c>
      <c r="C1148" s="111">
        <v>2.0</v>
      </c>
      <c r="D1148" s="110" t="s">
        <v>227</v>
      </c>
      <c r="E1148" s="111">
        <v>1.0</v>
      </c>
      <c r="F1148" s="111">
        <v>0.2682</v>
      </c>
      <c r="G1148" s="111">
        <v>0.138</v>
      </c>
      <c r="H1148" s="110" t="s">
        <v>277</v>
      </c>
      <c r="I1148" s="112">
        <f t="shared" si="1"/>
        <v>0.9434782609</v>
      </c>
      <c r="J1148" s="82">
        <f t="shared" si="2"/>
        <v>0.514541387</v>
      </c>
    </row>
    <row r="1149">
      <c r="A1149" s="101">
        <v>44706.0</v>
      </c>
      <c r="B1149" s="111">
        <v>2009.0</v>
      </c>
      <c r="C1149" s="111">
        <v>2.0</v>
      </c>
      <c r="D1149" s="110" t="s">
        <v>228</v>
      </c>
      <c r="E1149" s="111">
        <v>0.0</v>
      </c>
      <c r="F1149" s="111">
        <v>0.7977</v>
      </c>
      <c r="G1149" s="111">
        <v>0.409</v>
      </c>
      <c r="H1149" s="110" t="s">
        <v>277</v>
      </c>
      <c r="I1149" s="112">
        <f t="shared" si="1"/>
        <v>0.9503667482</v>
      </c>
      <c r="J1149" s="82">
        <f t="shared" si="2"/>
        <v>0.5127240817</v>
      </c>
    </row>
    <row r="1150">
      <c r="A1150" s="101">
        <v>44706.0</v>
      </c>
      <c r="B1150" s="111">
        <v>2009.0</v>
      </c>
      <c r="C1150" s="111">
        <v>2.0</v>
      </c>
      <c r="D1150" s="110" t="s">
        <v>227</v>
      </c>
      <c r="E1150" s="111">
        <v>0.0</v>
      </c>
      <c r="F1150" s="111">
        <v>0.088</v>
      </c>
      <c r="G1150" s="111">
        <v>0.038</v>
      </c>
      <c r="H1150" s="110" t="s">
        <v>277</v>
      </c>
      <c r="I1150" s="112">
        <f t="shared" si="1"/>
        <v>1.315789474</v>
      </c>
      <c r="J1150" s="82">
        <f t="shared" si="2"/>
        <v>0.4318181818</v>
      </c>
    </row>
    <row r="1151">
      <c r="A1151" s="101">
        <v>44706.0</v>
      </c>
      <c r="B1151" s="111">
        <v>2009.0</v>
      </c>
      <c r="C1151" s="111">
        <v>3.0</v>
      </c>
      <c r="D1151" s="110" t="s">
        <v>227</v>
      </c>
      <c r="E1151" s="111">
        <v>1.0</v>
      </c>
      <c r="F1151" s="111">
        <v>0.2641</v>
      </c>
      <c r="G1151" s="111">
        <v>0.131</v>
      </c>
      <c r="H1151" s="110" t="s">
        <v>277</v>
      </c>
      <c r="I1151" s="112">
        <f t="shared" si="1"/>
        <v>1.016030534</v>
      </c>
      <c r="J1151" s="82">
        <f t="shared" si="2"/>
        <v>0.4960242332</v>
      </c>
    </row>
    <row r="1152">
      <c r="A1152" s="101">
        <v>44706.0</v>
      </c>
      <c r="B1152" s="111">
        <v>2009.0</v>
      </c>
      <c r="C1152" s="111">
        <v>3.0</v>
      </c>
      <c r="D1152" s="110" t="s">
        <v>228</v>
      </c>
      <c r="E1152" s="111">
        <v>0.0</v>
      </c>
      <c r="F1152" s="111">
        <v>0.544</v>
      </c>
      <c r="G1152" s="111">
        <v>0.257</v>
      </c>
      <c r="H1152" s="110" t="s">
        <v>277</v>
      </c>
      <c r="I1152" s="112">
        <f t="shared" si="1"/>
        <v>1.116731518</v>
      </c>
      <c r="J1152" s="82">
        <f t="shared" si="2"/>
        <v>0.4724264706</v>
      </c>
    </row>
    <row r="1153">
      <c r="A1153" s="101">
        <v>44706.0</v>
      </c>
      <c r="B1153" s="111">
        <v>2009.0</v>
      </c>
      <c r="C1153" s="111">
        <v>3.0</v>
      </c>
      <c r="D1153" s="110" t="s">
        <v>227</v>
      </c>
      <c r="E1153" s="111">
        <v>0.0</v>
      </c>
      <c r="F1153" s="111">
        <v>0.0422</v>
      </c>
      <c r="G1153" s="111">
        <v>0.018</v>
      </c>
      <c r="H1153" s="110" t="s">
        <v>277</v>
      </c>
      <c r="I1153" s="112">
        <f t="shared" si="1"/>
        <v>1.344444444</v>
      </c>
      <c r="J1153" s="82">
        <f t="shared" si="2"/>
        <v>0.4265402844</v>
      </c>
    </row>
    <row r="1154">
      <c r="A1154" s="101">
        <v>44706.0</v>
      </c>
      <c r="B1154" s="111">
        <v>2010.0</v>
      </c>
      <c r="C1154" s="111">
        <v>1.0</v>
      </c>
      <c r="D1154" s="110" t="s">
        <v>227</v>
      </c>
      <c r="E1154" s="111">
        <v>1.0</v>
      </c>
      <c r="F1154" s="111">
        <v>0.3172</v>
      </c>
      <c r="G1154" s="111">
        <v>0.162</v>
      </c>
      <c r="H1154" s="110" t="s">
        <v>277</v>
      </c>
      <c r="I1154" s="112">
        <f t="shared" si="1"/>
        <v>0.9580246914</v>
      </c>
      <c r="J1154" s="82">
        <f t="shared" si="2"/>
        <v>0.5107187894</v>
      </c>
    </row>
    <row r="1155">
      <c r="A1155" s="101">
        <v>44706.0</v>
      </c>
      <c r="B1155" s="111">
        <v>2010.0</v>
      </c>
      <c r="C1155" s="111">
        <v>1.0</v>
      </c>
      <c r="D1155" s="110" t="s">
        <v>228</v>
      </c>
      <c r="E1155" s="111">
        <v>0.0</v>
      </c>
      <c r="F1155" s="111">
        <v>0.825</v>
      </c>
      <c r="G1155" s="111">
        <v>0.381</v>
      </c>
      <c r="H1155" s="110" t="s">
        <v>277</v>
      </c>
      <c r="I1155" s="112">
        <f t="shared" si="1"/>
        <v>1.165354331</v>
      </c>
      <c r="J1155" s="82">
        <f t="shared" si="2"/>
        <v>0.4618181818</v>
      </c>
    </row>
    <row r="1156">
      <c r="A1156" s="101">
        <v>44706.0</v>
      </c>
      <c r="B1156" s="111">
        <v>2010.0</v>
      </c>
      <c r="C1156" s="111">
        <v>1.0</v>
      </c>
      <c r="D1156" s="110" t="s">
        <v>227</v>
      </c>
      <c r="E1156" s="111">
        <v>0.0</v>
      </c>
      <c r="F1156" s="111">
        <v>0.0868</v>
      </c>
      <c r="G1156" s="111">
        <v>0.037</v>
      </c>
      <c r="H1156" s="110" t="s">
        <v>277</v>
      </c>
      <c r="I1156" s="112">
        <f t="shared" si="1"/>
        <v>1.345945946</v>
      </c>
      <c r="J1156" s="82">
        <f t="shared" si="2"/>
        <v>0.4262672811</v>
      </c>
    </row>
    <row r="1157">
      <c r="A1157" s="101">
        <v>44706.0</v>
      </c>
      <c r="B1157" s="111">
        <v>2010.0</v>
      </c>
      <c r="C1157" s="111">
        <v>2.0</v>
      </c>
      <c r="D1157" s="110" t="s">
        <v>227</v>
      </c>
      <c r="E1157" s="111">
        <v>1.0</v>
      </c>
      <c r="F1157" s="111">
        <v>0.7125</v>
      </c>
      <c r="G1157" s="111">
        <v>0.362</v>
      </c>
      <c r="H1157" s="110" t="s">
        <v>277</v>
      </c>
      <c r="I1157" s="112">
        <f t="shared" si="1"/>
        <v>0.9682320442</v>
      </c>
      <c r="J1157" s="82">
        <f t="shared" si="2"/>
        <v>0.5080701754</v>
      </c>
    </row>
    <row r="1158">
      <c r="A1158" s="101">
        <v>44706.0</v>
      </c>
      <c r="B1158" s="111">
        <v>2010.0</v>
      </c>
      <c r="C1158" s="111">
        <v>2.0</v>
      </c>
      <c r="D1158" s="110" t="s">
        <v>228</v>
      </c>
      <c r="E1158" s="111">
        <v>0.0</v>
      </c>
      <c r="F1158" s="111">
        <v>2.0912</v>
      </c>
      <c r="G1158" s="111">
        <v>1.0621</v>
      </c>
      <c r="H1158" s="110" t="s">
        <v>277</v>
      </c>
      <c r="I1158" s="112">
        <f t="shared" si="1"/>
        <v>0.9689294793</v>
      </c>
      <c r="J1158" s="82">
        <f t="shared" si="2"/>
        <v>0.5078902066</v>
      </c>
    </row>
    <row r="1159">
      <c r="A1159" s="101">
        <v>44706.0</v>
      </c>
      <c r="B1159" s="111">
        <v>2010.0</v>
      </c>
      <c r="C1159" s="111">
        <v>2.0</v>
      </c>
      <c r="D1159" s="110" t="s">
        <v>227</v>
      </c>
      <c r="E1159" s="111">
        <v>0.0</v>
      </c>
      <c r="F1159" s="111">
        <v>0.2682</v>
      </c>
      <c r="G1159" s="111">
        <v>0.121</v>
      </c>
      <c r="H1159" s="110" t="s">
        <v>277</v>
      </c>
      <c r="I1159" s="112">
        <f t="shared" si="1"/>
        <v>1.216528926</v>
      </c>
      <c r="J1159" s="82">
        <f t="shared" si="2"/>
        <v>0.4511558538</v>
      </c>
    </row>
    <row r="1160">
      <c r="A1160" s="101">
        <v>44706.0</v>
      </c>
      <c r="B1160" s="111">
        <v>2010.0</v>
      </c>
      <c r="C1160" s="111">
        <v>3.0</v>
      </c>
      <c r="D1160" s="110" t="s">
        <v>227</v>
      </c>
      <c r="E1160" s="111">
        <v>1.0</v>
      </c>
      <c r="F1160" s="111">
        <v>0.6782</v>
      </c>
      <c r="G1160" s="111">
        <v>0.358</v>
      </c>
      <c r="H1160" s="110" t="s">
        <v>277</v>
      </c>
      <c r="I1160" s="112">
        <f t="shared" si="1"/>
        <v>0.8944134078</v>
      </c>
      <c r="J1160" s="82">
        <f t="shared" si="2"/>
        <v>0.5278678856</v>
      </c>
    </row>
    <row r="1161">
      <c r="A1161" s="101">
        <v>44706.0</v>
      </c>
      <c r="B1161" s="111">
        <v>2010.0</v>
      </c>
      <c r="C1161" s="111">
        <v>3.0</v>
      </c>
      <c r="D1161" s="110" t="s">
        <v>228</v>
      </c>
      <c r="E1161" s="111">
        <v>0.0</v>
      </c>
      <c r="F1161" s="111">
        <v>2.3777</v>
      </c>
      <c r="G1161" s="111">
        <v>1.222</v>
      </c>
      <c r="H1161" s="110" t="s">
        <v>277</v>
      </c>
      <c r="I1161" s="112">
        <f t="shared" si="1"/>
        <v>0.9457446809</v>
      </c>
      <c r="J1161" s="82">
        <f t="shared" si="2"/>
        <v>0.5139420448</v>
      </c>
    </row>
    <row r="1162">
      <c r="A1162" s="101">
        <v>44706.0</v>
      </c>
      <c r="B1162" s="111">
        <v>2010.0</v>
      </c>
      <c r="C1162" s="111">
        <v>3.0</v>
      </c>
      <c r="D1162" s="110" t="s">
        <v>227</v>
      </c>
      <c r="E1162" s="111">
        <v>0.0</v>
      </c>
      <c r="F1162" s="111">
        <v>0.3614</v>
      </c>
      <c r="G1162" s="111">
        <v>0.165</v>
      </c>
      <c r="H1162" s="110" t="s">
        <v>277</v>
      </c>
      <c r="I1162" s="112">
        <f t="shared" si="1"/>
        <v>1.19030303</v>
      </c>
      <c r="J1162" s="82">
        <f t="shared" si="2"/>
        <v>0.4565578307</v>
      </c>
    </row>
    <row r="1163">
      <c r="A1163" s="101">
        <v>44706.0</v>
      </c>
      <c r="B1163" s="111">
        <v>2011.0</v>
      </c>
      <c r="C1163" s="111">
        <v>1.0</v>
      </c>
      <c r="D1163" s="110" t="s">
        <v>228</v>
      </c>
      <c r="E1163" s="111">
        <v>0.0</v>
      </c>
      <c r="F1163" s="111">
        <v>1.12</v>
      </c>
      <c r="G1163" s="111">
        <v>0.594</v>
      </c>
      <c r="H1163" s="110" t="s">
        <v>277</v>
      </c>
      <c r="I1163" s="112">
        <f t="shared" si="1"/>
        <v>0.8855218855</v>
      </c>
      <c r="J1163" s="82">
        <f t="shared" si="2"/>
        <v>0.5303571429</v>
      </c>
    </row>
    <row r="1164">
      <c r="A1164" s="101">
        <v>44706.0</v>
      </c>
      <c r="B1164" s="111">
        <v>2011.0</v>
      </c>
      <c r="C1164" s="111">
        <v>1.0</v>
      </c>
      <c r="D1164" s="110" t="s">
        <v>227</v>
      </c>
      <c r="E1164" s="111">
        <v>1.0</v>
      </c>
      <c r="F1164" s="111">
        <v>0.5181</v>
      </c>
      <c r="G1164" s="111">
        <v>0.269</v>
      </c>
      <c r="H1164" s="110" t="s">
        <v>277</v>
      </c>
      <c r="I1164" s="112">
        <f t="shared" si="1"/>
        <v>0.9260223048</v>
      </c>
      <c r="J1164" s="82">
        <f t="shared" si="2"/>
        <v>0.5192047867</v>
      </c>
    </row>
    <row r="1165">
      <c r="A1165" s="101">
        <v>44706.0</v>
      </c>
      <c r="B1165" s="111">
        <v>2011.0</v>
      </c>
      <c r="C1165" s="111">
        <v>1.0</v>
      </c>
      <c r="D1165" s="110" t="s">
        <v>227</v>
      </c>
      <c r="E1165" s="111">
        <v>0.0</v>
      </c>
      <c r="F1165" s="111">
        <v>0.1272</v>
      </c>
      <c r="G1165" s="111">
        <v>0.058</v>
      </c>
      <c r="H1165" s="110" t="s">
        <v>277</v>
      </c>
      <c r="I1165" s="112">
        <f t="shared" si="1"/>
        <v>1.193103448</v>
      </c>
      <c r="J1165" s="82">
        <f t="shared" si="2"/>
        <v>0.4559748428</v>
      </c>
    </row>
    <row r="1166">
      <c r="A1166" s="101">
        <v>44706.0</v>
      </c>
      <c r="B1166" s="111">
        <v>2011.0</v>
      </c>
      <c r="C1166" s="111">
        <v>2.0</v>
      </c>
      <c r="D1166" s="110" t="s">
        <v>228</v>
      </c>
      <c r="E1166" s="111">
        <v>0.0</v>
      </c>
      <c r="F1166" s="111">
        <v>0.5814</v>
      </c>
      <c r="G1166" s="111">
        <v>0.299</v>
      </c>
      <c r="H1166" s="110" t="s">
        <v>277</v>
      </c>
      <c r="I1166" s="112">
        <f t="shared" si="1"/>
        <v>0.9444816054</v>
      </c>
      <c r="J1166" s="82">
        <f t="shared" si="2"/>
        <v>0.5142758858</v>
      </c>
    </row>
    <row r="1167">
      <c r="A1167" s="101">
        <v>44706.0</v>
      </c>
      <c r="B1167" s="111">
        <v>2011.0</v>
      </c>
      <c r="C1167" s="111">
        <v>2.0</v>
      </c>
      <c r="D1167" s="110" t="s">
        <v>227</v>
      </c>
      <c r="E1167" s="111">
        <v>1.0</v>
      </c>
      <c r="F1167" s="111">
        <v>0.265</v>
      </c>
      <c r="G1167" s="111">
        <v>0.132</v>
      </c>
      <c r="H1167" s="110" t="s">
        <v>277</v>
      </c>
      <c r="I1167" s="112">
        <f t="shared" si="1"/>
        <v>1.007575758</v>
      </c>
      <c r="J1167" s="82">
        <f t="shared" si="2"/>
        <v>0.4981132075</v>
      </c>
    </row>
    <row r="1168">
      <c r="A1168" s="101">
        <v>44706.0</v>
      </c>
      <c r="B1168" s="111">
        <v>2011.0</v>
      </c>
      <c r="C1168" s="111">
        <v>2.0</v>
      </c>
      <c r="D1168" s="110" t="s">
        <v>227</v>
      </c>
      <c r="E1168" s="111">
        <v>0.0</v>
      </c>
      <c r="F1168" s="111">
        <v>0.0596</v>
      </c>
      <c r="G1168" s="111">
        <v>0.027</v>
      </c>
      <c r="H1168" s="110" t="s">
        <v>277</v>
      </c>
      <c r="I1168" s="112">
        <f t="shared" si="1"/>
        <v>1.207407407</v>
      </c>
      <c r="J1168" s="82">
        <f t="shared" si="2"/>
        <v>0.4530201342</v>
      </c>
    </row>
    <row r="1169">
      <c r="A1169" s="101">
        <v>44706.0</v>
      </c>
      <c r="B1169" s="111">
        <v>2011.0</v>
      </c>
      <c r="C1169" s="111">
        <v>3.0</v>
      </c>
      <c r="D1169" s="110" t="s">
        <v>228</v>
      </c>
      <c r="E1169" s="111">
        <v>0.0</v>
      </c>
      <c r="F1169" s="111">
        <v>0.781</v>
      </c>
      <c r="G1169" s="111">
        <v>0.402</v>
      </c>
      <c r="H1169" s="110" t="s">
        <v>277</v>
      </c>
      <c r="I1169" s="112">
        <f t="shared" si="1"/>
        <v>0.9427860697</v>
      </c>
      <c r="J1169" s="82">
        <f t="shared" si="2"/>
        <v>0.5147247119</v>
      </c>
    </row>
    <row r="1170">
      <c r="A1170" s="101">
        <v>44706.0</v>
      </c>
      <c r="B1170" s="111">
        <v>2011.0</v>
      </c>
      <c r="C1170" s="111">
        <v>3.0</v>
      </c>
      <c r="D1170" s="110" t="s">
        <v>227</v>
      </c>
      <c r="E1170" s="111">
        <v>1.0</v>
      </c>
      <c r="F1170" s="111">
        <v>0.5633</v>
      </c>
      <c r="G1170" s="111">
        <v>0.289</v>
      </c>
      <c r="H1170" s="110" t="s">
        <v>277</v>
      </c>
      <c r="I1170" s="112">
        <f t="shared" si="1"/>
        <v>0.9491349481</v>
      </c>
      <c r="J1170" s="82">
        <f t="shared" si="2"/>
        <v>0.5130481094</v>
      </c>
    </row>
    <row r="1171">
      <c r="A1171" s="101">
        <v>44706.0</v>
      </c>
      <c r="B1171" s="111">
        <v>2011.0</v>
      </c>
      <c r="C1171" s="111">
        <v>3.0</v>
      </c>
      <c r="D1171" s="110" t="s">
        <v>227</v>
      </c>
      <c r="E1171" s="111">
        <v>0.0</v>
      </c>
      <c r="F1171" s="111">
        <v>0.099</v>
      </c>
      <c r="G1171" s="111">
        <v>0.046</v>
      </c>
      <c r="H1171" s="110" t="s">
        <v>277</v>
      </c>
      <c r="I1171" s="112">
        <f t="shared" si="1"/>
        <v>1.152173913</v>
      </c>
      <c r="J1171" s="82">
        <f t="shared" si="2"/>
        <v>0.4646464646</v>
      </c>
    </row>
    <row r="1172">
      <c r="A1172" s="101">
        <v>44706.0</v>
      </c>
      <c r="B1172" s="111">
        <v>2020.0</v>
      </c>
      <c r="C1172" s="111">
        <v>1.0</v>
      </c>
      <c r="D1172" s="110" t="s">
        <v>227</v>
      </c>
      <c r="E1172" s="111">
        <v>1.0</v>
      </c>
      <c r="F1172" s="111">
        <v>0.1647</v>
      </c>
      <c r="G1172" s="111">
        <v>0.083</v>
      </c>
      <c r="H1172" s="110" t="s">
        <v>277</v>
      </c>
      <c r="I1172" s="112">
        <f t="shared" si="1"/>
        <v>0.9843373494</v>
      </c>
      <c r="J1172" s="82">
        <f t="shared" si="2"/>
        <v>0.5039465695</v>
      </c>
    </row>
    <row r="1173">
      <c r="A1173" s="101">
        <v>44706.0</v>
      </c>
      <c r="B1173" s="111">
        <v>2020.0</v>
      </c>
      <c r="C1173" s="111">
        <v>1.0</v>
      </c>
      <c r="D1173" s="110" t="s">
        <v>228</v>
      </c>
      <c r="E1173" s="111">
        <v>0.0</v>
      </c>
      <c r="F1173" s="111">
        <v>1.4926</v>
      </c>
      <c r="G1173" s="111">
        <v>0.736</v>
      </c>
      <c r="H1173" s="110" t="s">
        <v>277</v>
      </c>
      <c r="I1173" s="112">
        <f t="shared" si="1"/>
        <v>1.02798913</v>
      </c>
      <c r="J1173" s="82">
        <f t="shared" si="2"/>
        <v>0.4930992898</v>
      </c>
    </row>
    <row r="1174">
      <c r="A1174" s="101">
        <v>44706.0</v>
      </c>
      <c r="B1174" s="111">
        <v>2020.0</v>
      </c>
      <c r="C1174" s="111">
        <v>2.0</v>
      </c>
      <c r="D1174" s="110" t="s">
        <v>228</v>
      </c>
      <c r="E1174" s="111">
        <v>0.0</v>
      </c>
      <c r="F1174" s="111">
        <v>1.4272</v>
      </c>
      <c r="G1174" s="111">
        <v>0.718</v>
      </c>
      <c r="H1174" s="110" t="s">
        <v>277</v>
      </c>
      <c r="I1174" s="112">
        <f t="shared" si="1"/>
        <v>0.9877437326</v>
      </c>
      <c r="J1174" s="82">
        <f t="shared" si="2"/>
        <v>0.5030829596</v>
      </c>
    </row>
    <row r="1175">
      <c r="A1175" s="101">
        <v>44706.0</v>
      </c>
      <c r="B1175" s="111">
        <v>2020.0</v>
      </c>
      <c r="C1175" s="111">
        <v>2.0</v>
      </c>
      <c r="D1175" s="110" t="s">
        <v>227</v>
      </c>
      <c r="E1175" s="111">
        <v>1.0</v>
      </c>
      <c r="F1175" s="111">
        <v>0.3109</v>
      </c>
      <c r="G1175" s="111">
        <v>0.153</v>
      </c>
      <c r="H1175" s="110" t="s">
        <v>277</v>
      </c>
      <c r="I1175" s="112">
        <f t="shared" si="1"/>
        <v>1.032026144</v>
      </c>
      <c r="J1175" s="82">
        <f t="shared" si="2"/>
        <v>0.4921196526</v>
      </c>
    </row>
    <row r="1176">
      <c r="A1176" s="101">
        <v>44706.0</v>
      </c>
      <c r="B1176" s="111">
        <v>2020.0</v>
      </c>
      <c r="C1176" s="111">
        <v>2.0</v>
      </c>
      <c r="D1176" s="110" t="s">
        <v>227</v>
      </c>
      <c r="E1176" s="111">
        <v>0.0</v>
      </c>
      <c r="F1176" s="111">
        <v>0.1685</v>
      </c>
      <c r="G1176" s="111">
        <v>0.076</v>
      </c>
      <c r="H1176" s="110" t="s">
        <v>277</v>
      </c>
      <c r="I1176" s="112">
        <f t="shared" si="1"/>
        <v>1.217105263</v>
      </c>
      <c r="J1176" s="82">
        <f t="shared" si="2"/>
        <v>0.4510385757</v>
      </c>
    </row>
    <row r="1177">
      <c r="A1177" s="101">
        <v>44706.0</v>
      </c>
      <c r="B1177" s="111">
        <v>2020.0</v>
      </c>
      <c r="C1177" s="111">
        <v>3.0</v>
      </c>
      <c r="D1177" s="110" t="s">
        <v>228</v>
      </c>
      <c r="E1177" s="111">
        <v>0.0</v>
      </c>
      <c r="F1177" s="111">
        <v>0.6512</v>
      </c>
      <c r="G1177" s="111">
        <v>0.327</v>
      </c>
      <c r="H1177" s="110" t="s">
        <v>277</v>
      </c>
      <c r="I1177" s="112">
        <f t="shared" si="1"/>
        <v>0.9914373089</v>
      </c>
      <c r="J1177" s="82">
        <f t="shared" si="2"/>
        <v>0.5021498771</v>
      </c>
    </row>
    <row r="1178">
      <c r="A1178" s="101">
        <v>44706.0</v>
      </c>
      <c r="B1178" s="111">
        <v>2020.0</v>
      </c>
      <c r="C1178" s="111">
        <v>3.0</v>
      </c>
      <c r="D1178" s="110" t="s">
        <v>227</v>
      </c>
      <c r="E1178" s="111">
        <v>1.0</v>
      </c>
      <c r="F1178" s="111">
        <v>0.1504</v>
      </c>
      <c r="G1178" s="111">
        <v>0.075</v>
      </c>
      <c r="H1178" s="110" t="s">
        <v>277</v>
      </c>
      <c r="I1178" s="112">
        <f t="shared" si="1"/>
        <v>1.005333333</v>
      </c>
      <c r="J1178" s="82">
        <f t="shared" si="2"/>
        <v>0.4986702128</v>
      </c>
    </row>
    <row r="1179">
      <c r="A1179" s="101">
        <v>44706.0</v>
      </c>
      <c r="B1179" s="111">
        <v>2020.0</v>
      </c>
      <c r="C1179" s="111">
        <v>3.0</v>
      </c>
      <c r="D1179" s="110" t="s">
        <v>227</v>
      </c>
      <c r="E1179" s="111">
        <v>0.0</v>
      </c>
      <c r="F1179" s="111">
        <v>0.0629</v>
      </c>
      <c r="G1179" s="111">
        <v>0.028</v>
      </c>
      <c r="H1179" s="110" t="s">
        <v>277</v>
      </c>
      <c r="I1179" s="112">
        <f t="shared" si="1"/>
        <v>1.246428571</v>
      </c>
      <c r="J1179" s="82">
        <f t="shared" si="2"/>
        <v>0.4451510334</v>
      </c>
    </row>
    <row r="1180">
      <c r="A1180" s="101">
        <v>44706.0</v>
      </c>
      <c r="B1180" s="111">
        <v>2021.0</v>
      </c>
      <c r="C1180" s="111">
        <v>1.0</v>
      </c>
      <c r="D1180" s="110" t="s">
        <v>228</v>
      </c>
      <c r="E1180" s="111">
        <v>0.0</v>
      </c>
      <c r="F1180" s="111">
        <v>0.5694</v>
      </c>
      <c r="G1180" s="111">
        <v>0.307</v>
      </c>
      <c r="H1180" s="110" t="s">
        <v>277</v>
      </c>
      <c r="I1180" s="112">
        <f t="shared" si="1"/>
        <v>0.854723127</v>
      </c>
      <c r="J1180" s="82">
        <f t="shared" si="2"/>
        <v>0.5391640323</v>
      </c>
    </row>
    <row r="1181">
      <c r="A1181" s="101">
        <v>44706.0</v>
      </c>
      <c r="B1181" s="111">
        <v>2021.0</v>
      </c>
      <c r="C1181" s="111">
        <v>1.0</v>
      </c>
      <c r="D1181" s="110" t="s">
        <v>227</v>
      </c>
      <c r="E1181" s="111">
        <v>0.0</v>
      </c>
      <c r="F1181" s="111">
        <v>0.1382</v>
      </c>
      <c r="G1181" s="111">
        <v>0.062</v>
      </c>
      <c r="H1181" s="110" t="s">
        <v>277</v>
      </c>
      <c r="I1181" s="112">
        <f t="shared" si="1"/>
        <v>1.229032258</v>
      </c>
      <c r="J1181" s="82">
        <f t="shared" si="2"/>
        <v>0.4486251809</v>
      </c>
    </row>
    <row r="1182">
      <c r="A1182" s="101">
        <v>44706.0</v>
      </c>
      <c r="B1182" s="111">
        <v>2022.0</v>
      </c>
      <c r="C1182" s="111">
        <v>2.0</v>
      </c>
      <c r="D1182" s="110" t="s">
        <v>228</v>
      </c>
      <c r="E1182" s="111">
        <v>1.0</v>
      </c>
      <c r="F1182" s="111">
        <v>0.8538</v>
      </c>
      <c r="G1182" s="111">
        <v>0.539</v>
      </c>
      <c r="H1182" s="110" t="s">
        <v>277</v>
      </c>
      <c r="I1182" s="112">
        <f t="shared" si="1"/>
        <v>0.5840445269</v>
      </c>
      <c r="J1182" s="82">
        <f t="shared" si="2"/>
        <v>0.6312953853</v>
      </c>
    </row>
    <row r="1183">
      <c r="A1183" s="101">
        <v>44706.0</v>
      </c>
      <c r="B1183" s="111">
        <v>2023.0</v>
      </c>
      <c r="C1183" s="111">
        <v>1.0</v>
      </c>
      <c r="D1183" s="110" t="s">
        <v>228</v>
      </c>
      <c r="E1183" s="111">
        <v>1.0</v>
      </c>
      <c r="F1183" s="111">
        <v>0.7444</v>
      </c>
      <c r="G1183" s="111">
        <v>0.449</v>
      </c>
      <c r="H1183" s="110" t="s">
        <v>277</v>
      </c>
      <c r="I1183" s="112">
        <f t="shared" si="1"/>
        <v>0.6579064588</v>
      </c>
      <c r="J1183" s="82">
        <f t="shared" si="2"/>
        <v>0.6031703385</v>
      </c>
    </row>
    <row r="1184">
      <c r="A1184" s="101">
        <v>44706.0</v>
      </c>
      <c r="B1184" s="111">
        <v>2023.0</v>
      </c>
      <c r="C1184" s="111">
        <v>1.0</v>
      </c>
      <c r="D1184" s="110" t="s">
        <v>227</v>
      </c>
      <c r="E1184" s="111">
        <v>1.0</v>
      </c>
      <c r="F1184" s="111">
        <v>0.1415</v>
      </c>
      <c r="G1184" s="111">
        <v>0.079</v>
      </c>
      <c r="H1184" s="110" t="s">
        <v>277</v>
      </c>
      <c r="I1184" s="112">
        <f t="shared" si="1"/>
        <v>0.7911392405</v>
      </c>
      <c r="J1184" s="82">
        <f t="shared" si="2"/>
        <v>0.5583038869</v>
      </c>
    </row>
    <row r="1185">
      <c r="A1185" s="101">
        <v>44706.0</v>
      </c>
      <c r="B1185" s="111">
        <v>2023.0</v>
      </c>
      <c r="C1185" s="111">
        <v>1.0</v>
      </c>
      <c r="D1185" s="110" t="s">
        <v>228</v>
      </c>
      <c r="E1185" s="111">
        <v>0.0</v>
      </c>
      <c r="F1185" s="111">
        <v>0.5673</v>
      </c>
      <c r="G1185" s="111">
        <v>0.3151</v>
      </c>
      <c r="H1185" s="110" t="s">
        <v>277</v>
      </c>
      <c r="I1185" s="112">
        <f t="shared" si="1"/>
        <v>0.8003808315</v>
      </c>
      <c r="J1185" s="82">
        <f t="shared" si="2"/>
        <v>0.5554380398</v>
      </c>
    </row>
    <row r="1186">
      <c r="A1186" s="101">
        <v>44706.0</v>
      </c>
      <c r="B1186" s="111">
        <v>2023.0</v>
      </c>
      <c r="C1186" s="111">
        <v>1.0</v>
      </c>
      <c r="D1186" s="110" t="s">
        <v>227</v>
      </c>
      <c r="E1186" s="111">
        <v>0.0</v>
      </c>
      <c r="F1186" s="111">
        <v>0.1507</v>
      </c>
      <c r="G1186" s="111">
        <v>0.0772</v>
      </c>
      <c r="H1186" s="110" t="s">
        <v>277</v>
      </c>
      <c r="I1186" s="112">
        <f t="shared" si="1"/>
        <v>0.9520725389</v>
      </c>
      <c r="J1186" s="82">
        <f t="shared" si="2"/>
        <v>0.5122760451</v>
      </c>
    </row>
    <row r="1187">
      <c r="A1187" s="101">
        <v>44706.0</v>
      </c>
      <c r="B1187" s="111">
        <v>2023.0</v>
      </c>
      <c r="C1187" s="111">
        <v>2.0</v>
      </c>
      <c r="D1187" s="110" t="s">
        <v>228</v>
      </c>
      <c r="E1187" s="111">
        <v>0.0</v>
      </c>
      <c r="F1187" s="111">
        <v>0.1041</v>
      </c>
      <c r="G1187" s="111">
        <v>0.059</v>
      </c>
      <c r="H1187" s="110" t="s">
        <v>277</v>
      </c>
      <c r="I1187" s="112">
        <f t="shared" si="1"/>
        <v>0.7644067797</v>
      </c>
      <c r="J1187" s="82">
        <f t="shared" si="2"/>
        <v>0.5667627281</v>
      </c>
    </row>
    <row r="1188">
      <c r="A1188" s="101">
        <v>44706.0</v>
      </c>
      <c r="B1188" s="111">
        <v>2023.0</v>
      </c>
      <c r="C1188" s="111">
        <v>2.0</v>
      </c>
      <c r="D1188" s="110" t="s">
        <v>227</v>
      </c>
      <c r="E1188" s="111">
        <v>1.0</v>
      </c>
      <c r="F1188" s="111">
        <v>0.414</v>
      </c>
      <c r="G1188" s="111">
        <v>0.225</v>
      </c>
      <c r="H1188" s="110" t="s">
        <v>277</v>
      </c>
      <c r="I1188" s="112">
        <f t="shared" si="1"/>
        <v>0.84</v>
      </c>
      <c r="J1188" s="82">
        <f t="shared" si="2"/>
        <v>0.5434782609</v>
      </c>
    </row>
    <row r="1189">
      <c r="A1189" s="101">
        <v>44706.0</v>
      </c>
      <c r="B1189" s="111">
        <v>2023.0</v>
      </c>
      <c r="C1189" s="111">
        <v>3.0</v>
      </c>
      <c r="D1189" s="110" t="s">
        <v>228</v>
      </c>
      <c r="E1189" s="111">
        <v>1.0</v>
      </c>
      <c r="F1189" s="111">
        <v>1.996</v>
      </c>
      <c r="G1189" s="111">
        <v>1.23</v>
      </c>
      <c r="H1189" s="110" t="s">
        <v>277</v>
      </c>
      <c r="I1189" s="112">
        <f t="shared" si="1"/>
        <v>0.6227642276</v>
      </c>
      <c r="J1189" s="82">
        <f t="shared" si="2"/>
        <v>0.6162324649</v>
      </c>
    </row>
    <row r="1190">
      <c r="A1190" s="101">
        <v>44706.0</v>
      </c>
      <c r="B1190" s="111">
        <v>2023.0</v>
      </c>
      <c r="C1190" s="111">
        <v>3.0</v>
      </c>
      <c r="D1190" s="110" t="s">
        <v>227</v>
      </c>
      <c r="E1190" s="111">
        <v>1.0</v>
      </c>
      <c r="F1190" s="111">
        <v>0.2925</v>
      </c>
      <c r="G1190" s="111">
        <v>0.167</v>
      </c>
      <c r="H1190" s="110" t="s">
        <v>277</v>
      </c>
      <c r="I1190" s="112">
        <f t="shared" si="1"/>
        <v>0.751497006</v>
      </c>
      <c r="J1190" s="82">
        <f t="shared" si="2"/>
        <v>0.5709401709</v>
      </c>
    </row>
    <row r="1191">
      <c r="A1191" s="101">
        <v>44706.0</v>
      </c>
      <c r="B1191" s="111">
        <v>2024.0</v>
      </c>
      <c r="C1191" s="111">
        <v>1.0</v>
      </c>
      <c r="D1191" s="110" t="s">
        <v>227</v>
      </c>
      <c r="E1191" s="111">
        <v>1.0</v>
      </c>
      <c r="F1191" s="111">
        <v>0.0887</v>
      </c>
      <c r="G1191" s="111">
        <v>0.046</v>
      </c>
      <c r="H1191" s="110" t="s">
        <v>277</v>
      </c>
      <c r="I1191" s="112">
        <f t="shared" si="1"/>
        <v>0.9282608696</v>
      </c>
      <c r="J1191" s="82">
        <f t="shared" si="2"/>
        <v>0.5186020293</v>
      </c>
    </row>
    <row r="1192">
      <c r="A1192" s="101">
        <v>44706.0</v>
      </c>
      <c r="B1192" s="111">
        <v>2024.0</v>
      </c>
      <c r="C1192" s="111">
        <v>1.0</v>
      </c>
      <c r="D1192" s="110" t="s">
        <v>228</v>
      </c>
      <c r="E1192" s="111">
        <v>0.0</v>
      </c>
      <c r="F1192" s="111">
        <v>0.9308</v>
      </c>
      <c r="G1192" s="111">
        <v>0.463</v>
      </c>
      <c r="H1192" s="110" t="s">
        <v>277</v>
      </c>
      <c r="I1192" s="112">
        <f t="shared" si="1"/>
        <v>1.010367171</v>
      </c>
      <c r="J1192" s="82">
        <f t="shared" si="2"/>
        <v>0.4974215728</v>
      </c>
    </row>
    <row r="1193">
      <c r="A1193" s="101">
        <v>44706.0</v>
      </c>
      <c r="B1193" s="111">
        <v>2024.0</v>
      </c>
      <c r="C1193" s="111">
        <v>1.0</v>
      </c>
      <c r="D1193" s="110" t="s">
        <v>227</v>
      </c>
      <c r="E1193" s="111">
        <v>0.0</v>
      </c>
      <c r="F1193" s="111">
        <v>0.1073</v>
      </c>
      <c r="G1193" s="111">
        <v>0.052</v>
      </c>
      <c r="H1193" s="110" t="s">
        <v>277</v>
      </c>
      <c r="I1193" s="112">
        <f t="shared" si="1"/>
        <v>1.063461538</v>
      </c>
      <c r="J1193" s="82">
        <f t="shared" si="2"/>
        <v>0.4846225536</v>
      </c>
    </row>
    <row r="1194">
      <c r="A1194" s="101">
        <v>44706.0</v>
      </c>
      <c r="B1194" s="111">
        <v>2024.0</v>
      </c>
      <c r="C1194" s="111">
        <v>2.0</v>
      </c>
      <c r="D1194" s="110" t="s">
        <v>227</v>
      </c>
      <c r="E1194" s="111">
        <v>1.0</v>
      </c>
      <c r="F1194" s="111">
        <v>0.1616</v>
      </c>
      <c r="G1194" s="111">
        <v>0.083</v>
      </c>
      <c r="H1194" s="110" t="s">
        <v>277</v>
      </c>
      <c r="I1194" s="112">
        <f t="shared" si="1"/>
        <v>0.9469879518</v>
      </c>
      <c r="J1194" s="82">
        <f t="shared" si="2"/>
        <v>0.5136138614</v>
      </c>
    </row>
    <row r="1195">
      <c r="A1195" s="101">
        <v>44706.0</v>
      </c>
      <c r="B1195" s="111">
        <v>2024.0</v>
      </c>
      <c r="C1195" s="111">
        <v>2.0</v>
      </c>
      <c r="D1195" s="110" t="s">
        <v>228</v>
      </c>
      <c r="E1195" s="111">
        <v>0.0</v>
      </c>
      <c r="F1195" s="111">
        <v>1.2768</v>
      </c>
      <c r="G1195" s="111">
        <v>0.63</v>
      </c>
      <c r="H1195" s="110" t="s">
        <v>277</v>
      </c>
      <c r="I1195" s="112">
        <f t="shared" si="1"/>
        <v>1.026666667</v>
      </c>
      <c r="J1195" s="82">
        <f t="shared" si="2"/>
        <v>0.4934210526</v>
      </c>
    </row>
    <row r="1196">
      <c r="A1196" s="101">
        <v>44706.0</v>
      </c>
      <c r="B1196" s="111">
        <v>2024.0</v>
      </c>
      <c r="C1196" s="111">
        <v>3.0</v>
      </c>
      <c r="D1196" s="110" t="s">
        <v>227</v>
      </c>
      <c r="E1196" s="111">
        <v>1.0</v>
      </c>
      <c r="F1196" s="111">
        <v>0.1294</v>
      </c>
      <c r="G1196" s="111">
        <v>0.063</v>
      </c>
      <c r="H1196" s="110" t="s">
        <v>277</v>
      </c>
      <c r="I1196" s="112">
        <f t="shared" si="1"/>
        <v>1.053968254</v>
      </c>
      <c r="J1196" s="82">
        <f t="shared" si="2"/>
        <v>0.486862442</v>
      </c>
    </row>
    <row r="1197">
      <c r="A1197" s="101">
        <v>44706.0</v>
      </c>
      <c r="B1197" s="111">
        <v>2024.0</v>
      </c>
      <c r="C1197" s="111">
        <v>3.0</v>
      </c>
      <c r="D1197" s="110" t="s">
        <v>227</v>
      </c>
      <c r="E1197" s="111">
        <v>1.0</v>
      </c>
      <c r="F1197" s="111">
        <v>0.1294</v>
      </c>
      <c r="G1197" s="111">
        <v>0.063</v>
      </c>
      <c r="H1197" s="110" t="s">
        <v>277</v>
      </c>
      <c r="I1197" s="112">
        <f t="shared" si="1"/>
        <v>1.053968254</v>
      </c>
      <c r="J1197" s="82">
        <f t="shared" si="2"/>
        <v>0.486862442</v>
      </c>
    </row>
    <row r="1198">
      <c r="A1198" s="101">
        <v>44706.0</v>
      </c>
      <c r="B1198" s="111">
        <v>2024.0</v>
      </c>
      <c r="C1198" s="111">
        <v>3.0</v>
      </c>
      <c r="D1198" s="110" t="s">
        <v>228</v>
      </c>
      <c r="E1198" s="111">
        <v>0.0</v>
      </c>
      <c r="F1198" s="111">
        <v>0.711</v>
      </c>
      <c r="G1198" s="111">
        <v>0.341</v>
      </c>
      <c r="H1198" s="110" t="s">
        <v>277</v>
      </c>
      <c r="I1198" s="112">
        <f t="shared" si="1"/>
        <v>1.085043988</v>
      </c>
      <c r="J1198" s="82">
        <f t="shared" si="2"/>
        <v>0.4796061885</v>
      </c>
    </row>
    <row r="1199">
      <c r="A1199" s="101">
        <v>44706.0</v>
      </c>
      <c r="B1199" s="111">
        <v>2024.0</v>
      </c>
      <c r="C1199" s="111">
        <v>3.0</v>
      </c>
      <c r="D1199" s="110" t="s">
        <v>227</v>
      </c>
      <c r="E1199" s="111">
        <v>0.0</v>
      </c>
      <c r="F1199" s="111">
        <v>0.0976</v>
      </c>
      <c r="G1199" s="111">
        <v>0.0451</v>
      </c>
      <c r="H1199" s="110" t="s">
        <v>277</v>
      </c>
      <c r="I1199" s="112">
        <f t="shared" si="1"/>
        <v>1.164079823</v>
      </c>
      <c r="J1199" s="82">
        <f t="shared" si="2"/>
        <v>0.4620901639</v>
      </c>
    </row>
    <row r="1200">
      <c r="A1200" s="101">
        <v>44706.0</v>
      </c>
      <c r="B1200" s="111">
        <v>2025.0</v>
      </c>
      <c r="C1200" s="111">
        <v>1.0</v>
      </c>
      <c r="D1200" s="110" t="s">
        <v>227</v>
      </c>
      <c r="E1200" s="111">
        <v>1.0</v>
      </c>
      <c r="F1200" s="111">
        <v>0.3715</v>
      </c>
      <c r="G1200" s="111">
        <v>0.197</v>
      </c>
      <c r="H1200" s="110" t="s">
        <v>277</v>
      </c>
      <c r="I1200" s="112">
        <f t="shared" si="1"/>
        <v>0.885786802</v>
      </c>
      <c r="J1200" s="82">
        <f t="shared" si="2"/>
        <v>0.530282638</v>
      </c>
    </row>
    <row r="1201">
      <c r="A1201" s="101">
        <v>44706.0</v>
      </c>
      <c r="B1201" s="111">
        <v>2025.0</v>
      </c>
      <c r="C1201" s="111">
        <v>1.0</v>
      </c>
      <c r="D1201" s="110" t="s">
        <v>228</v>
      </c>
      <c r="E1201" s="111">
        <v>0.0</v>
      </c>
      <c r="F1201" s="111">
        <v>1.2606</v>
      </c>
      <c r="G1201" s="111">
        <v>0.655</v>
      </c>
      <c r="H1201" s="110" t="s">
        <v>277</v>
      </c>
      <c r="I1201" s="112">
        <f t="shared" si="1"/>
        <v>0.9245801527</v>
      </c>
      <c r="J1201" s="82">
        <f t="shared" si="2"/>
        <v>0.5195938442</v>
      </c>
    </row>
    <row r="1202">
      <c r="A1202" s="101">
        <v>44706.0</v>
      </c>
      <c r="B1202" s="111">
        <v>2025.0</v>
      </c>
      <c r="C1202" s="111">
        <v>1.0</v>
      </c>
      <c r="D1202" s="110" t="s">
        <v>227</v>
      </c>
      <c r="E1202" s="111">
        <v>0.0</v>
      </c>
      <c r="F1202" s="111">
        <v>0.4129</v>
      </c>
      <c r="G1202" s="111">
        <v>0.202</v>
      </c>
      <c r="H1202" s="110" t="s">
        <v>277</v>
      </c>
      <c r="I1202" s="112">
        <f t="shared" si="1"/>
        <v>1.044059406</v>
      </c>
      <c r="J1202" s="82">
        <f t="shared" si="2"/>
        <v>0.4892225721</v>
      </c>
    </row>
    <row r="1203">
      <c r="A1203" s="101">
        <v>44706.0</v>
      </c>
      <c r="B1203" s="111">
        <v>2025.0</v>
      </c>
      <c r="C1203" s="111">
        <v>2.0</v>
      </c>
      <c r="D1203" s="110" t="s">
        <v>227</v>
      </c>
      <c r="E1203" s="111">
        <v>1.0</v>
      </c>
      <c r="F1203" s="111">
        <v>0.6223</v>
      </c>
      <c r="G1203" s="111">
        <v>0.337</v>
      </c>
      <c r="H1203" s="110" t="s">
        <v>277</v>
      </c>
      <c r="I1203" s="112">
        <f t="shared" si="1"/>
        <v>0.8465875371</v>
      </c>
      <c r="J1203" s="82">
        <f t="shared" si="2"/>
        <v>0.5415394504</v>
      </c>
    </row>
    <row r="1204">
      <c r="A1204" s="101">
        <v>44706.0</v>
      </c>
      <c r="B1204" s="111">
        <v>2025.0</v>
      </c>
      <c r="C1204" s="111">
        <v>2.0</v>
      </c>
      <c r="D1204" s="110" t="s">
        <v>228</v>
      </c>
      <c r="E1204" s="111">
        <v>0.0</v>
      </c>
      <c r="F1204" s="111">
        <v>1.5927</v>
      </c>
      <c r="G1204" s="111">
        <v>0.811</v>
      </c>
      <c r="H1204" s="110" t="s">
        <v>277</v>
      </c>
      <c r="I1204" s="112">
        <f t="shared" si="1"/>
        <v>0.9638717633</v>
      </c>
      <c r="J1204" s="82">
        <f t="shared" si="2"/>
        <v>0.5091982169</v>
      </c>
    </row>
    <row r="1205">
      <c r="A1205" s="101">
        <v>44706.0</v>
      </c>
      <c r="B1205" s="111">
        <v>2025.0</v>
      </c>
      <c r="C1205" s="111">
        <v>2.0</v>
      </c>
      <c r="D1205" s="110" t="s">
        <v>227</v>
      </c>
      <c r="E1205" s="111">
        <v>0.0</v>
      </c>
      <c r="F1205" s="111">
        <v>0.2376</v>
      </c>
      <c r="G1205" s="111">
        <v>0.115</v>
      </c>
      <c r="H1205" s="110" t="s">
        <v>277</v>
      </c>
      <c r="I1205" s="112">
        <f t="shared" si="1"/>
        <v>1.066086957</v>
      </c>
      <c r="J1205" s="82">
        <f t="shared" si="2"/>
        <v>0.484006734</v>
      </c>
    </row>
    <row r="1206">
      <c r="A1206" s="101">
        <v>44706.0</v>
      </c>
      <c r="B1206" s="111">
        <v>2025.0</v>
      </c>
      <c r="C1206" s="111">
        <v>3.0</v>
      </c>
      <c r="D1206" s="110" t="s">
        <v>227</v>
      </c>
      <c r="E1206" s="111">
        <v>1.0</v>
      </c>
      <c r="F1206" s="111">
        <v>0.2304</v>
      </c>
      <c r="G1206" s="111">
        <v>0.12</v>
      </c>
      <c r="H1206" s="110" t="s">
        <v>277</v>
      </c>
      <c r="I1206" s="112">
        <f t="shared" si="1"/>
        <v>0.92</v>
      </c>
      <c r="J1206" s="82">
        <f t="shared" si="2"/>
        <v>0.5208333333</v>
      </c>
    </row>
    <row r="1207">
      <c r="A1207" s="101">
        <v>44706.0</v>
      </c>
      <c r="B1207" s="111">
        <v>2025.0</v>
      </c>
      <c r="C1207" s="111">
        <v>3.0</v>
      </c>
      <c r="D1207" s="110" t="s">
        <v>228</v>
      </c>
      <c r="E1207" s="111">
        <v>0.0</v>
      </c>
      <c r="F1207" s="111">
        <v>1.216</v>
      </c>
      <c r="G1207" s="111">
        <v>0.629</v>
      </c>
      <c r="H1207" s="110" t="s">
        <v>277</v>
      </c>
      <c r="I1207" s="112">
        <f t="shared" si="1"/>
        <v>0.933227345</v>
      </c>
      <c r="J1207" s="82">
        <f t="shared" si="2"/>
        <v>0.5172697368</v>
      </c>
    </row>
    <row r="1208">
      <c r="A1208" s="101">
        <v>44706.0</v>
      </c>
      <c r="B1208" s="111">
        <v>2025.0</v>
      </c>
      <c r="C1208" s="111">
        <v>3.0</v>
      </c>
      <c r="D1208" s="110" t="s">
        <v>227</v>
      </c>
      <c r="E1208" s="111">
        <v>0.0</v>
      </c>
      <c r="F1208" s="111">
        <v>0.2456</v>
      </c>
      <c r="G1208" s="111">
        <v>0.121</v>
      </c>
      <c r="H1208" s="110" t="s">
        <v>277</v>
      </c>
      <c r="I1208" s="112">
        <f t="shared" si="1"/>
        <v>1.029752066</v>
      </c>
      <c r="J1208" s="82">
        <f t="shared" si="2"/>
        <v>0.4926710098</v>
      </c>
    </row>
    <row r="1209">
      <c r="A1209" s="101">
        <v>44706.0</v>
      </c>
      <c r="B1209" s="111">
        <v>2032.0</v>
      </c>
      <c r="C1209" s="111">
        <v>2.0</v>
      </c>
      <c r="D1209" s="110" t="s">
        <v>228</v>
      </c>
      <c r="E1209" s="111">
        <v>1.0</v>
      </c>
      <c r="F1209" s="111">
        <v>1.3016</v>
      </c>
      <c r="G1209" s="111">
        <v>0.785</v>
      </c>
      <c r="H1209" s="110" t="s">
        <v>277</v>
      </c>
      <c r="I1209" s="112">
        <f t="shared" si="1"/>
        <v>0.658089172</v>
      </c>
      <c r="J1209" s="82">
        <f t="shared" si="2"/>
        <v>0.6031038722</v>
      </c>
    </row>
    <row r="1210">
      <c r="A1210" s="101">
        <v>44706.0</v>
      </c>
      <c r="B1210" s="111">
        <v>2032.0</v>
      </c>
      <c r="C1210" s="111">
        <v>2.0</v>
      </c>
      <c r="D1210" s="110" t="s">
        <v>227</v>
      </c>
      <c r="E1210" s="111">
        <v>0.0</v>
      </c>
      <c r="F1210" s="111">
        <v>0.0193</v>
      </c>
      <c r="G1210" s="111">
        <v>0.009</v>
      </c>
      <c r="H1210" s="110" t="s">
        <v>277</v>
      </c>
      <c r="I1210" s="112">
        <f t="shared" si="1"/>
        <v>1.144444444</v>
      </c>
      <c r="J1210" s="82">
        <f t="shared" si="2"/>
        <v>0.4663212435</v>
      </c>
    </row>
    <row r="1211">
      <c r="A1211" s="101">
        <v>44706.0</v>
      </c>
      <c r="B1211" s="111">
        <v>2301.0</v>
      </c>
      <c r="C1211" s="111">
        <v>1.0</v>
      </c>
      <c r="D1211" s="110" t="s">
        <v>228</v>
      </c>
      <c r="E1211" s="111">
        <v>1.0</v>
      </c>
      <c r="F1211" s="111">
        <v>1.3279</v>
      </c>
      <c r="G1211" s="111">
        <v>0.773</v>
      </c>
      <c r="H1211" s="110" t="s">
        <v>277</v>
      </c>
      <c r="I1211" s="112">
        <f t="shared" si="1"/>
        <v>0.7178525226</v>
      </c>
      <c r="J1211" s="82">
        <f t="shared" si="2"/>
        <v>0.5821221478</v>
      </c>
    </row>
    <row r="1212">
      <c r="A1212" s="101">
        <v>44706.0</v>
      </c>
      <c r="B1212" s="111">
        <v>2301.0</v>
      </c>
      <c r="C1212" s="111">
        <v>1.0</v>
      </c>
      <c r="D1212" s="110" t="s">
        <v>227</v>
      </c>
      <c r="E1212" s="111">
        <v>1.0</v>
      </c>
      <c r="F1212" s="111">
        <v>0.1956</v>
      </c>
      <c r="G1212" s="111">
        <v>0.102</v>
      </c>
      <c r="H1212" s="110" t="s">
        <v>277</v>
      </c>
      <c r="I1212" s="112">
        <f t="shared" si="1"/>
        <v>0.9176470588</v>
      </c>
      <c r="J1212" s="82">
        <f t="shared" si="2"/>
        <v>0.5214723926</v>
      </c>
    </row>
    <row r="1213">
      <c r="A1213" s="101">
        <v>44706.0</v>
      </c>
      <c r="B1213" s="111">
        <v>2301.0</v>
      </c>
      <c r="C1213" s="111">
        <v>2.0</v>
      </c>
      <c r="D1213" s="110" t="s">
        <v>228</v>
      </c>
      <c r="E1213" s="111">
        <v>1.0</v>
      </c>
      <c r="F1213" s="111">
        <v>2.9523</v>
      </c>
      <c r="G1213" s="111">
        <v>1.783</v>
      </c>
      <c r="H1213" s="110" t="s">
        <v>277</v>
      </c>
      <c r="I1213" s="112">
        <f t="shared" si="1"/>
        <v>0.6558048233</v>
      </c>
      <c r="J1213" s="82">
        <f t="shared" si="2"/>
        <v>0.6039359144</v>
      </c>
    </row>
    <row r="1214">
      <c r="A1214" s="101">
        <v>44706.0</v>
      </c>
      <c r="B1214" s="111">
        <v>2301.0</v>
      </c>
      <c r="C1214" s="111">
        <v>2.0</v>
      </c>
      <c r="D1214" s="110" t="s">
        <v>227</v>
      </c>
      <c r="E1214" s="111">
        <v>1.0</v>
      </c>
      <c r="F1214" s="111">
        <v>0.505</v>
      </c>
      <c r="G1214" s="111">
        <v>0.272</v>
      </c>
      <c r="H1214" s="110" t="s">
        <v>277</v>
      </c>
      <c r="I1214" s="112">
        <f t="shared" si="1"/>
        <v>0.8566176471</v>
      </c>
      <c r="J1214" s="82">
        <f t="shared" si="2"/>
        <v>0.5386138614</v>
      </c>
    </row>
    <row r="1215">
      <c r="A1215" s="101">
        <v>44706.0</v>
      </c>
      <c r="B1215" s="111">
        <v>2301.0</v>
      </c>
      <c r="C1215" s="111">
        <v>3.0</v>
      </c>
      <c r="D1215" s="110" t="s">
        <v>228</v>
      </c>
      <c r="E1215" s="111">
        <v>1.0</v>
      </c>
      <c r="F1215" s="111">
        <v>1.9312</v>
      </c>
      <c r="G1215" s="111">
        <v>1.152</v>
      </c>
      <c r="H1215" s="110" t="s">
        <v>277</v>
      </c>
      <c r="I1215" s="112">
        <f t="shared" si="1"/>
        <v>0.6763888889</v>
      </c>
      <c r="J1215" s="82">
        <f t="shared" si="2"/>
        <v>0.5965202983</v>
      </c>
    </row>
    <row r="1216">
      <c r="A1216" s="101">
        <v>44706.0</v>
      </c>
      <c r="B1216" s="111">
        <v>2301.0</v>
      </c>
      <c r="C1216" s="111">
        <v>3.0</v>
      </c>
      <c r="D1216" s="110" t="s">
        <v>227</v>
      </c>
      <c r="E1216" s="111">
        <v>1.0</v>
      </c>
      <c r="F1216" s="111">
        <v>0.3271</v>
      </c>
      <c r="G1216" s="111">
        <v>0.166</v>
      </c>
      <c r="H1216" s="110" t="s">
        <v>277</v>
      </c>
      <c r="I1216" s="112">
        <f t="shared" si="1"/>
        <v>0.9704819277</v>
      </c>
      <c r="J1216" s="82">
        <f t="shared" si="2"/>
        <v>0.5074900642</v>
      </c>
    </row>
    <row r="1217">
      <c r="A1217" s="101">
        <v>44706.0</v>
      </c>
      <c r="B1217" s="111">
        <v>2301.0</v>
      </c>
      <c r="C1217" s="111">
        <v>3.0</v>
      </c>
      <c r="D1217" s="110" t="s">
        <v>227</v>
      </c>
      <c r="E1217" s="111">
        <v>1.0</v>
      </c>
      <c r="F1217" s="111">
        <v>0.3271</v>
      </c>
      <c r="G1217" s="111">
        <v>0.166</v>
      </c>
      <c r="H1217" s="110" t="s">
        <v>277</v>
      </c>
      <c r="I1217" s="112">
        <f t="shared" si="1"/>
        <v>0.9704819277</v>
      </c>
      <c r="J1217" s="82">
        <f t="shared" si="2"/>
        <v>0.5074900642</v>
      </c>
    </row>
    <row r="1218">
      <c r="A1218" s="101">
        <v>44706.0</v>
      </c>
      <c r="B1218" s="111">
        <v>2331.0</v>
      </c>
      <c r="C1218" s="111">
        <v>1.0</v>
      </c>
      <c r="D1218" s="110" t="s">
        <v>228</v>
      </c>
      <c r="E1218" s="111">
        <v>1.0</v>
      </c>
      <c r="F1218" s="111">
        <v>1.1028</v>
      </c>
      <c r="G1218" s="111">
        <v>0.654</v>
      </c>
      <c r="H1218" s="110" t="s">
        <v>277</v>
      </c>
      <c r="I1218" s="112">
        <f t="shared" si="1"/>
        <v>0.6862385321</v>
      </c>
      <c r="J1218" s="82">
        <f t="shared" si="2"/>
        <v>0.5930359086</v>
      </c>
    </row>
    <row r="1219">
      <c r="A1219" s="101">
        <v>44706.0</v>
      </c>
      <c r="B1219" s="111">
        <v>2331.0</v>
      </c>
      <c r="C1219" s="111">
        <v>1.0</v>
      </c>
      <c r="D1219" s="110" t="s">
        <v>228</v>
      </c>
      <c r="E1219" s="111">
        <v>0.0</v>
      </c>
      <c r="F1219" s="111">
        <v>1.1251</v>
      </c>
      <c r="G1219" s="111">
        <v>0.608</v>
      </c>
      <c r="H1219" s="110" t="s">
        <v>277</v>
      </c>
      <c r="I1219" s="112">
        <f t="shared" si="1"/>
        <v>0.8504934211</v>
      </c>
      <c r="J1219" s="82">
        <f t="shared" si="2"/>
        <v>0.5403964092</v>
      </c>
    </row>
    <row r="1220">
      <c r="A1220" s="101">
        <v>44706.0</v>
      </c>
      <c r="B1220" s="111">
        <v>2331.0</v>
      </c>
      <c r="C1220" s="111">
        <v>1.0</v>
      </c>
      <c r="D1220" s="110" t="s">
        <v>227</v>
      </c>
      <c r="E1220" s="111">
        <v>1.0</v>
      </c>
      <c r="F1220" s="111">
        <v>0.4117</v>
      </c>
      <c r="G1220" s="111">
        <v>0.221</v>
      </c>
      <c r="H1220" s="110" t="s">
        <v>277</v>
      </c>
      <c r="I1220" s="112">
        <f t="shared" si="1"/>
        <v>0.8628959276</v>
      </c>
      <c r="J1220" s="82">
        <f t="shared" si="2"/>
        <v>0.5367986398</v>
      </c>
    </row>
    <row r="1221">
      <c r="A1221" s="101">
        <v>44706.0</v>
      </c>
      <c r="B1221" s="111">
        <v>2331.0</v>
      </c>
      <c r="C1221" s="111">
        <v>1.0</v>
      </c>
      <c r="D1221" s="110" t="s">
        <v>227</v>
      </c>
      <c r="E1221" s="111">
        <v>0.0</v>
      </c>
      <c r="F1221" s="111">
        <v>0.1545</v>
      </c>
      <c r="G1221" s="111">
        <v>0.079</v>
      </c>
      <c r="H1221" s="110" t="s">
        <v>277</v>
      </c>
      <c r="I1221" s="112">
        <f t="shared" si="1"/>
        <v>0.9556962025</v>
      </c>
      <c r="J1221" s="82">
        <f t="shared" si="2"/>
        <v>0.5113268608</v>
      </c>
    </row>
    <row r="1222">
      <c r="A1222" s="101">
        <v>44706.0</v>
      </c>
      <c r="B1222" s="111">
        <v>2331.0</v>
      </c>
      <c r="C1222" s="111">
        <v>2.0</v>
      </c>
      <c r="D1222" s="110" t="s">
        <v>228</v>
      </c>
      <c r="E1222" s="111">
        <v>1.0</v>
      </c>
      <c r="F1222" s="111">
        <v>1.2565</v>
      </c>
      <c r="G1222" s="111">
        <v>0.759</v>
      </c>
      <c r="H1222" s="110" t="s">
        <v>277</v>
      </c>
      <c r="I1222" s="112">
        <f t="shared" si="1"/>
        <v>0.6554677207</v>
      </c>
      <c r="J1222" s="82">
        <f t="shared" si="2"/>
        <v>0.6040588938</v>
      </c>
    </row>
    <row r="1223">
      <c r="A1223" s="101">
        <v>44706.0</v>
      </c>
      <c r="B1223" s="111">
        <v>2331.0</v>
      </c>
      <c r="C1223" s="111">
        <v>2.0</v>
      </c>
      <c r="D1223" s="110" t="s">
        <v>228</v>
      </c>
      <c r="E1223" s="111">
        <v>0.0</v>
      </c>
      <c r="F1223" s="111">
        <v>1.1281</v>
      </c>
      <c r="G1223" s="111">
        <v>0.614</v>
      </c>
      <c r="H1223" s="110" t="s">
        <v>277</v>
      </c>
      <c r="I1223" s="112">
        <f t="shared" si="1"/>
        <v>0.8372964169</v>
      </c>
      <c r="J1223" s="82">
        <f t="shared" si="2"/>
        <v>0.5442779895</v>
      </c>
    </row>
    <row r="1224">
      <c r="A1224" s="101">
        <v>44706.0</v>
      </c>
      <c r="B1224" s="111">
        <v>2331.0</v>
      </c>
      <c r="C1224" s="111">
        <v>2.0</v>
      </c>
      <c r="D1224" s="110" t="s">
        <v>227</v>
      </c>
      <c r="E1224" s="111">
        <v>0.0</v>
      </c>
      <c r="F1224" s="111">
        <v>0.1822</v>
      </c>
      <c r="G1224" s="111">
        <v>0.095</v>
      </c>
      <c r="H1224" s="110" t="s">
        <v>277</v>
      </c>
      <c r="I1224" s="112">
        <f t="shared" si="1"/>
        <v>0.9178947368</v>
      </c>
      <c r="J1224" s="82">
        <f t="shared" si="2"/>
        <v>0.5214050494</v>
      </c>
    </row>
    <row r="1225">
      <c r="A1225" s="101">
        <v>44706.0</v>
      </c>
      <c r="B1225" s="111">
        <v>2331.0</v>
      </c>
      <c r="C1225" s="111">
        <v>2.0</v>
      </c>
      <c r="D1225" s="110" t="s">
        <v>227</v>
      </c>
      <c r="E1225" s="111">
        <v>1.0</v>
      </c>
      <c r="F1225" s="111">
        <v>0.5341</v>
      </c>
      <c r="G1225" s="111">
        <v>0.278</v>
      </c>
      <c r="H1225" s="110" t="s">
        <v>277</v>
      </c>
      <c r="I1225" s="112">
        <f t="shared" si="1"/>
        <v>0.9212230216</v>
      </c>
      <c r="J1225" s="82">
        <f t="shared" si="2"/>
        <v>0.5205017787</v>
      </c>
    </row>
    <row r="1226">
      <c r="A1226" s="101">
        <v>44706.0</v>
      </c>
      <c r="B1226" s="111">
        <v>2331.0</v>
      </c>
      <c r="C1226" s="111">
        <v>3.0</v>
      </c>
      <c r="D1226" s="110" t="s">
        <v>228</v>
      </c>
      <c r="E1226" s="111">
        <v>1.0</v>
      </c>
      <c r="F1226" s="111">
        <v>0.7144</v>
      </c>
      <c r="G1226" s="111">
        <v>0.439</v>
      </c>
      <c r="H1226" s="110" t="s">
        <v>277</v>
      </c>
      <c r="I1226" s="112">
        <f t="shared" si="1"/>
        <v>0.6273348519</v>
      </c>
      <c r="J1226" s="82">
        <f t="shared" si="2"/>
        <v>0.6145016797</v>
      </c>
    </row>
    <row r="1227">
      <c r="A1227" s="101">
        <v>44706.0</v>
      </c>
      <c r="B1227" s="111">
        <v>2331.0</v>
      </c>
      <c r="C1227" s="111">
        <v>3.0</v>
      </c>
      <c r="D1227" s="110" t="s">
        <v>228</v>
      </c>
      <c r="E1227" s="111">
        <v>0.0</v>
      </c>
      <c r="F1227" s="111">
        <v>2.706</v>
      </c>
      <c r="G1227" s="111">
        <v>1.449</v>
      </c>
      <c r="H1227" s="110" t="s">
        <v>277</v>
      </c>
      <c r="I1227" s="112">
        <f t="shared" si="1"/>
        <v>0.867494824</v>
      </c>
      <c r="J1227" s="82">
        <f t="shared" si="2"/>
        <v>0.5354767184</v>
      </c>
    </row>
    <row r="1228">
      <c r="A1228" s="101">
        <v>44706.0</v>
      </c>
      <c r="B1228" s="111">
        <v>2331.0</v>
      </c>
      <c r="C1228" s="111">
        <v>3.0</v>
      </c>
      <c r="D1228" s="110" t="s">
        <v>227</v>
      </c>
      <c r="E1228" s="111">
        <v>1.0</v>
      </c>
      <c r="F1228" s="111">
        <v>0.4468</v>
      </c>
      <c r="G1228" s="111">
        <v>0.234</v>
      </c>
      <c r="H1228" s="110" t="s">
        <v>277</v>
      </c>
      <c r="I1228" s="112">
        <f t="shared" si="1"/>
        <v>0.9094017094</v>
      </c>
      <c r="J1228" s="82">
        <f t="shared" si="2"/>
        <v>0.5237242614</v>
      </c>
    </row>
    <row r="1229">
      <c r="A1229" s="101">
        <v>44706.0</v>
      </c>
      <c r="B1229" s="111">
        <v>2331.0</v>
      </c>
      <c r="C1229" s="111">
        <v>3.0</v>
      </c>
      <c r="D1229" s="110" t="s">
        <v>227</v>
      </c>
      <c r="E1229" s="111">
        <v>0.0</v>
      </c>
      <c r="F1229" s="111">
        <v>0.5239</v>
      </c>
      <c r="G1229" s="111">
        <v>0.238</v>
      </c>
      <c r="H1229" s="110" t="s">
        <v>277</v>
      </c>
      <c r="I1229" s="112">
        <f t="shared" si="1"/>
        <v>1.201260504</v>
      </c>
      <c r="J1229" s="82">
        <f t="shared" si="2"/>
        <v>0.4542851689</v>
      </c>
    </row>
    <row r="1230">
      <c r="A1230" s="101">
        <v>44706.0</v>
      </c>
      <c r="B1230" s="111">
        <v>2345.0</v>
      </c>
      <c r="C1230" s="111">
        <v>1.0</v>
      </c>
      <c r="D1230" s="110" t="s">
        <v>228</v>
      </c>
      <c r="E1230" s="111">
        <v>1.0</v>
      </c>
      <c r="F1230" s="111">
        <v>0.7286</v>
      </c>
      <c r="G1230" s="111">
        <v>0.439</v>
      </c>
      <c r="H1230" s="110" t="s">
        <v>277</v>
      </c>
      <c r="I1230" s="112">
        <f t="shared" si="1"/>
        <v>0.6596810934</v>
      </c>
      <c r="J1230" s="82">
        <f t="shared" si="2"/>
        <v>0.6025253912</v>
      </c>
    </row>
    <row r="1231">
      <c r="A1231" s="101">
        <v>44706.0</v>
      </c>
      <c r="B1231" s="111">
        <v>2345.0</v>
      </c>
      <c r="C1231" s="111">
        <v>1.0</v>
      </c>
      <c r="D1231" s="110" t="s">
        <v>227</v>
      </c>
      <c r="E1231" s="111">
        <v>1.0</v>
      </c>
      <c r="F1231" s="111">
        <v>0.2539</v>
      </c>
      <c r="G1231" s="111">
        <v>0.136</v>
      </c>
      <c r="H1231" s="110" t="s">
        <v>277</v>
      </c>
      <c r="I1231" s="112">
        <f t="shared" si="1"/>
        <v>0.8669117647</v>
      </c>
      <c r="J1231" s="82">
        <f t="shared" si="2"/>
        <v>0.5356439543</v>
      </c>
    </row>
    <row r="1232">
      <c r="A1232" s="101">
        <v>44706.0</v>
      </c>
      <c r="B1232" s="111">
        <v>2345.0</v>
      </c>
      <c r="C1232" s="111">
        <v>2.0</v>
      </c>
      <c r="D1232" s="110" t="s">
        <v>228</v>
      </c>
      <c r="E1232" s="111">
        <v>1.0</v>
      </c>
      <c r="F1232" s="111">
        <v>1.5385</v>
      </c>
      <c r="G1232" s="111">
        <v>0.9274</v>
      </c>
      <c r="H1232" s="110" t="s">
        <v>277</v>
      </c>
      <c r="I1232" s="112">
        <f t="shared" si="1"/>
        <v>0.6589389692</v>
      </c>
      <c r="J1232" s="82">
        <f t="shared" si="2"/>
        <v>0.6027949301</v>
      </c>
    </row>
    <row r="1233">
      <c r="A1233" s="101">
        <v>44706.0</v>
      </c>
      <c r="B1233" s="111">
        <v>2345.0</v>
      </c>
      <c r="C1233" s="111">
        <v>2.0</v>
      </c>
      <c r="D1233" s="110" t="s">
        <v>227</v>
      </c>
      <c r="E1233" s="111">
        <v>1.0</v>
      </c>
      <c r="F1233" s="111">
        <v>0.2632</v>
      </c>
      <c r="G1233" s="111">
        <v>0.143</v>
      </c>
      <c r="H1233" s="110" t="s">
        <v>277</v>
      </c>
      <c r="I1233" s="112">
        <f t="shared" si="1"/>
        <v>0.8405594406</v>
      </c>
      <c r="J1233" s="82">
        <f t="shared" si="2"/>
        <v>0.5433130699</v>
      </c>
    </row>
    <row r="1234">
      <c r="A1234" s="101">
        <v>44706.0</v>
      </c>
      <c r="B1234" s="111">
        <v>2345.0</v>
      </c>
      <c r="C1234" s="111">
        <v>3.0</v>
      </c>
      <c r="D1234" s="110" t="s">
        <v>228</v>
      </c>
      <c r="E1234" s="111">
        <v>1.0</v>
      </c>
      <c r="F1234" s="111">
        <v>0.6677</v>
      </c>
      <c r="G1234" s="111">
        <v>0.406</v>
      </c>
      <c r="H1234" s="110" t="s">
        <v>277</v>
      </c>
      <c r="I1234" s="112">
        <f t="shared" si="1"/>
        <v>0.6445812808</v>
      </c>
      <c r="J1234" s="82">
        <f t="shared" si="2"/>
        <v>0.6080575109</v>
      </c>
    </row>
    <row r="1235">
      <c r="A1235" s="101">
        <v>44706.0</v>
      </c>
      <c r="B1235" s="111">
        <v>2345.0</v>
      </c>
      <c r="C1235" s="111">
        <v>3.0</v>
      </c>
      <c r="D1235" s="110" t="s">
        <v>227</v>
      </c>
      <c r="E1235" s="111">
        <v>1.0</v>
      </c>
      <c r="F1235" s="111">
        <v>0.3596</v>
      </c>
      <c r="G1235" s="111">
        <v>0.194</v>
      </c>
      <c r="H1235" s="110" t="s">
        <v>277</v>
      </c>
      <c r="I1235" s="112">
        <f t="shared" si="1"/>
        <v>0.8536082474</v>
      </c>
      <c r="J1235" s="82">
        <f t="shared" si="2"/>
        <v>0.5394883204</v>
      </c>
    </row>
    <row r="1236">
      <c r="A1236" s="101">
        <v>44706.0</v>
      </c>
      <c r="B1236" s="111">
        <v>2346.0</v>
      </c>
      <c r="C1236" s="111">
        <v>1.0</v>
      </c>
      <c r="D1236" s="110" t="s">
        <v>228</v>
      </c>
      <c r="E1236" s="111">
        <v>0.0</v>
      </c>
      <c r="F1236" s="111">
        <v>0.7445</v>
      </c>
      <c r="G1236" s="111">
        <v>0.379</v>
      </c>
      <c r="H1236" s="110" t="s">
        <v>277</v>
      </c>
      <c r="I1236" s="112">
        <f t="shared" si="1"/>
        <v>0.9643799472</v>
      </c>
      <c r="J1236" s="82">
        <f t="shared" si="2"/>
        <v>0.5090664876</v>
      </c>
    </row>
    <row r="1237">
      <c r="A1237" s="101">
        <v>44706.0</v>
      </c>
      <c r="B1237" s="111">
        <v>2346.0</v>
      </c>
      <c r="C1237" s="111">
        <v>1.0</v>
      </c>
      <c r="D1237" s="110" t="s">
        <v>227</v>
      </c>
      <c r="E1237" s="111">
        <v>1.0</v>
      </c>
      <c r="F1237" s="111">
        <v>0.4574</v>
      </c>
      <c r="G1237" s="111">
        <v>0.232</v>
      </c>
      <c r="H1237" s="110" t="s">
        <v>277</v>
      </c>
      <c r="I1237" s="112">
        <f t="shared" si="1"/>
        <v>0.9715517241</v>
      </c>
      <c r="J1237" s="82">
        <f t="shared" si="2"/>
        <v>0.5072146917</v>
      </c>
    </row>
    <row r="1238">
      <c r="A1238" s="101">
        <v>44706.0</v>
      </c>
      <c r="B1238" s="111">
        <v>2346.0</v>
      </c>
      <c r="C1238" s="111">
        <v>1.0</v>
      </c>
      <c r="D1238" s="110" t="s">
        <v>227</v>
      </c>
      <c r="E1238" s="111">
        <v>0.0</v>
      </c>
      <c r="F1238" s="111">
        <v>0.0629</v>
      </c>
      <c r="G1238" s="111">
        <v>0.029</v>
      </c>
      <c r="H1238" s="110" t="s">
        <v>277</v>
      </c>
      <c r="I1238" s="112">
        <f t="shared" si="1"/>
        <v>1.168965517</v>
      </c>
      <c r="J1238" s="82">
        <f t="shared" si="2"/>
        <v>0.4610492846</v>
      </c>
    </row>
    <row r="1239">
      <c r="A1239" s="101">
        <v>44706.0</v>
      </c>
      <c r="B1239" s="111">
        <v>2346.0</v>
      </c>
      <c r="C1239" s="111">
        <v>2.0</v>
      </c>
      <c r="D1239" s="110" t="s">
        <v>228</v>
      </c>
      <c r="E1239" s="111">
        <v>0.0</v>
      </c>
      <c r="F1239" s="111">
        <v>1.042</v>
      </c>
      <c r="G1239" s="111">
        <v>0.525</v>
      </c>
      <c r="H1239" s="110" t="s">
        <v>277</v>
      </c>
      <c r="I1239" s="112">
        <f t="shared" si="1"/>
        <v>0.9847619048</v>
      </c>
      <c r="J1239" s="82">
        <f t="shared" si="2"/>
        <v>0.5038387716</v>
      </c>
    </row>
    <row r="1240">
      <c r="A1240" s="101">
        <v>44706.0</v>
      </c>
      <c r="B1240" s="111">
        <v>2346.0</v>
      </c>
      <c r="C1240" s="111">
        <v>2.0</v>
      </c>
      <c r="D1240" s="110" t="s">
        <v>227</v>
      </c>
      <c r="E1240" s="111">
        <v>1.0</v>
      </c>
      <c r="F1240" s="111">
        <v>0.4579</v>
      </c>
      <c r="G1240" s="111">
        <v>0.228</v>
      </c>
      <c r="H1240" s="110" t="s">
        <v>277</v>
      </c>
      <c r="I1240" s="112">
        <f t="shared" si="1"/>
        <v>1.008333333</v>
      </c>
      <c r="J1240" s="82">
        <f t="shared" si="2"/>
        <v>0.4979253112</v>
      </c>
    </row>
    <row r="1241">
      <c r="A1241" s="101">
        <v>44706.0</v>
      </c>
      <c r="B1241" s="111">
        <v>2346.0</v>
      </c>
      <c r="C1241" s="111">
        <v>2.0</v>
      </c>
      <c r="D1241" s="110" t="s">
        <v>227</v>
      </c>
      <c r="E1241" s="111">
        <v>0.0</v>
      </c>
      <c r="F1241" s="111">
        <v>0.1133</v>
      </c>
      <c r="G1241" s="111">
        <v>0.051</v>
      </c>
      <c r="H1241" s="110" t="s">
        <v>277</v>
      </c>
      <c r="I1241" s="112">
        <f t="shared" si="1"/>
        <v>1.221568627</v>
      </c>
      <c r="J1241" s="82">
        <f t="shared" si="2"/>
        <v>0.4501323919</v>
      </c>
    </row>
    <row r="1242">
      <c r="A1242" s="101">
        <v>44706.0</v>
      </c>
      <c r="B1242" s="111">
        <v>2346.0</v>
      </c>
      <c r="C1242" s="111">
        <v>3.0</v>
      </c>
      <c r="D1242" s="110" t="s">
        <v>228</v>
      </c>
      <c r="E1242" s="111">
        <v>0.0</v>
      </c>
      <c r="F1242" s="111">
        <v>0.5629</v>
      </c>
      <c r="G1242" s="111">
        <v>0.26</v>
      </c>
      <c r="H1242" s="110" t="s">
        <v>277</v>
      </c>
      <c r="I1242" s="112">
        <f t="shared" si="1"/>
        <v>1.165</v>
      </c>
      <c r="J1242" s="82">
        <f t="shared" si="2"/>
        <v>0.4618937644</v>
      </c>
    </row>
    <row r="1243">
      <c r="A1243" s="101">
        <v>44706.0</v>
      </c>
      <c r="B1243" s="111">
        <v>2346.0</v>
      </c>
      <c r="C1243" s="111">
        <v>3.0</v>
      </c>
      <c r="D1243" s="110" t="s">
        <v>227</v>
      </c>
      <c r="E1243" s="111">
        <v>1.0</v>
      </c>
      <c r="F1243" s="111">
        <v>0.2341</v>
      </c>
      <c r="G1243" s="111">
        <v>0.108</v>
      </c>
      <c r="H1243" s="110" t="s">
        <v>277</v>
      </c>
      <c r="I1243" s="112">
        <f t="shared" si="1"/>
        <v>1.167592593</v>
      </c>
      <c r="J1243" s="82">
        <f t="shared" si="2"/>
        <v>0.4613413071</v>
      </c>
    </row>
    <row r="1244">
      <c r="A1244" s="101">
        <v>44706.0</v>
      </c>
      <c r="B1244" s="111">
        <v>2346.0</v>
      </c>
      <c r="C1244" s="111">
        <v>3.0</v>
      </c>
      <c r="D1244" s="110" t="s">
        <v>227</v>
      </c>
      <c r="E1244" s="111">
        <v>0.0</v>
      </c>
      <c r="F1244" s="111">
        <v>0.068</v>
      </c>
      <c r="G1244" s="111">
        <v>0.028</v>
      </c>
      <c r="H1244" s="110" t="s">
        <v>277</v>
      </c>
      <c r="I1244" s="112">
        <f t="shared" si="1"/>
        <v>1.428571429</v>
      </c>
      <c r="J1244" s="82">
        <f t="shared" si="2"/>
        <v>0.4117647059</v>
      </c>
    </row>
    <row r="1245">
      <c r="A1245" s="101">
        <v>44706.0</v>
      </c>
      <c r="B1245" s="111">
        <v>2347.0</v>
      </c>
      <c r="C1245" s="111">
        <v>1.0</v>
      </c>
      <c r="D1245" s="110" t="s">
        <v>227</v>
      </c>
      <c r="E1245" s="111">
        <v>1.0</v>
      </c>
      <c r="F1245" s="111">
        <v>0.1595</v>
      </c>
      <c r="G1245" s="111">
        <v>0.0826</v>
      </c>
      <c r="H1245" s="110" t="s">
        <v>277</v>
      </c>
      <c r="I1245" s="112">
        <f t="shared" si="1"/>
        <v>0.9309927361</v>
      </c>
      <c r="J1245" s="82">
        <f t="shared" si="2"/>
        <v>0.5178683386</v>
      </c>
    </row>
    <row r="1246">
      <c r="A1246" s="101">
        <v>44706.0</v>
      </c>
      <c r="B1246" s="111">
        <v>2347.0</v>
      </c>
      <c r="C1246" s="111">
        <v>1.0</v>
      </c>
      <c r="D1246" s="110" t="s">
        <v>228</v>
      </c>
      <c r="E1246" s="111">
        <v>0.0</v>
      </c>
      <c r="F1246" s="111">
        <v>1.1557</v>
      </c>
      <c r="G1246" s="111">
        <v>0.572</v>
      </c>
      <c r="H1246" s="110" t="s">
        <v>277</v>
      </c>
      <c r="I1246" s="112">
        <f t="shared" si="1"/>
        <v>1.020454545</v>
      </c>
      <c r="J1246" s="82">
        <f t="shared" si="2"/>
        <v>0.4949381327</v>
      </c>
    </row>
    <row r="1247">
      <c r="A1247" s="101">
        <v>44706.0</v>
      </c>
      <c r="B1247" s="111">
        <v>2347.0</v>
      </c>
      <c r="C1247" s="111">
        <v>1.0</v>
      </c>
      <c r="D1247" s="110" t="s">
        <v>227</v>
      </c>
      <c r="E1247" s="111">
        <v>0.0</v>
      </c>
      <c r="F1247" s="111">
        <v>0.0966</v>
      </c>
      <c r="G1247" s="111">
        <v>0.045</v>
      </c>
      <c r="H1247" s="110" t="s">
        <v>277</v>
      </c>
      <c r="I1247" s="112">
        <f t="shared" si="1"/>
        <v>1.146666667</v>
      </c>
      <c r="J1247" s="82">
        <f t="shared" si="2"/>
        <v>0.4658385093</v>
      </c>
    </row>
    <row r="1248">
      <c r="A1248" s="101">
        <v>44706.0</v>
      </c>
      <c r="B1248" s="111">
        <v>2347.0</v>
      </c>
      <c r="C1248" s="111">
        <v>2.0</v>
      </c>
      <c r="D1248" s="110" t="s">
        <v>227</v>
      </c>
      <c r="E1248" s="111">
        <v>1.0</v>
      </c>
      <c r="F1248" s="111">
        <v>0.4486</v>
      </c>
      <c r="G1248" s="111">
        <v>0.233</v>
      </c>
      <c r="H1248" s="110" t="s">
        <v>277</v>
      </c>
      <c r="I1248" s="112">
        <f t="shared" si="1"/>
        <v>0.9253218884</v>
      </c>
      <c r="J1248" s="82">
        <f t="shared" si="2"/>
        <v>0.5193936692</v>
      </c>
    </row>
    <row r="1249">
      <c r="A1249" s="101">
        <v>44706.0</v>
      </c>
      <c r="B1249" s="111">
        <v>2347.0</v>
      </c>
      <c r="C1249" s="111">
        <v>2.0</v>
      </c>
      <c r="D1249" s="110" t="s">
        <v>228</v>
      </c>
      <c r="E1249" s="111">
        <v>0.0</v>
      </c>
      <c r="F1249" s="111">
        <v>1.7795</v>
      </c>
      <c r="G1249" s="111">
        <v>0.878</v>
      </c>
      <c r="H1249" s="110" t="s">
        <v>277</v>
      </c>
      <c r="I1249" s="112">
        <f t="shared" si="1"/>
        <v>1.026765376</v>
      </c>
      <c r="J1249" s="82">
        <f t="shared" si="2"/>
        <v>0.4933970216</v>
      </c>
    </row>
    <row r="1250">
      <c r="A1250" s="101">
        <v>44706.0</v>
      </c>
      <c r="B1250" s="111">
        <v>2347.0</v>
      </c>
      <c r="C1250" s="111">
        <v>2.0</v>
      </c>
      <c r="D1250" s="110" t="s">
        <v>227</v>
      </c>
      <c r="E1250" s="111">
        <v>0.0</v>
      </c>
      <c r="F1250" s="111">
        <v>0.17</v>
      </c>
      <c r="G1250" s="111">
        <v>0.0795</v>
      </c>
      <c r="H1250" s="110" t="s">
        <v>277</v>
      </c>
      <c r="I1250" s="112">
        <f t="shared" si="1"/>
        <v>1.13836478</v>
      </c>
      <c r="J1250" s="82">
        <f t="shared" si="2"/>
        <v>0.4676470588</v>
      </c>
    </row>
    <row r="1251">
      <c r="A1251" s="101">
        <v>44706.0</v>
      </c>
      <c r="B1251" s="111">
        <v>2347.0</v>
      </c>
      <c r="C1251" s="111">
        <v>3.0</v>
      </c>
      <c r="D1251" s="110" t="s">
        <v>227</v>
      </c>
      <c r="E1251" s="111">
        <v>1.0</v>
      </c>
      <c r="F1251" s="111">
        <v>0.2036</v>
      </c>
      <c r="G1251" s="111">
        <v>0.1076</v>
      </c>
      <c r="H1251" s="110" t="s">
        <v>277</v>
      </c>
      <c r="I1251" s="112">
        <f t="shared" si="1"/>
        <v>0.8921933086</v>
      </c>
      <c r="J1251" s="82">
        <f t="shared" si="2"/>
        <v>0.5284872299</v>
      </c>
    </row>
    <row r="1252">
      <c r="A1252" s="101">
        <v>44706.0</v>
      </c>
      <c r="B1252" s="111">
        <v>2347.0</v>
      </c>
      <c r="C1252" s="111">
        <v>3.0</v>
      </c>
      <c r="D1252" s="110" t="s">
        <v>228</v>
      </c>
      <c r="E1252" s="111">
        <v>0.0</v>
      </c>
      <c r="F1252" s="111">
        <v>0.7816</v>
      </c>
      <c r="G1252" s="111">
        <v>0.389</v>
      </c>
      <c r="H1252" s="110" t="s">
        <v>277</v>
      </c>
      <c r="I1252" s="112">
        <f t="shared" si="1"/>
        <v>1.009254499</v>
      </c>
      <c r="J1252" s="82">
        <f t="shared" si="2"/>
        <v>0.4976970317</v>
      </c>
    </row>
    <row r="1253">
      <c r="A1253" s="101">
        <v>44706.0</v>
      </c>
      <c r="B1253" s="111">
        <v>2347.0</v>
      </c>
      <c r="C1253" s="111">
        <v>3.0</v>
      </c>
      <c r="D1253" s="110" t="s">
        <v>227</v>
      </c>
      <c r="E1253" s="111">
        <v>0.0</v>
      </c>
      <c r="F1253" s="111">
        <v>0.0765</v>
      </c>
      <c r="G1253" s="111">
        <v>0.036</v>
      </c>
      <c r="H1253" s="110" t="s">
        <v>277</v>
      </c>
      <c r="I1253" s="112">
        <f t="shared" si="1"/>
        <v>1.125</v>
      </c>
      <c r="J1253" s="82">
        <f t="shared" si="2"/>
        <v>0.4705882353</v>
      </c>
    </row>
    <row r="1254">
      <c r="A1254" s="101">
        <v>44706.0</v>
      </c>
      <c r="B1254" s="111">
        <v>2352.0</v>
      </c>
      <c r="C1254" s="111">
        <v>1.0</v>
      </c>
      <c r="D1254" s="110" t="s">
        <v>228</v>
      </c>
      <c r="E1254" s="111">
        <v>1.0</v>
      </c>
      <c r="F1254" s="111">
        <v>0.4831</v>
      </c>
      <c r="G1254" s="111">
        <v>0.303</v>
      </c>
      <c r="H1254" s="110" t="s">
        <v>277</v>
      </c>
      <c r="I1254" s="112">
        <f t="shared" si="1"/>
        <v>0.5943894389</v>
      </c>
      <c r="J1254" s="82">
        <f t="shared" si="2"/>
        <v>0.6271993376</v>
      </c>
    </row>
    <row r="1255">
      <c r="A1255" s="101">
        <v>44706.0</v>
      </c>
      <c r="B1255" s="111">
        <v>2352.0</v>
      </c>
      <c r="C1255" s="111">
        <v>1.0</v>
      </c>
      <c r="D1255" s="110" t="s">
        <v>227</v>
      </c>
      <c r="E1255" s="111">
        <v>1.0</v>
      </c>
      <c r="F1255" s="111">
        <v>0.1001</v>
      </c>
      <c r="G1255" s="111">
        <v>0.0585</v>
      </c>
      <c r="H1255" s="110" t="s">
        <v>277</v>
      </c>
      <c r="I1255" s="112">
        <f t="shared" si="1"/>
        <v>0.7111111111</v>
      </c>
      <c r="J1255" s="82">
        <f t="shared" si="2"/>
        <v>0.5844155844</v>
      </c>
    </row>
    <row r="1256">
      <c r="A1256" s="101">
        <v>44706.0</v>
      </c>
      <c r="B1256" s="111">
        <v>2352.0</v>
      </c>
      <c r="C1256" s="111">
        <v>2.0</v>
      </c>
      <c r="D1256" s="110" t="s">
        <v>228</v>
      </c>
      <c r="E1256" s="111">
        <v>1.0</v>
      </c>
      <c r="F1256" s="111">
        <v>0.9854</v>
      </c>
      <c r="G1256" s="111">
        <v>0.622</v>
      </c>
      <c r="H1256" s="110" t="s">
        <v>277</v>
      </c>
      <c r="I1256" s="112">
        <f t="shared" si="1"/>
        <v>0.584244373</v>
      </c>
      <c r="J1256" s="82">
        <f t="shared" si="2"/>
        <v>0.6312157499</v>
      </c>
    </row>
    <row r="1257">
      <c r="A1257" s="101">
        <v>44706.0</v>
      </c>
      <c r="B1257" s="111">
        <v>2352.0</v>
      </c>
      <c r="C1257" s="111">
        <v>2.0</v>
      </c>
      <c r="D1257" s="110" t="s">
        <v>227</v>
      </c>
      <c r="E1257" s="111">
        <v>1.0</v>
      </c>
      <c r="F1257" s="111">
        <v>0.1703</v>
      </c>
      <c r="G1257" s="111">
        <v>0.099</v>
      </c>
      <c r="H1257" s="110" t="s">
        <v>277</v>
      </c>
      <c r="I1257" s="112">
        <f t="shared" si="1"/>
        <v>0.7202020202</v>
      </c>
      <c r="J1257" s="82">
        <f t="shared" si="2"/>
        <v>0.5813270699</v>
      </c>
    </row>
    <row r="1258">
      <c r="A1258" s="101">
        <v>44706.0</v>
      </c>
      <c r="B1258" s="111">
        <v>2352.0</v>
      </c>
      <c r="C1258" s="111">
        <v>3.0</v>
      </c>
      <c r="D1258" s="110" t="s">
        <v>227</v>
      </c>
      <c r="E1258" s="111">
        <v>1.0</v>
      </c>
      <c r="F1258" s="111">
        <v>0.786</v>
      </c>
      <c r="G1258" s="111">
        <v>0.486</v>
      </c>
      <c r="H1258" s="110" t="s">
        <v>277</v>
      </c>
      <c r="I1258" s="112">
        <f t="shared" si="1"/>
        <v>0.6172839506</v>
      </c>
      <c r="J1258" s="82">
        <f t="shared" si="2"/>
        <v>0.6183206107</v>
      </c>
    </row>
    <row r="1259">
      <c r="A1259" s="101">
        <v>44706.0</v>
      </c>
      <c r="B1259" s="111">
        <v>2352.0</v>
      </c>
      <c r="C1259" s="111">
        <v>3.0</v>
      </c>
      <c r="D1259" s="110" t="s">
        <v>228</v>
      </c>
      <c r="E1259" s="111">
        <v>1.0</v>
      </c>
      <c r="F1259" s="111">
        <v>0.2775</v>
      </c>
      <c r="G1259" s="111">
        <v>0.154</v>
      </c>
      <c r="H1259" s="110" t="s">
        <v>277</v>
      </c>
      <c r="I1259" s="112">
        <f t="shared" si="1"/>
        <v>0.8019480519</v>
      </c>
      <c r="J1259" s="82">
        <f t="shared" si="2"/>
        <v>0.554954955</v>
      </c>
    </row>
    <row r="1260">
      <c r="A1260" s="101">
        <v>44706.0</v>
      </c>
      <c r="B1260" s="111">
        <v>2369.0</v>
      </c>
      <c r="C1260" s="111">
        <v>1.0</v>
      </c>
      <c r="D1260" s="110" t="s">
        <v>228</v>
      </c>
      <c r="E1260" s="111">
        <v>0.0</v>
      </c>
      <c r="F1260" s="111">
        <v>1.0829</v>
      </c>
      <c r="G1260" s="111">
        <v>0.57</v>
      </c>
      <c r="H1260" s="110" t="s">
        <v>277</v>
      </c>
      <c r="I1260" s="112">
        <f t="shared" si="1"/>
        <v>0.8998245614</v>
      </c>
      <c r="J1260" s="82">
        <f t="shared" si="2"/>
        <v>0.5263643919</v>
      </c>
    </row>
    <row r="1261">
      <c r="A1261" s="101">
        <v>44706.0</v>
      </c>
      <c r="B1261" s="111">
        <v>2369.0</v>
      </c>
      <c r="C1261" s="111">
        <v>1.0</v>
      </c>
      <c r="D1261" s="110" t="s">
        <v>227</v>
      </c>
      <c r="E1261" s="111">
        <v>0.0</v>
      </c>
      <c r="F1261" s="111">
        <v>0.1408</v>
      </c>
      <c r="G1261" s="111">
        <v>0.07</v>
      </c>
      <c r="H1261" s="110" t="s">
        <v>277</v>
      </c>
      <c r="I1261" s="112">
        <f t="shared" si="1"/>
        <v>1.011428571</v>
      </c>
      <c r="J1261" s="82">
        <f t="shared" si="2"/>
        <v>0.4971590909</v>
      </c>
    </row>
    <row r="1262">
      <c r="A1262" s="101">
        <v>44706.0</v>
      </c>
      <c r="B1262" s="111">
        <v>2369.0</v>
      </c>
      <c r="C1262" s="111">
        <v>1.0</v>
      </c>
      <c r="D1262" s="110" t="s">
        <v>227</v>
      </c>
      <c r="E1262" s="111">
        <v>1.0</v>
      </c>
      <c r="F1262" s="111">
        <v>0.1593</v>
      </c>
      <c r="G1262" s="111">
        <v>0.078</v>
      </c>
      <c r="H1262" s="110" t="s">
        <v>277</v>
      </c>
      <c r="I1262" s="112">
        <f t="shared" si="1"/>
        <v>1.042307692</v>
      </c>
      <c r="J1262" s="82">
        <f t="shared" si="2"/>
        <v>0.4896421846</v>
      </c>
    </row>
    <row r="1263">
      <c r="A1263" s="101">
        <v>44706.0</v>
      </c>
      <c r="B1263" s="111">
        <v>2369.0</v>
      </c>
      <c r="C1263" s="111">
        <v>2.0</v>
      </c>
      <c r="D1263" s="110" t="s">
        <v>228</v>
      </c>
      <c r="E1263" s="111">
        <v>0.0</v>
      </c>
      <c r="F1263" s="111">
        <v>1.7319</v>
      </c>
      <c r="G1263" s="111">
        <v>0.911</v>
      </c>
      <c r="H1263" s="110" t="s">
        <v>277</v>
      </c>
      <c r="I1263" s="112">
        <f t="shared" si="1"/>
        <v>0.9010976948</v>
      </c>
      <c r="J1263" s="82">
        <f t="shared" si="2"/>
        <v>0.5260118945</v>
      </c>
    </row>
    <row r="1264">
      <c r="A1264" s="101">
        <v>44706.0</v>
      </c>
      <c r="B1264" s="111">
        <v>2369.0</v>
      </c>
      <c r="C1264" s="111">
        <v>2.0</v>
      </c>
      <c r="D1264" s="110" t="s">
        <v>227</v>
      </c>
      <c r="E1264" s="111">
        <v>1.0</v>
      </c>
      <c r="F1264" s="111">
        <v>0.2558</v>
      </c>
      <c r="G1264" s="111">
        <v>0.133</v>
      </c>
      <c r="H1264" s="110" t="s">
        <v>277</v>
      </c>
      <c r="I1264" s="112">
        <f t="shared" si="1"/>
        <v>0.9233082707</v>
      </c>
      <c r="J1264" s="82">
        <f t="shared" si="2"/>
        <v>0.5199374511</v>
      </c>
    </row>
    <row r="1265">
      <c r="A1265" s="101">
        <v>44706.0</v>
      </c>
      <c r="B1265" s="111">
        <v>2369.0</v>
      </c>
      <c r="C1265" s="111">
        <v>2.0</v>
      </c>
      <c r="D1265" s="110" t="s">
        <v>227</v>
      </c>
      <c r="E1265" s="111">
        <v>0.0</v>
      </c>
      <c r="F1265" s="111">
        <v>0.1889</v>
      </c>
      <c r="G1265" s="111">
        <v>0.093</v>
      </c>
      <c r="H1265" s="110" t="s">
        <v>277</v>
      </c>
      <c r="I1265" s="112">
        <f t="shared" si="1"/>
        <v>1.031182796</v>
      </c>
      <c r="J1265" s="82">
        <f t="shared" si="2"/>
        <v>0.4923239809</v>
      </c>
    </row>
    <row r="1266">
      <c r="A1266" s="101">
        <v>44706.0</v>
      </c>
      <c r="B1266" s="111">
        <v>2369.0</v>
      </c>
      <c r="C1266" s="111">
        <v>3.0</v>
      </c>
      <c r="D1266" s="110" t="s">
        <v>228</v>
      </c>
      <c r="E1266" s="111">
        <v>0.0</v>
      </c>
      <c r="F1266" s="111">
        <v>0.9894</v>
      </c>
      <c r="G1266" s="111">
        <v>0.53</v>
      </c>
      <c r="H1266" s="110" t="s">
        <v>277</v>
      </c>
      <c r="I1266" s="112">
        <f t="shared" si="1"/>
        <v>0.8667924528</v>
      </c>
      <c r="J1266" s="82">
        <f t="shared" si="2"/>
        <v>0.5356781888</v>
      </c>
    </row>
    <row r="1267">
      <c r="A1267" s="101">
        <v>44706.0</v>
      </c>
      <c r="B1267" s="111">
        <v>2369.0</v>
      </c>
      <c r="C1267" s="111">
        <v>3.0</v>
      </c>
      <c r="D1267" s="110" t="s">
        <v>227</v>
      </c>
      <c r="E1267" s="111">
        <v>0.0</v>
      </c>
      <c r="F1267" s="111">
        <v>0.1158</v>
      </c>
      <c r="G1267" s="111">
        <v>0.057</v>
      </c>
      <c r="H1267" s="110" t="s">
        <v>277</v>
      </c>
      <c r="I1267" s="112">
        <f t="shared" si="1"/>
        <v>1.031578947</v>
      </c>
      <c r="J1267" s="82">
        <f t="shared" si="2"/>
        <v>0.4922279793</v>
      </c>
    </row>
    <row r="1268">
      <c r="A1268" s="101">
        <v>44706.0</v>
      </c>
      <c r="B1268" s="111">
        <v>2369.0</v>
      </c>
      <c r="C1268" s="111">
        <v>3.0</v>
      </c>
      <c r="D1268" s="110" t="s">
        <v>227</v>
      </c>
      <c r="E1268" s="111">
        <v>1.0</v>
      </c>
      <c r="F1268" s="111">
        <v>0.0847</v>
      </c>
      <c r="G1268" s="111">
        <v>0.041</v>
      </c>
      <c r="H1268" s="110" t="s">
        <v>277</v>
      </c>
      <c r="I1268" s="112">
        <f t="shared" si="1"/>
        <v>1.065853659</v>
      </c>
      <c r="J1268" s="82">
        <f t="shared" si="2"/>
        <v>0.4840613932</v>
      </c>
    </row>
    <row r="1269">
      <c r="A1269" s="101">
        <v>44706.0</v>
      </c>
      <c r="B1269" s="111">
        <v>2370.0</v>
      </c>
      <c r="C1269" s="111">
        <v>1.0</v>
      </c>
      <c r="D1269" s="110" t="s">
        <v>228</v>
      </c>
      <c r="E1269" s="111">
        <v>0.0</v>
      </c>
      <c r="F1269" s="111">
        <v>1.1019</v>
      </c>
      <c r="G1269" s="111">
        <v>0.546</v>
      </c>
      <c r="H1269" s="110" t="s">
        <v>277</v>
      </c>
      <c r="I1269" s="112">
        <f t="shared" si="1"/>
        <v>1.018131868</v>
      </c>
      <c r="J1269" s="82">
        <f t="shared" si="2"/>
        <v>0.4955077593</v>
      </c>
    </row>
    <row r="1270">
      <c r="A1270" s="101">
        <v>44706.0</v>
      </c>
      <c r="B1270" s="111">
        <v>2370.0</v>
      </c>
      <c r="C1270" s="111">
        <v>1.0</v>
      </c>
      <c r="D1270" s="110" t="s">
        <v>227</v>
      </c>
      <c r="E1270" s="111">
        <v>1.0</v>
      </c>
      <c r="F1270" s="111">
        <v>0.4596</v>
      </c>
      <c r="G1270" s="111">
        <v>0.214</v>
      </c>
      <c r="H1270" s="110" t="s">
        <v>277</v>
      </c>
      <c r="I1270" s="112">
        <f t="shared" si="1"/>
        <v>1.147663551</v>
      </c>
      <c r="J1270" s="82">
        <f t="shared" si="2"/>
        <v>0.4656222802</v>
      </c>
    </row>
    <row r="1271">
      <c r="A1271" s="101">
        <v>44706.0</v>
      </c>
      <c r="B1271" s="111">
        <v>2370.0</v>
      </c>
      <c r="C1271" s="111">
        <v>1.0</v>
      </c>
      <c r="D1271" s="110" t="s">
        <v>227</v>
      </c>
      <c r="E1271" s="111">
        <v>0.0</v>
      </c>
      <c r="F1271" s="111">
        <v>0.1319</v>
      </c>
      <c r="G1271" s="111">
        <v>0.06</v>
      </c>
      <c r="H1271" s="110" t="s">
        <v>277</v>
      </c>
      <c r="I1271" s="112">
        <f t="shared" si="1"/>
        <v>1.198333333</v>
      </c>
      <c r="J1271" s="82">
        <f t="shared" si="2"/>
        <v>0.4548900682</v>
      </c>
    </row>
    <row r="1272">
      <c r="A1272" s="101">
        <v>44706.0</v>
      </c>
      <c r="B1272" s="111">
        <v>2370.0</v>
      </c>
      <c r="C1272" s="111">
        <v>2.0</v>
      </c>
      <c r="D1272" s="110" t="s">
        <v>227</v>
      </c>
      <c r="E1272" s="111">
        <v>1.0</v>
      </c>
      <c r="F1272" s="111">
        <v>0.1656</v>
      </c>
      <c r="G1272" s="111">
        <v>0.0799</v>
      </c>
      <c r="H1272" s="110" t="s">
        <v>277</v>
      </c>
      <c r="I1272" s="112">
        <f t="shared" si="1"/>
        <v>1.072590738</v>
      </c>
      <c r="J1272" s="82">
        <f t="shared" si="2"/>
        <v>0.4824879227</v>
      </c>
    </row>
    <row r="1273">
      <c r="A1273" s="101">
        <v>44706.0</v>
      </c>
      <c r="B1273" s="111">
        <v>2370.0</v>
      </c>
      <c r="C1273" s="111">
        <v>2.0</v>
      </c>
      <c r="D1273" s="110" t="s">
        <v>228</v>
      </c>
      <c r="E1273" s="111">
        <v>0.0</v>
      </c>
      <c r="F1273" s="111">
        <v>0.2919</v>
      </c>
      <c r="G1273" s="111">
        <v>0.136</v>
      </c>
      <c r="H1273" s="110" t="s">
        <v>277</v>
      </c>
      <c r="I1273" s="112">
        <f t="shared" si="1"/>
        <v>1.146323529</v>
      </c>
      <c r="J1273" s="82">
        <f t="shared" si="2"/>
        <v>0.4659129839</v>
      </c>
    </row>
    <row r="1274">
      <c r="A1274" s="101">
        <v>44706.0</v>
      </c>
      <c r="B1274" s="111">
        <v>2370.0</v>
      </c>
      <c r="C1274" s="111">
        <v>2.0</v>
      </c>
      <c r="D1274" s="110" t="s">
        <v>227</v>
      </c>
      <c r="E1274" s="111">
        <v>0.0</v>
      </c>
      <c r="F1274" s="111">
        <v>0.0307</v>
      </c>
      <c r="G1274" s="111">
        <v>0.012</v>
      </c>
      <c r="H1274" s="110" t="s">
        <v>277</v>
      </c>
      <c r="I1274" s="112">
        <f t="shared" si="1"/>
        <v>1.558333333</v>
      </c>
      <c r="J1274" s="82">
        <f t="shared" si="2"/>
        <v>0.3908794788</v>
      </c>
    </row>
    <row r="1275">
      <c r="A1275" s="101">
        <v>44706.0</v>
      </c>
      <c r="B1275" s="111">
        <v>2370.0</v>
      </c>
      <c r="C1275" s="111">
        <v>3.0</v>
      </c>
      <c r="D1275" s="110" t="s">
        <v>227</v>
      </c>
      <c r="E1275" s="111">
        <v>1.0</v>
      </c>
      <c r="F1275" s="111">
        <v>0.5908</v>
      </c>
      <c r="G1275" s="111">
        <v>0.278</v>
      </c>
      <c r="H1275" s="110" t="s">
        <v>277</v>
      </c>
      <c r="I1275" s="112">
        <f t="shared" si="1"/>
        <v>1.125179856</v>
      </c>
      <c r="J1275" s="82">
        <f t="shared" si="2"/>
        <v>0.4705484089</v>
      </c>
    </row>
    <row r="1276">
      <c r="A1276" s="101">
        <v>44706.0</v>
      </c>
      <c r="B1276" s="111">
        <v>2370.0</v>
      </c>
      <c r="C1276" s="111">
        <v>3.0</v>
      </c>
      <c r="D1276" s="110" t="s">
        <v>228</v>
      </c>
      <c r="E1276" s="111">
        <v>0.0</v>
      </c>
      <c r="F1276" s="111">
        <v>0.3456</v>
      </c>
      <c r="G1276" s="111">
        <v>0.158</v>
      </c>
      <c r="H1276" s="110" t="s">
        <v>277</v>
      </c>
      <c r="I1276" s="112">
        <f t="shared" si="1"/>
        <v>1.187341772</v>
      </c>
      <c r="J1276" s="82">
        <f t="shared" si="2"/>
        <v>0.4571759259</v>
      </c>
    </row>
    <row r="1277">
      <c r="A1277" s="101">
        <v>44706.0</v>
      </c>
      <c r="B1277" s="111">
        <v>2370.0</v>
      </c>
      <c r="C1277" s="111">
        <v>3.0</v>
      </c>
      <c r="D1277" s="110" t="s">
        <v>227</v>
      </c>
      <c r="E1277" s="111">
        <v>0.0</v>
      </c>
      <c r="F1277" s="111">
        <v>0.0482</v>
      </c>
      <c r="G1277" s="111">
        <v>0.021</v>
      </c>
      <c r="H1277" s="110" t="s">
        <v>277</v>
      </c>
      <c r="I1277" s="112">
        <f t="shared" si="1"/>
        <v>1.295238095</v>
      </c>
      <c r="J1277" s="82">
        <f t="shared" si="2"/>
        <v>0.4356846473</v>
      </c>
    </row>
    <row r="1278">
      <c r="A1278" s="101">
        <v>44706.0</v>
      </c>
      <c r="B1278" s="111">
        <v>2371.0</v>
      </c>
      <c r="C1278" s="111">
        <v>1.0</v>
      </c>
      <c r="D1278" s="110" t="s">
        <v>227</v>
      </c>
      <c r="E1278" s="111">
        <v>1.0</v>
      </c>
      <c r="F1278" s="111">
        <v>0.284</v>
      </c>
      <c r="G1278" s="111">
        <v>0.151</v>
      </c>
      <c r="H1278" s="110" t="s">
        <v>277</v>
      </c>
      <c r="I1278" s="112">
        <f t="shared" si="1"/>
        <v>0.880794702</v>
      </c>
      <c r="J1278" s="82">
        <f t="shared" si="2"/>
        <v>0.5316901408</v>
      </c>
    </row>
    <row r="1279">
      <c r="A1279" s="101">
        <v>44706.0</v>
      </c>
      <c r="B1279" s="111">
        <v>2371.0</v>
      </c>
      <c r="C1279" s="111">
        <v>1.0</v>
      </c>
      <c r="D1279" s="110" t="s">
        <v>228</v>
      </c>
      <c r="E1279" s="111">
        <v>0.0</v>
      </c>
      <c r="F1279" s="111">
        <v>1.7126</v>
      </c>
      <c r="G1279" s="111">
        <v>0.903</v>
      </c>
      <c r="H1279" s="110" t="s">
        <v>277</v>
      </c>
      <c r="I1279" s="112">
        <f t="shared" si="1"/>
        <v>0.8965669989</v>
      </c>
      <c r="J1279" s="82">
        <f t="shared" si="2"/>
        <v>0.5272684807</v>
      </c>
    </row>
    <row r="1280">
      <c r="A1280" s="101">
        <v>44706.0</v>
      </c>
      <c r="B1280" s="111">
        <v>2371.0</v>
      </c>
      <c r="C1280" s="111">
        <v>2.0</v>
      </c>
      <c r="D1280" s="110" t="s">
        <v>227</v>
      </c>
      <c r="E1280" s="111">
        <v>1.0</v>
      </c>
      <c r="F1280" s="111">
        <v>0.4276</v>
      </c>
      <c r="G1280" s="111">
        <v>0.23</v>
      </c>
      <c r="H1280" s="110" t="s">
        <v>277</v>
      </c>
      <c r="I1280" s="112">
        <f t="shared" si="1"/>
        <v>0.8591304348</v>
      </c>
      <c r="J1280" s="82">
        <f t="shared" si="2"/>
        <v>0.5378858746</v>
      </c>
    </row>
    <row r="1281">
      <c r="A1281" s="101">
        <v>44706.0</v>
      </c>
      <c r="B1281" s="111">
        <v>2371.0</v>
      </c>
      <c r="C1281" s="111">
        <v>2.0</v>
      </c>
      <c r="D1281" s="110" t="s">
        <v>228</v>
      </c>
      <c r="E1281" s="111">
        <v>0.0</v>
      </c>
      <c r="F1281" s="111">
        <v>0.5338</v>
      </c>
      <c r="G1281" s="111">
        <v>0.283</v>
      </c>
      <c r="H1281" s="110" t="s">
        <v>277</v>
      </c>
      <c r="I1281" s="112">
        <f t="shared" si="1"/>
        <v>0.8862190813</v>
      </c>
      <c r="J1281" s="82">
        <f t="shared" si="2"/>
        <v>0.530161109</v>
      </c>
    </row>
    <row r="1282">
      <c r="A1282" s="101">
        <v>44706.0</v>
      </c>
      <c r="B1282" s="111">
        <v>2371.0</v>
      </c>
      <c r="C1282" s="111">
        <v>2.0</v>
      </c>
      <c r="D1282" s="110" t="s">
        <v>227</v>
      </c>
      <c r="E1282" s="111">
        <v>0.0</v>
      </c>
      <c r="F1282" s="111">
        <v>0.0422</v>
      </c>
      <c r="G1282" s="111">
        <v>0.02</v>
      </c>
      <c r="H1282" s="110" t="s">
        <v>277</v>
      </c>
      <c r="I1282" s="112">
        <f t="shared" si="1"/>
        <v>1.11</v>
      </c>
      <c r="J1282" s="82">
        <f t="shared" si="2"/>
        <v>0.4739336493</v>
      </c>
    </row>
    <row r="1283">
      <c r="A1283" s="101">
        <v>44706.0</v>
      </c>
      <c r="B1283" s="111">
        <v>2371.0</v>
      </c>
      <c r="C1283" s="111">
        <v>3.0</v>
      </c>
      <c r="D1283" s="110" t="s">
        <v>228</v>
      </c>
      <c r="E1283" s="111">
        <v>0.0</v>
      </c>
      <c r="F1283" s="111">
        <v>0.4209</v>
      </c>
      <c r="G1283" s="111">
        <v>0.221</v>
      </c>
      <c r="H1283" s="110" t="s">
        <v>277</v>
      </c>
      <c r="I1283" s="112">
        <f t="shared" si="1"/>
        <v>0.9045248869</v>
      </c>
      <c r="J1283" s="82">
        <f t="shared" si="2"/>
        <v>0.5250653362</v>
      </c>
    </row>
    <row r="1284">
      <c r="A1284" s="101">
        <v>44706.0</v>
      </c>
      <c r="B1284" s="111">
        <v>2371.0</v>
      </c>
      <c r="C1284" s="111">
        <v>3.0</v>
      </c>
      <c r="D1284" s="110" t="s">
        <v>227</v>
      </c>
      <c r="E1284" s="111">
        <v>1.0</v>
      </c>
      <c r="F1284" s="111">
        <v>0.1818</v>
      </c>
      <c r="G1284" s="111">
        <v>0.095</v>
      </c>
      <c r="H1284" s="110" t="s">
        <v>277</v>
      </c>
      <c r="I1284" s="112">
        <f t="shared" si="1"/>
        <v>0.9136842105</v>
      </c>
      <c r="J1284" s="82">
        <f t="shared" si="2"/>
        <v>0.5225522552</v>
      </c>
    </row>
    <row r="1285">
      <c r="A1285" s="101">
        <v>44706.0</v>
      </c>
      <c r="B1285" s="111">
        <v>2371.0</v>
      </c>
      <c r="C1285" s="111">
        <v>3.0</v>
      </c>
      <c r="D1285" s="110" t="s">
        <v>227</v>
      </c>
      <c r="E1285" s="111">
        <v>0.0</v>
      </c>
      <c r="F1285" s="111">
        <v>0.0253</v>
      </c>
      <c r="G1285" s="111">
        <v>0.013</v>
      </c>
      <c r="H1285" s="110" t="s">
        <v>277</v>
      </c>
      <c r="I1285" s="112">
        <f t="shared" si="1"/>
        <v>0.9461538462</v>
      </c>
      <c r="J1285" s="82">
        <f t="shared" si="2"/>
        <v>0.5138339921</v>
      </c>
    </row>
    <row r="1286">
      <c r="A1286" s="101">
        <v>44706.0</v>
      </c>
      <c r="B1286" s="111">
        <v>2372.0</v>
      </c>
      <c r="C1286" s="111">
        <v>1.0</v>
      </c>
      <c r="D1286" s="110" t="s">
        <v>227</v>
      </c>
      <c r="E1286" s="111">
        <v>1.0</v>
      </c>
      <c r="F1286" s="111">
        <v>0.1592</v>
      </c>
      <c r="G1286" s="111">
        <v>0.09</v>
      </c>
      <c r="H1286" s="110" t="s">
        <v>277</v>
      </c>
      <c r="I1286" s="112">
        <f t="shared" si="1"/>
        <v>0.7688888889</v>
      </c>
      <c r="J1286" s="82">
        <f t="shared" si="2"/>
        <v>0.5653266332</v>
      </c>
    </row>
    <row r="1287">
      <c r="A1287" s="101">
        <v>44706.0</v>
      </c>
      <c r="B1287" s="111">
        <v>2372.0</v>
      </c>
      <c r="C1287" s="111">
        <v>1.0</v>
      </c>
      <c r="D1287" s="110" t="s">
        <v>228</v>
      </c>
      <c r="E1287" s="111">
        <v>0.0</v>
      </c>
      <c r="F1287" s="111">
        <v>1.0995</v>
      </c>
      <c r="G1287" s="111">
        <v>0.58</v>
      </c>
      <c r="H1287" s="110" t="s">
        <v>277</v>
      </c>
      <c r="I1287" s="112">
        <f t="shared" si="1"/>
        <v>0.8956896552</v>
      </c>
      <c r="J1287" s="82">
        <f t="shared" si="2"/>
        <v>0.5275125057</v>
      </c>
    </row>
    <row r="1288">
      <c r="A1288" s="101">
        <v>44706.0</v>
      </c>
      <c r="B1288" s="111">
        <v>2372.0</v>
      </c>
      <c r="C1288" s="111">
        <v>1.0</v>
      </c>
      <c r="D1288" s="110" t="s">
        <v>227</v>
      </c>
      <c r="E1288" s="111">
        <v>0.0</v>
      </c>
      <c r="F1288" s="111">
        <v>0.1351</v>
      </c>
      <c r="G1288" s="111">
        <v>0.0656</v>
      </c>
      <c r="H1288" s="110" t="s">
        <v>277</v>
      </c>
      <c r="I1288" s="112">
        <f t="shared" si="1"/>
        <v>1.05945122</v>
      </c>
      <c r="J1288" s="82">
        <f t="shared" si="2"/>
        <v>0.4855662472</v>
      </c>
    </row>
    <row r="1289">
      <c r="A1289" s="101">
        <v>44706.0</v>
      </c>
      <c r="B1289" s="111">
        <v>2372.0</v>
      </c>
      <c r="C1289" s="111">
        <v>2.0</v>
      </c>
      <c r="D1289" s="110" t="s">
        <v>227</v>
      </c>
      <c r="E1289" s="111">
        <v>1.0</v>
      </c>
      <c r="F1289" s="111">
        <v>0.2192</v>
      </c>
      <c r="G1289" s="111">
        <v>0.126</v>
      </c>
      <c r="H1289" s="110" t="s">
        <v>277</v>
      </c>
      <c r="I1289" s="112">
        <f t="shared" si="1"/>
        <v>0.7396825397</v>
      </c>
      <c r="J1289" s="82">
        <f t="shared" si="2"/>
        <v>0.5748175182</v>
      </c>
    </row>
    <row r="1290">
      <c r="A1290" s="101">
        <v>44706.0</v>
      </c>
      <c r="B1290" s="111">
        <v>2372.0</v>
      </c>
      <c r="C1290" s="111">
        <v>2.0</v>
      </c>
      <c r="D1290" s="110" t="s">
        <v>228</v>
      </c>
      <c r="E1290" s="111">
        <v>0.0</v>
      </c>
      <c r="F1290" s="111">
        <v>1.047</v>
      </c>
      <c r="G1290" s="111">
        <v>0.5672</v>
      </c>
      <c r="H1290" s="110" t="s">
        <v>277</v>
      </c>
      <c r="I1290" s="112">
        <f t="shared" si="1"/>
        <v>0.845909732</v>
      </c>
      <c r="J1290" s="82">
        <f t="shared" si="2"/>
        <v>0.5417382999</v>
      </c>
    </row>
    <row r="1291">
      <c r="A1291" s="101">
        <v>44706.0</v>
      </c>
      <c r="B1291" s="111">
        <v>2372.0</v>
      </c>
      <c r="C1291" s="111">
        <v>2.0</v>
      </c>
      <c r="D1291" s="110" t="s">
        <v>227</v>
      </c>
      <c r="E1291" s="111">
        <v>0.0</v>
      </c>
      <c r="F1291" s="111">
        <v>0.2865</v>
      </c>
      <c r="G1291" s="111">
        <v>0.137</v>
      </c>
      <c r="H1291" s="110" t="s">
        <v>277</v>
      </c>
      <c r="I1291" s="112">
        <f t="shared" si="1"/>
        <v>1.091240876</v>
      </c>
      <c r="J1291" s="82">
        <f t="shared" si="2"/>
        <v>0.4781849913</v>
      </c>
    </row>
    <row r="1292">
      <c r="A1292" s="101">
        <v>44706.0</v>
      </c>
      <c r="B1292" s="111">
        <v>2372.0</v>
      </c>
      <c r="C1292" s="111">
        <v>2.0</v>
      </c>
      <c r="D1292" s="110" t="s">
        <v>227</v>
      </c>
      <c r="E1292" s="111">
        <v>0.0</v>
      </c>
      <c r="F1292" s="111">
        <v>0.2051</v>
      </c>
      <c r="G1292" s="111">
        <v>0.0093</v>
      </c>
      <c r="H1292" s="110" t="s">
        <v>277</v>
      </c>
      <c r="I1292" s="112">
        <f t="shared" si="1"/>
        <v>21.05376344</v>
      </c>
      <c r="J1292" s="82">
        <f t="shared" si="2"/>
        <v>0.04534373476</v>
      </c>
      <c r="K1292" s="66">
        <v>1.0</v>
      </c>
    </row>
    <row r="1293">
      <c r="A1293" s="101">
        <v>44706.0</v>
      </c>
      <c r="B1293" s="111">
        <v>2372.0</v>
      </c>
      <c r="C1293" s="111">
        <v>3.0</v>
      </c>
      <c r="D1293" s="110" t="s">
        <v>227</v>
      </c>
      <c r="E1293" s="111">
        <v>1.0</v>
      </c>
      <c r="F1293" s="111">
        <v>0.3296</v>
      </c>
      <c r="G1293" s="111">
        <v>0.181</v>
      </c>
      <c r="H1293" s="110" t="s">
        <v>277</v>
      </c>
      <c r="I1293" s="112">
        <f t="shared" si="1"/>
        <v>0.8209944751</v>
      </c>
      <c r="J1293" s="82">
        <f t="shared" si="2"/>
        <v>0.5491504854</v>
      </c>
    </row>
    <row r="1294">
      <c r="A1294" s="101">
        <v>44706.0</v>
      </c>
      <c r="B1294" s="111">
        <v>2372.0</v>
      </c>
      <c r="C1294" s="111">
        <v>3.0</v>
      </c>
      <c r="D1294" s="110" t="s">
        <v>228</v>
      </c>
      <c r="E1294" s="111">
        <v>3.0</v>
      </c>
      <c r="F1294" s="111">
        <v>1.4545</v>
      </c>
      <c r="G1294" s="111">
        <v>0.775</v>
      </c>
      <c r="H1294" s="110" t="s">
        <v>277</v>
      </c>
      <c r="I1294" s="112">
        <f t="shared" si="1"/>
        <v>0.8767741935</v>
      </c>
      <c r="J1294" s="82">
        <f t="shared" si="2"/>
        <v>0.5328291509</v>
      </c>
    </row>
    <row r="1295">
      <c r="A1295" s="101">
        <v>44706.0</v>
      </c>
      <c r="B1295" s="111">
        <v>2374.0</v>
      </c>
      <c r="C1295" s="111">
        <v>1.0</v>
      </c>
      <c r="D1295" s="110" t="s">
        <v>227</v>
      </c>
      <c r="E1295" s="111">
        <v>0.0</v>
      </c>
      <c r="F1295" s="111">
        <v>0.1912</v>
      </c>
      <c r="G1295" s="111">
        <v>0.0934</v>
      </c>
      <c r="H1295" s="110" t="s">
        <v>277</v>
      </c>
      <c r="I1295" s="112">
        <f t="shared" si="1"/>
        <v>1.047109208</v>
      </c>
      <c r="J1295" s="82">
        <f t="shared" si="2"/>
        <v>0.4884937238</v>
      </c>
    </row>
    <row r="1296">
      <c r="A1296" s="101">
        <v>44706.0</v>
      </c>
      <c r="B1296" s="111">
        <v>2375.0</v>
      </c>
      <c r="C1296" s="111">
        <v>1.0</v>
      </c>
      <c r="D1296" s="110" t="s">
        <v>227</v>
      </c>
      <c r="E1296" s="111">
        <v>1.0</v>
      </c>
      <c r="F1296" s="111">
        <v>0.201</v>
      </c>
      <c r="G1296" s="111">
        <v>0.104</v>
      </c>
      <c r="H1296" s="110" t="s">
        <v>277</v>
      </c>
      <c r="I1296" s="112">
        <f t="shared" si="1"/>
        <v>0.9326923077</v>
      </c>
      <c r="J1296" s="82">
        <f t="shared" si="2"/>
        <v>0.5174129353</v>
      </c>
    </row>
    <row r="1297">
      <c r="A1297" s="101">
        <v>44706.0</v>
      </c>
      <c r="B1297" s="111">
        <v>2375.0</v>
      </c>
      <c r="C1297" s="111">
        <v>1.0</v>
      </c>
      <c r="D1297" s="110" t="s">
        <v>228</v>
      </c>
      <c r="E1297" s="111">
        <v>0.0</v>
      </c>
      <c r="F1297" s="111">
        <v>1.029</v>
      </c>
      <c r="G1297" s="111">
        <v>0.509</v>
      </c>
      <c r="H1297" s="110" t="s">
        <v>277</v>
      </c>
      <c r="I1297" s="112">
        <f t="shared" si="1"/>
        <v>1.021611002</v>
      </c>
      <c r="J1297" s="82">
        <f t="shared" si="2"/>
        <v>0.4946550049</v>
      </c>
    </row>
    <row r="1298">
      <c r="A1298" s="101">
        <v>44706.0</v>
      </c>
      <c r="B1298" s="111">
        <v>2375.0</v>
      </c>
      <c r="C1298" s="111">
        <v>1.0</v>
      </c>
      <c r="D1298" s="110" t="s">
        <v>227</v>
      </c>
      <c r="E1298" s="111">
        <v>0.0</v>
      </c>
      <c r="F1298" s="111">
        <v>0.2068</v>
      </c>
      <c r="G1298" s="111">
        <v>0.089</v>
      </c>
      <c r="H1298" s="110" t="s">
        <v>277</v>
      </c>
      <c r="I1298" s="112">
        <f t="shared" si="1"/>
        <v>1.323595506</v>
      </c>
      <c r="J1298" s="82">
        <f t="shared" si="2"/>
        <v>0.4303675048</v>
      </c>
    </row>
    <row r="1299">
      <c r="A1299" s="101">
        <v>44706.0</v>
      </c>
      <c r="B1299" s="111">
        <v>2375.0</v>
      </c>
      <c r="C1299" s="111">
        <v>2.0</v>
      </c>
      <c r="D1299" s="110" t="s">
        <v>228</v>
      </c>
      <c r="E1299" s="111">
        <v>0.0</v>
      </c>
      <c r="F1299" s="111">
        <v>0.5973</v>
      </c>
      <c r="G1299" s="111">
        <v>0.293</v>
      </c>
      <c r="H1299" s="110" t="s">
        <v>277</v>
      </c>
      <c r="I1299" s="112">
        <f t="shared" si="1"/>
        <v>1.038566553</v>
      </c>
      <c r="J1299" s="82">
        <f t="shared" si="2"/>
        <v>0.4905407668</v>
      </c>
    </row>
    <row r="1300">
      <c r="A1300" s="101">
        <v>44706.0</v>
      </c>
      <c r="B1300" s="111">
        <v>2375.0</v>
      </c>
      <c r="C1300" s="111">
        <v>2.0</v>
      </c>
      <c r="D1300" s="110" t="s">
        <v>227</v>
      </c>
      <c r="E1300" s="111">
        <v>1.0</v>
      </c>
      <c r="F1300" s="111">
        <v>0.3263</v>
      </c>
      <c r="G1300" s="111">
        <v>0.157</v>
      </c>
      <c r="H1300" s="110" t="s">
        <v>277</v>
      </c>
      <c r="I1300" s="112">
        <f t="shared" si="1"/>
        <v>1.078343949</v>
      </c>
      <c r="J1300" s="82">
        <f t="shared" si="2"/>
        <v>0.4811523138</v>
      </c>
    </row>
    <row r="1301">
      <c r="A1301" s="101">
        <v>44706.0</v>
      </c>
      <c r="B1301" s="111">
        <v>2375.0</v>
      </c>
      <c r="C1301" s="111">
        <v>2.0</v>
      </c>
      <c r="D1301" s="110" t="s">
        <v>227</v>
      </c>
      <c r="E1301" s="111">
        <v>0.0</v>
      </c>
      <c r="F1301" s="111">
        <v>0.0567</v>
      </c>
      <c r="G1301" s="111">
        <v>0.026</v>
      </c>
      <c r="H1301" s="110" t="s">
        <v>277</v>
      </c>
      <c r="I1301" s="112">
        <f t="shared" si="1"/>
        <v>1.180769231</v>
      </c>
      <c r="J1301" s="82">
        <f t="shared" si="2"/>
        <v>0.4585537919</v>
      </c>
    </row>
    <row r="1302">
      <c r="A1302" s="101">
        <v>44706.0</v>
      </c>
      <c r="B1302" s="111">
        <v>2375.0</v>
      </c>
      <c r="C1302" s="111">
        <v>3.0</v>
      </c>
      <c r="D1302" s="110" t="s">
        <v>227</v>
      </c>
      <c r="E1302" s="111">
        <v>1.0</v>
      </c>
      <c r="F1302" s="111">
        <v>0.4544</v>
      </c>
      <c r="G1302" s="111">
        <v>0.229</v>
      </c>
      <c r="H1302" s="110" t="s">
        <v>277</v>
      </c>
      <c r="I1302" s="112">
        <f t="shared" si="1"/>
        <v>0.984279476</v>
      </c>
      <c r="J1302" s="82">
        <f t="shared" si="2"/>
        <v>0.5039612676</v>
      </c>
    </row>
    <row r="1303">
      <c r="A1303" s="101">
        <v>44706.0</v>
      </c>
      <c r="B1303" s="111">
        <v>2375.0</v>
      </c>
      <c r="C1303" s="111">
        <v>3.0</v>
      </c>
      <c r="D1303" s="110" t="s">
        <v>228</v>
      </c>
      <c r="E1303" s="111">
        <v>0.0</v>
      </c>
      <c r="F1303" s="111">
        <v>1.1447</v>
      </c>
      <c r="G1303" s="111">
        <v>0.533</v>
      </c>
      <c r="H1303" s="110" t="s">
        <v>277</v>
      </c>
      <c r="I1303" s="112">
        <f t="shared" si="1"/>
        <v>1.147654784</v>
      </c>
      <c r="J1303" s="82">
        <f t="shared" si="2"/>
        <v>0.465624181</v>
      </c>
    </row>
    <row r="1304">
      <c r="A1304" s="101">
        <v>44706.0</v>
      </c>
      <c r="B1304" s="111">
        <v>2375.0</v>
      </c>
      <c r="C1304" s="111">
        <v>3.0</v>
      </c>
      <c r="D1304" s="110" t="s">
        <v>227</v>
      </c>
      <c r="E1304" s="111">
        <v>0.0</v>
      </c>
      <c r="F1304" s="111">
        <v>0.1352</v>
      </c>
      <c r="G1304" s="111">
        <v>0.059</v>
      </c>
      <c r="H1304" s="110" t="s">
        <v>277</v>
      </c>
      <c r="I1304" s="112">
        <f t="shared" si="1"/>
        <v>1.291525424</v>
      </c>
      <c r="J1304" s="82">
        <f t="shared" si="2"/>
        <v>0.4363905325</v>
      </c>
    </row>
    <row r="1305">
      <c r="A1305" s="101">
        <v>44706.0</v>
      </c>
      <c r="B1305" s="111">
        <v>2377.0</v>
      </c>
      <c r="C1305" s="111">
        <v>2.0</v>
      </c>
      <c r="D1305" s="110" t="s">
        <v>228</v>
      </c>
      <c r="E1305" s="111">
        <v>0.0</v>
      </c>
      <c r="F1305" s="111">
        <v>0.1378</v>
      </c>
      <c r="G1305" s="111">
        <v>0.061</v>
      </c>
      <c r="H1305" s="110" t="s">
        <v>277</v>
      </c>
      <c r="I1305" s="112">
        <f t="shared" si="1"/>
        <v>1.259016393</v>
      </c>
      <c r="J1305" s="82">
        <f t="shared" si="2"/>
        <v>0.442670537</v>
      </c>
    </row>
    <row r="1306">
      <c r="A1306" s="101">
        <v>44706.0</v>
      </c>
      <c r="B1306" s="111">
        <v>2378.0</v>
      </c>
      <c r="C1306" s="111">
        <v>1.0</v>
      </c>
      <c r="D1306" s="110" t="s">
        <v>227</v>
      </c>
      <c r="E1306" s="111">
        <v>1.0</v>
      </c>
      <c r="F1306" s="111">
        <v>0.2138</v>
      </c>
      <c r="G1306" s="111">
        <v>0.111</v>
      </c>
      <c r="H1306" s="110" t="s">
        <v>277</v>
      </c>
      <c r="I1306" s="112">
        <f t="shared" si="1"/>
        <v>0.9261261261</v>
      </c>
      <c r="J1306" s="82">
        <f t="shared" si="2"/>
        <v>0.5191768007</v>
      </c>
    </row>
    <row r="1307">
      <c r="A1307" s="101">
        <v>44706.0</v>
      </c>
      <c r="B1307" s="111">
        <v>2378.0</v>
      </c>
      <c r="C1307" s="111">
        <v>1.0</v>
      </c>
      <c r="D1307" s="110" t="s">
        <v>228</v>
      </c>
      <c r="E1307" s="111">
        <v>0.0</v>
      </c>
      <c r="F1307" s="111">
        <v>1.117</v>
      </c>
      <c r="G1307" s="111">
        <v>0.561</v>
      </c>
      <c r="H1307" s="110" t="s">
        <v>277</v>
      </c>
      <c r="I1307" s="112">
        <f t="shared" si="1"/>
        <v>0.991087344</v>
      </c>
      <c r="J1307" s="82">
        <f t="shared" si="2"/>
        <v>0.5022381379</v>
      </c>
    </row>
    <row r="1308">
      <c r="A1308" s="101">
        <v>44706.0</v>
      </c>
      <c r="B1308" s="111">
        <v>2378.0</v>
      </c>
      <c r="C1308" s="111">
        <v>1.0</v>
      </c>
      <c r="D1308" s="110" t="s">
        <v>227</v>
      </c>
      <c r="E1308" s="111">
        <v>0.0</v>
      </c>
      <c r="F1308" s="111">
        <v>0.1663</v>
      </c>
      <c r="G1308" s="111">
        <v>0.082</v>
      </c>
      <c r="H1308" s="110" t="s">
        <v>277</v>
      </c>
      <c r="I1308" s="112">
        <f t="shared" si="1"/>
        <v>1.02804878</v>
      </c>
      <c r="J1308" s="82">
        <f t="shared" si="2"/>
        <v>0.4930847865</v>
      </c>
    </row>
    <row r="1309">
      <c r="A1309" s="101">
        <v>44706.0</v>
      </c>
      <c r="B1309" s="111">
        <v>2378.0</v>
      </c>
      <c r="C1309" s="111">
        <v>2.0</v>
      </c>
      <c r="D1309" s="110" t="s">
        <v>227</v>
      </c>
      <c r="E1309" s="111">
        <v>1.0</v>
      </c>
      <c r="F1309" s="111">
        <v>0.0775</v>
      </c>
      <c r="G1309" s="111">
        <v>0.039</v>
      </c>
      <c r="H1309" s="110" t="s">
        <v>277</v>
      </c>
      <c r="I1309" s="112">
        <f t="shared" si="1"/>
        <v>0.9871794872</v>
      </c>
      <c r="J1309" s="82">
        <f t="shared" si="2"/>
        <v>0.5032258065</v>
      </c>
    </row>
    <row r="1310">
      <c r="A1310" s="101">
        <v>44706.0</v>
      </c>
      <c r="B1310" s="111">
        <v>2378.0</v>
      </c>
      <c r="C1310" s="111">
        <v>2.0</v>
      </c>
      <c r="D1310" s="110" t="s">
        <v>228</v>
      </c>
      <c r="E1310" s="111">
        <v>0.0</v>
      </c>
      <c r="F1310" s="111">
        <v>0.7054</v>
      </c>
      <c r="G1310" s="111">
        <v>0.335</v>
      </c>
      <c r="H1310" s="110" t="s">
        <v>277</v>
      </c>
      <c r="I1310" s="112">
        <f t="shared" si="1"/>
        <v>1.105671642</v>
      </c>
      <c r="J1310" s="82">
        <f t="shared" si="2"/>
        <v>0.4749078537</v>
      </c>
    </row>
    <row r="1311">
      <c r="A1311" s="101">
        <v>44706.0</v>
      </c>
      <c r="B1311" s="111">
        <v>2378.0</v>
      </c>
      <c r="C1311" s="111">
        <v>2.0</v>
      </c>
      <c r="D1311" s="110" t="s">
        <v>227</v>
      </c>
      <c r="E1311" s="111">
        <v>0.0</v>
      </c>
      <c r="F1311" s="111">
        <v>0.227</v>
      </c>
      <c r="G1311" s="111">
        <v>0.1</v>
      </c>
      <c r="H1311" s="110" t="s">
        <v>277</v>
      </c>
      <c r="I1311" s="112">
        <f t="shared" si="1"/>
        <v>1.27</v>
      </c>
      <c r="J1311" s="82">
        <f t="shared" si="2"/>
        <v>0.4405286344</v>
      </c>
    </row>
    <row r="1312">
      <c r="A1312" s="101">
        <v>44706.0</v>
      </c>
      <c r="B1312" s="111">
        <v>2378.0</v>
      </c>
      <c r="C1312" s="111">
        <v>3.0</v>
      </c>
      <c r="D1312" s="110" t="s">
        <v>228</v>
      </c>
      <c r="E1312" s="111">
        <v>0.0</v>
      </c>
      <c r="F1312" s="111">
        <v>1.2142</v>
      </c>
      <c r="G1312" s="111">
        <v>0.603</v>
      </c>
      <c r="H1312" s="110" t="s">
        <v>277</v>
      </c>
      <c r="I1312" s="112">
        <f t="shared" si="1"/>
        <v>1.013598673</v>
      </c>
      <c r="J1312" s="82">
        <f t="shared" si="2"/>
        <v>0.4966232911</v>
      </c>
    </row>
    <row r="1313">
      <c r="A1313" s="101">
        <v>44706.0</v>
      </c>
      <c r="B1313" s="111">
        <v>2378.0</v>
      </c>
      <c r="C1313" s="111">
        <v>3.0</v>
      </c>
      <c r="D1313" s="110" t="s">
        <v>227</v>
      </c>
      <c r="E1313" s="111">
        <v>1.0</v>
      </c>
      <c r="F1313" s="111">
        <v>0.09809</v>
      </c>
      <c r="G1313" s="111">
        <v>0.048</v>
      </c>
      <c r="H1313" s="110" t="s">
        <v>277</v>
      </c>
      <c r="I1313" s="112">
        <f t="shared" si="1"/>
        <v>1.043541667</v>
      </c>
      <c r="J1313" s="82">
        <f t="shared" si="2"/>
        <v>0.4893465185</v>
      </c>
    </row>
    <row r="1314">
      <c r="A1314" s="101">
        <v>44706.0</v>
      </c>
      <c r="B1314" s="111">
        <v>2378.0</v>
      </c>
      <c r="C1314" s="111">
        <v>3.0</v>
      </c>
      <c r="D1314" s="110" t="s">
        <v>227</v>
      </c>
      <c r="E1314" s="111">
        <v>0.0</v>
      </c>
      <c r="F1314" s="111">
        <v>0.2786</v>
      </c>
      <c r="G1314" s="111">
        <v>0.1355</v>
      </c>
      <c r="H1314" s="110" t="s">
        <v>277</v>
      </c>
      <c r="I1314" s="112">
        <f t="shared" si="1"/>
        <v>1.056088561</v>
      </c>
      <c r="J1314" s="82">
        <f t="shared" si="2"/>
        <v>0.4863603733</v>
      </c>
    </row>
    <row r="1315">
      <c r="A1315" s="101">
        <v>44706.0</v>
      </c>
      <c r="B1315" s="111">
        <v>2379.0</v>
      </c>
      <c r="C1315" s="111">
        <v>1.0</v>
      </c>
      <c r="D1315" s="110" t="s">
        <v>227</v>
      </c>
      <c r="E1315" s="111">
        <v>1.0</v>
      </c>
      <c r="F1315" s="111">
        <v>0.1774</v>
      </c>
      <c r="G1315" s="111">
        <v>0.088</v>
      </c>
      <c r="H1315" s="110" t="s">
        <v>277</v>
      </c>
      <c r="I1315" s="112">
        <f t="shared" si="1"/>
        <v>1.015909091</v>
      </c>
      <c r="J1315" s="82">
        <f t="shared" si="2"/>
        <v>0.496054115</v>
      </c>
    </row>
    <row r="1316">
      <c r="A1316" s="101">
        <v>44706.0</v>
      </c>
      <c r="B1316" s="111">
        <v>2379.0</v>
      </c>
      <c r="C1316" s="111">
        <v>1.0</v>
      </c>
      <c r="D1316" s="110" t="s">
        <v>228</v>
      </c>
      <c r="E1316" s="111">
        <v>0.0</v>
      </c>
      <c r="F1316" s="111">
        <v>0.782</v>
      </c>
      <c r="G1316" s="111">
        <v>0.383</v>
      </c>
      <c r="H1316" s="110" t="s">
        <v>277</v>
      </c>
      <c r="I1316" s="112">
        <f t="shared" si="1"/>
        <v>1.041775457</v>
      </c>
      <c r="J1316" s="82">
        <f t="shared" si="2"/>
        <v>0.489769821</v>
      </c>
    </row>
    <row r="1317">
      <c r="A1317" s="101">
        <v>44706.0</v>
      </c>
      <c r="B1317" s="111">
        <v>2379.0</v>
      </c>
      <c r="C1317" s="111">
        <v>1.0</v>
      </c>
      <c r="D1317" s="110" t="s">
        <v>227</v>
      </c>
      <c r="E1317" s="111">
        <v>0.0</v>
      </c>
      <c r="F1317" s="111">
        <v>0.0552</v>
      </c>
      <c r="G1317" s="111">
        <v>0.025</v>
      </c>
      <c r="H1317" s="110" t="s">
        <v>277</v>
      </c>
      <c r="I1317" s="112">
        <f t="shared" si="1"/>
        <v>1.208</v>
      </c>
      <c r="J1317" s="82">
        <f t="shared" si="2"/>
        <v>0.4528985507</v>
      </c>
    </row>
    <row r="1318">
      <c r="A1318" s="101">
        <v>44706.0</v>
      </c>
      <c r="B1318" s="111">
        <v>2379.0</v>
      </c>
      <c r="C1318" s="111">
        <v>2.0</v>
      </c>
      <c r="D1318" s="110" t="s">
        <v>228</v>
      </c>
      <c r="E1318" s="111">
        <v>0.0</v>
      </c>
      <c r="F1318" s="111">
        <v>1.4335</v>
      </c>
      <c r="G1318" s="111">
        <v>0.699</v>
      </c>
      <c r="H1318" s="110" t="s">
        <v>277</v>
      </c>
      <c r="I1318" s="112">
        <f t="shared" si="1"/>
        <v>1.050786838</v>
      </c>
      <c r="J1318" s="82">
        <f t="shared" si="2"/>
        <v>0.4876177189</v>
      </c>
    </row>
    <row r="1319">
      <c r="A1319" s="101">
        <v>44706.0</v>
      </c>
      <c r="B1319" s="111">
        <v>2379.0</v>
      </c>
      <c r="C1319" s="111">
        <v>2.0</v>
      </c>
      <c r="D1319" s="110" t="s">
        <v>227</v>
      </c>
      <c r="E1319" s="111">
        <v>1.0</v>
      </c>
      <c r="F1319" s="111">
        <v>0.4031</v>
      </c>
      <c r="G1319" s="111">
        <v>0.196</v>
      </c>
      <c r="H1319" s="110" t="s">
        <v>277</v>
      </c>
      <c r="I1319" s="112">
        <f t="shared" si="1"/>
        <v>1.056632653</v>
      </c>
      <c r="J1319" s="82">
        <f t="shared" si="2"/>
        <v>0.4862317043</v>
      </c>
    </row>
    <row r="1320">
      <c r="A1320" s="101">
        <v>44706.0</v>
      </c>
      <c r="B1320" s="111">
        <v>2379.0</v>
      </c>
      <c r="C1320" s="111">
        <v>2.0</v>
      </c>
      <c r="D1320" s="110" t="s">
        <v>227</v>
      </c>
      <c r="E1320" s="111">
        <v>0.0</v>
      </c>
      <c r="F1320" s="111">
        <v>0.1091</v>
      </c>
      <c r="G1320" s="111">
        <v>0.048</v>
      </c>
      <c r="H1320" s="110" t="s">
        <v>277</v>
      </c>
      <c r="I1320" s="112">
        <f t="shared" si="1"/>
        <v>1.272916667</v>
      </c>
      <c r="J1320" s="82">
        <f t="shared" si="2"/>
        <v>0.4399633364</v>
      </c>
    </row>
    <row r="1321">
      <c r="A1321" s="101">
        <v>44706.0</v>
      </c>
      <c r="B1321" s="111">
        <v>2379.0</v>
      </c>
      <c r="C1321" s="111">
        <v>3.0</v>
      </c>
      <c r="D1321" s="110" t="s">
        <v>228</v>
      </c>
      <c r="E1321" s="111">
        <v>0.0</v>
      </c>
      <c r="F1321" s="111">
        <v>1.3013</v>
      </c>
      <c r="G1321" s="111">
        <v>0.646</v>
      </c>
      <c r="H1321" s="110" t="s">
        <v>277</v>
      </c>
      <c r="I1321" s="112">
        <f t="shared" si="1"/>
        <v>1.014396285</v>
      </c>
      <c r="J1321" s="82">
        <f t="shared" si="2"/>
        <v>0.4964266503</v>
      </c>
    </row>
    <row r="1322">
      <c r="A1322" s="101">
        <v>44706.0</v>
      </c>
      <c r="B1322" s="111">
        <v>2379.0</v>
      </c>
      <c r="C1322" s="111">
        <v>3.0</v>
      </c>
      <c r="D1322" s="110" t="s">
        <v>227</v>
      </c>
      <c r="E1322" s="111">
        <v>1.0</v>
      </c>
      <c r="F1322" s="111">
        <v>0.4479</v>
      </c>
      <c r="G1322" s="111">
        <v>0.2213</v>
      </c>
      <c r="H1322" s="110" t="s">
        <v>277</v>
      </c>
      <c r="I1322" s="112">
        <f t="shared" si="1"/>
        <v>1.02394939</v>
      </c>
      <c r="J1322" s="82">
        <f t="shared" si="2"/>
        <v>0.4940835008</v>
      </c>
    </row>
    <row r="1323">
      <c r="A1323" s="101">
        <v>44706.0</v>
      </c>
      <c r="B1323" s="111">
        <v>2379.0</v>
      </c>
      <c r="C1323" s="111">
        <v>3.0</v>
      </c>
      <c r="D1323" s="110" t="s">
        <v>227</v>
      </c>
      <c r="E1323" s="111">
        <v>0.0</v>
      </c>
      <c r="F1323" s="111">
        <v>0.117</v>
      </c>
      <c r="G1323" s="111">
        <v>0.051</v>
      </c>
      <c r="H1323" s="110" t="s">
        <v>277</v>
      </c>
      <c r="I1323" s="112">
        <f t="shared" si="1"/>
        <v>1.294117647</v>
      </c>
      <c r="J1323" s="82">
        <f t="shared" si="2"/>
        <v>0.4358974359</v>
      </c>
    </row>
    <row r="1324">
      <c r="A1324" s="101">
        <v>44706.0</v>
      </c>
      <c r="B1324" s="111">
        <v>2380.0</v>
      </c>
      <c r="C1324" s="111">
        <v>1.0</v>
      </c>
      <c r="D1324" s="110" t="s">
        <v>228</v>
      </c>
      <c r="E1324" s="111">
        <v>1.0</v>
      </c>
      <c r="F1324" s="111">
        <v>1.2283</v>
      </c>
      <c r="G1324" s="111">
        <v>0.796</v>
      </c>
      <c r="H1324" s="110" t="s">
        <v>277</v>
      </c>
      <c r="I1324" s="112">
        <f t="shared" si="1"/>
        <v>0.5430904523</v>
      </c>
      <c r="J1324" s="82">
        <f t="shared" si="2"/>
        <v>0.6480501506</v>
      </c>
    </row>
    <row r="1325">
      <c r="A1325" s="101">
        <v>44706.0</v>
      </c>
      <c r="B1325" s="111">
        <v>2380.0</v>
      </c>
      <c r="C1325" s="111">
        <v>1.0</v>
      </c>
      <c r="D1325" s="110" t="s">
        <v>227</v>
      </c>
      <c r="E1325" s="111">
        <v>1.0</v>
      </c>
      <c r="F1325" s="111">
        <v>0.2349</v>
      </c>
      <c r="G1325" s="111">
        <v>0.134</v>
      </c>
      <c r="H1325" s="110" t="s">
        <v>277</v>
      </c>
      <c r="I1325" s="112">
        <f t="shared" si="1"/>
        <v>0.7529850746</v>
      </c>
      <c r="J1325" s="82">
        <f t="shared" si="2"/>
        <v>0.570455513</v>
      </c>
    </row>
    <row r="1326">
      <c r="A1326" s="101">
        <v>44706.0</v>
      </c>
      <c r="B1326" s="111">
        <v>2380.0</v>
      </c>
      <c r="C1326" s="111">
        <v>2.0</v>
      </c>
      <c r="D1326" s="110" t="s">
        <v>227</v>
      </c>
      <c r="E1326" s="111">
        <v>1.0</v>
      </c>
      <c r="F1326" s="111">
        <v>0.3579</v>
      </c>
      <c r="G1326" s="111">
        <v>0.202</v>
      </c>
      <c r="H1326" s="110" t="s">
        <v>277</v>
      </c>
      <c r="I1326" s="112">
        <f t="shared" si="1"/>
        <v>0.7717821782</v>
      </c>
      <c r="J1326" s="82">
        <f t="shared" si="2"/>
        <v>0.5644034647</v>
      </c>
    </row>
    <row r="1327">
      <c r="A1327" s="101">
        <v>44706.0</v>
      </c>
      <c r="B1327" s="111">
        <v>2380.0</v>
      </c>
      <c r="C1327" s="111">
        <v>2.0</v>
      </c>
      <c r="D1327" s="110" t="s">
        <v>228</v>
      </c>
      <c r="E1327" s="111">
        <v>0.0</v>
      </c>
      <c r="F1327" s="111">
        <v>0.02</v>
      </c>
      <c r="G1327" s="111">
        <v>0.011</v>
      </c>
      <c r="H1327" s="110" t="s">
        <v>277</v>
      </c>
      <c r="I1327" s="112">
        <f t="shared" si="1"/>
        <v>0.8181818182</v>
      </c>
      <c r="J1327" s="82">
        <f t="shared" si="2"/>
        <v>0.55</v>
      </c>
    </row>
    <row r="1328">
      <c r="A1328" s="101">
        <v>44706.0</v>
      </c>
      <c r="B1328" s="111">
        <v>2380.0</v>
      </c>
      <c r="C1328" s="111">
        <v>2.0</v>
      </c>
      <c r="D1328" s="110" t="s">
        <v>227</v>
      </c>
      <c r="E1328" s="111">
        <v>0.0</v>
      </c>
      <c r="F1328" s="111">
        <v>0.0268</v>
      </c>
      <c r="G1328" s="111">
        <v>0.0114</v>
      </c>
      <c r="H1328" s="110" t="s">
        <v>277</v>
      </c>
      <c r="I1328" s="112">
        <f t="shared" si="1"/>
        <v>1.350877193</v>
      </c>
      <c r="J1328" s="82">
        <f t="shared" si="2"/>
        <v>0.4253731343</v>
      </c>
    </row>
    <row r="1329">
      <c r="A1329" s="101">
        <v>44706.0</v>
      </c>
      <c r="B1329" s="111">
        <v>2380.0</v>
      </c>
      <c r="C1329" s="111">
        <v>3.0</v>
      </c>
      <c r="D1329" s="110" t="s">
        <v>228</v>
      </c>
      <c r="E1329" s="111">
        <v>1.0</v>
      </c>
      <c r="F1329" s="111">
        <v>0.9965</v>
      </c>
      <c r="G1329" s="111">
        <v>0.631</v>
      </c>
      <c r="H1329" s="110" t="s">
        <v>277</v>
      </c>
      <c r="I1329" s="112">
        <f t="shared" si="1"/>
        <v>0.5792393027</v>
      </c>
      <c r="J1329" s="82">
        <f t="shared" si="2"/>
        <v>0.6332162569</v>
      </c>
    </row>
    <row r="1330">
      <c r="A1330" s="101">
        <v>44706.0</v>
      </c>
      <c r="B1330" s="111">
        <v>2380.0</v>
      </c>
      <c r="C1330" s="111">
        <v>3.0</v>
      </c>
      <c r="D1330" s="110" t="s">
        <v>227</v>
      </c>
      <c r="E1330" s="111">
        <v>1.0</v>
      </c>
      <c r="F1330" s="111">
        <v>0.6531</v>
      </c>
      <c r="G1330" s="111">
        <v>0.368</v>
      </c>
      <c r="H1330" s="110" t="s">
        <v>277</v>
      </c>
      <c r="I1330" s="112">
        <f t="shared" si="1"/>
        <v>0.7747282609</v>
      </c>
      <c r="J1330" s="82">
        <f t="shared" si="2"/>
        <v>0.5634665442</v>
      </c>
    </row>
    <row r="1331">
      <c r="A1331" s="101">
        <v>44706.0</v>
      </c>
      <c r="B1331" s="111">
        <v>2380.0</v>
      </c>
      <c r="C1331" s="111">
        <v>3.0</v>
      </c>
      <c r="D1331" s="110" t="s">
        <v>228</v>
      </c>
      <c r="E1331" s="111">
        <v>0.0</v>
      </c>
      <c r="F1331" s="111">
        <v>0.0735</v>
      </c>
      <c r="G1331" s="111">
        <v>0.0383</v>
      </c>
      <c r="H1331" s="110" t="s">
        <v>277</v>
      </c>
      <c r="I1331" s="112">
        <f t="shared" si="1"/>
        <v>0.9190600522</v>
      </c>
      <c r="J1331" s="82">
        <f t="shared" si="2"/>
        <v>0.5210884354</v>
      </c>
    </row>
    <row r="1332">
      <c r="A1332" s="101">
        <v>44706.0</v>
      </c>
      <c r="B1332" s="111">
        <v>2380.0</v>
      </c>
      <c r="C1332" s="111">
        <v>3.0</v>
      </c>
      <c r="D1332" s="110" t="s">
        <v>227</v>
      </c>
      <c r="E1332" s="111">
        <v>0.0</v>
      </c>
      <c r="F1332" s="111">
        <v>0.0381</v>
      </c>
      <c r="G1332" s="111">
        <v>0.017</v>
      </c>
      <c r="H1332" s="110" t="s">
        <v>277</v>
      </c>
      <c r="I1332" s="112">
        <f t="shared" si="1"/>
        <v>1.241176471</v>
      </c>
      <c r="J1332" s="82">
        <f t="shared" si="2"/>
        <v>0.4461942257</v>
      </c>
    </row>
    <row r="1333">
      <c r="A1333" s="101">
        <v>44706.0</v>
      </c>
      <c r="B1333" s="111">
        <v>2381.0</v>
      </c>
      <c r="C1333" s="111">
        <v>1.0</v>
      </c>
      <c r="D1333" s="110" t="s">
        <v>227</v>
      </c>
      <c r="E1333" s="111">
        <v>1.0</v>
      </c>
      <c r="F1333" s="111">
        <v>0.5631</v>
      </c>
      <c r="G1333" s="111">
        <v>0.286</v>
      </c>
      <c r="H1333" s="110" t="s">
        <v>277</v>
      </c>
      <c r="I1333" s="112">
        <f t="shared" si="1"/>
        <v>0.9688811189</v>
      </c>
      <c r="J1333" s="82">
        <f t="shared" si="2"/>
        <v>0.5079026816</v>
      </c>
    </row>
    <row r="1334">
      <c r="A1334" s="101">
        <v>44706.0</v>
      </c>
      <c r="B1334" s="111">
        <v>2381.0</v>
      </c>
      <c r="C1334" s="111">
        <v>1.0</v>
      </c>
      <c r="D1334" s="110" t="s">
        <v>228</v>
      </c>
      <c r="E1334" s="111">
        <v>0.0</v>
      </c>
      <c r="F1334" s="111">
        <v>0.1097</v>
      </c>
      <c r="G1334" s="111">
        <v>0.051</v>
      </c>
      <c r="H1334" s="110" t="s">
        <v>277</v>
      </c>
      <c r="I1334" s="112">
        <f t="shared" si="1"/>
        <v>1.150980392</v>
      </c>
      <c r="J1334" s="82">
        <f t="shared" si="2"/>
        <v>0.4649042844</v>
      </c>
    </row>
    <row r="1335">
      <c r="A1335" s="101">
        <v>44706.0</v>
      </c>
      <c r="B1335" s="111">
        <v>2381.0</v>
      </c>
      <c r="C1335" s="111">
        <v>2.0</v>
      </c>
      <c r="D1335" s="110" t="s">
        <v>228</v>
      </c>
      <c r="E1335" s="111">
        <v>0.0</v>
      </c>
      <c r="F1335" s="111">
        <v>1.6365</v>
      </c>
      <c r="G1335" s="111">
        <v>0.841</v>
      </c>
      <c r="H1335" s="110" t="s">
        <v>277</v>
      </c>
      <c r="I1335" s="112">
        <f t="shared" si="1"/>
        <v>0.9458977408</v>
      </c>
      <c r="J1335" s="82">
        <f t="shared" si="2"/>
        <v>0.5139016193</v>
      </c>
    </row>
    <row r="1336">
      <c r="A1336" s="101">
        <v>44706.0</v>
      </c>
      <c r="B1336" s="111">
        <v>2381.0</v>
      </c>
      <c r="C1336" s="111">
        <v>2.0</v>
      </c>
      <c r="D1336" s="110" t="s">
        <v>228</v>
      </c>
      <c r="E1336" s="111">
        <v>0.0</v>
      </c>
      <c r="F1336" s="111">
        <v>1.722</v>
      </c>
      <c r="G1336" s="111">
        <v>0.861</v>
      </c>
      <c r="H1336" s="110" t="s">
        <v>277</v>
      </c>
      <c r="I1336" s="112">
        <f t="shared" si="1"/>
        <v>1</v>
      </c>
      <c r="J1336" s="82">
        <f t="shared" si="2"/>
        <v>0.5</v>
      </c>
    </row>
    <row r="1337">
      <c r="A1337" s="101">
        <v>44706.0</v>
      </c>
      <c r="B1337" s="111">
        <v>2381.0</v>
      </c>
      <c r="C1337" s="111">
        <v>2.0</v>
      </c>
      <c r="D1337" s="110" t="s">
        <v>227</v>
      </c>
      <c r="E1337" s="111">
        <v>1.0</v>
      </c>
      <c r="F1337" s="111">
        <v>0.5225</v>
      </c>
      <c r="G1337" s="111">
        <v>0.259</v>
      </c>
      <c r="H1337" s="110" t="s">
        <v>277</v>
      </c>
      <c r="I1337" s="112">
        <f t="shared" si="1"/>
        <v>1.017374517</v>
      </c>
      <c r="J1337" s="82">
        <f t="shared" si="2"/>
        <v>0.4956937799</v>
      </c>
    </row>
    <row r="1338">
      <c r="A1338" s="101">
        <v>44706.0</v>
      </c>
      <c r="B1338" s="111">
        <v>2381.0</v>
      </c>
      <c r="C1338" s="111">
        <v>2.0</v>
      </c>
      <c r="D1338" s="110" t="s">
        <v>227</v>
      </c>
      <c r="E1338" s="111">
        <v>0.0</v>
      </c>
      <c r="F1338" s="111">
        <v>0.1082</v>
      </c>
      <c r="G1338" s="111">
        <v>0.052</v>
      </c>
      <c r="H1338" s="110" t="s">
        <v>277</v>
      </c>
      <c r="I1338" s="112">
        <f t="shared" si="1"/>
        <v>1.080769231</v>
      </c>
      <c r="J1338" s="82">
        <f t="shared" si="2"/>
        <v>0.4805914972</v>
      </c>
    </row>
    <row r="1339">
      <c r="A1339" s="101">
        <v>44706.0</v>
      </c>
      <c r="B1339" s="111">
        <v>2381.0</v>
      </c>
      <c r="C1339" s="111">
        <v>3.0</v>
      </c>
      <c r="D1339" s="110" t="s">
        <v>228</v>
      </c>
      <c r="E1339" s="111">
        <v>0.0</v>
      </c>
      <c r="F1339" s="111">
        <v>1.0952</v>
      </c>
      <c r="G1339" s="111">
        <v>0.575</v>
      </c>
      <c r="H1339" s="110" t="s">
        <v>277</v>
      </c>
      <c r="I1339" s="112">
        <f t="shared" si="1"/>
        <v>0.9046956522</v>
      </c>
      <c r="J1339" s="82">
        <f t="shared" si="2"/>
        <v>0.5250182615</v>
      </c>
    </row>
    <row r="1340">
      <c r="A1340" s="101">
        <v>44706.0</v>
      </c>
      <c r="B1340" s="111">
        <v>2381.0</v>
      </c>
      <c r="C1340" s="111">
        <v>3.0</v>
      </c>
      <c r="D1340" s="110" t="s">
        <v>227</v>
      </c>
      <c r="E1340" s="111">
        <v>0.0</v>
      </c>
      <c r="F1340" s="111">
        <v>0.0885</v>
      </c>
      <c r="G1340" s="111">
        <v>0.044</v>
      </c>
      <c r="H1340" s="110" t="s">
        <v>277</v>
      </c>
      <c r="I1340" s="112">
        <f t="shared" si="1"/>
        <v>1.011363636</v>
      </c>
      <c r="J1340" s="82">
        <f t="shared" si="2"/>
        <v>0.4971751412</v>
      </c>
    </row>
    <row r="1341">
      <c r="A1341" s="101">
        <v>44706.0</v>
      </c>
      <c r="B1341" s="111">
        <v>2381.0</v>
      </c>
      <c r="C1341" s="111">
        <v>3.0</v>
      </c>
      <c r="D1341" s="110" t="s">
        <v>227</v>
      </c>
      <c r="E1341" s="111">
        <v>1.0</v>
      </c>
      <c r="F1341" s="111">
        <v>0.2843</v>
      </c>
      <c r="G1341" s="111">
        <v>0.14</v>
      </c>
      <c r="H1341" s="110" t="s">
        <v>277</v>
      </c>
      <c r="I1341" s="112">
        <f t="shared" si="1"/>
        <v>1.030714286</v>
      </c>
      <c r="J1341" s="82">
        <f t="shared" si="2"/>
        <v>0.492437566</v>
      </c>
    </row>
    <row r="1342">
      <c r="A1342" s="101">
        <v>44706.0</v>
      </c>
      <c r="B1342" s="111">
        <v>2382.0</v>
      </c>
      <c r="C1342" s="111">
        <v>1.0</v>
      </c>
      <c r="D1342" s="110" t="s">
        <v>227</v>
      </c>
      <c r="E1342" s="111">
        <v>1.0</v>
      </c>
      <c r="F1342" s="111">
        <v>0.123</v>
      </c>
      <c r="G1342" s="111">
        <v>0.0617</v>
      </c>
      <c r="H1342" s="110" t="s">
        <v>277</v>
      </c>
      <c r="I1342" s="112">
        <f t="shared" si="1"/>
        <v>0.9935170178</v>
      </c>
      <c r="J1342" s="82">
        <f t="shared" si="2"/>
        <v>0.5016260163</v>
      </c>
    </row>
    <row r="1343">
      <c r="A1343" s="101">
        <v>44706.0</v>
      </c>
      <c r="B1343" s="111">
        <v>2382.0</v>
      </c>
      <c r="C1343" s="111">
        <v>1.0</v>
      </c>
      <c r="D1343" s="110" t="s">
        <v>228</v>
      </c>
      <c r="E1343" s="111">
        <v>0.0</v>
      </c>
      <c r="F1343" s="111">
        <v>0.6251</v>
      </c>
      <c r="G1343" s="111">
        <v>0.305</v>
      </c>
      <c r="H1343" s="110" t="s">
        <v>277</v>
      </c>
      <c r="I1343" s="112">
        <f t="shared" si="1"/>
        <v>1.049508197</v>
      </c>
      <c r="J1343" s="82">
        <f t="shared" si="2"/>
        <v>0.4879219325</v>
      </c>
    </row>
    <row r="1344">
      <c r="A1344" s="101">
        <v>44706.0</v>
      </c>
      <c r="B1344" s="111">
        <v>2382.0</v>
      </c>
      <c r="C1344" s="111">
        <v>1.0</v>
      </c>
      <c r="D1344" s="110" t="s">
        <v>227</v>
      </c>
      <c r="E1344" s="111">
        <v>0.0</v>
      </c>
      <c r="F1344" s="111">
        <v>0.0453</v>
      </c>
      <c r="G1344" s="111">
        <v>0.0199</v>
      </c>
      <c r="H1344" s="110" t="s">
        <v>277</v>
      </c>
      <c r="I1344" s="112">
        <f t="shared" si="1"/>
        <v>1.27638191</v>
      </c>
      <c r="J1344" s="82">
        <f t="shared" si="2"/>
        <v>0.4392935982</v>
      </c>
    </row>
    <row r="1345">
      <c r="A1345" s="101">
        <v>44706.0</v>
      </c>
      <c r="B1345" s="111">
        <v>2382.0</v>
      </c>
      <c r="C1345" s="111">
        <v>2.0</v>
      </c>
      <c r="D1345" s="110" t="s">
        <v>228</v>
      </c>
      <c r="E1345" s="111">
        <v>0.0</v>
      </c>
      <c r="F1345" s="111">
        <v>1.1546</v>
      </c>
      <c r="G1345" s="111">
        <v>0.611</v>
      </c>
      <c r="H1345" s="110" t="s">
        <v>277</v>
      </c>
      <c r="I1345" s="112">
        <f t="shared" si="1"/>
        <v>0.8896890344</v>
      </c>
      <c r="J1345" s="82">
        <f t="shared" si="2"/>
        <v>0.5291875974</v>
      </c>
    </row>
    <row r="1346">
      <c r="A1346" s="101">
        <v>44706.0</v>
      </c>
      <c r="B1346" s="111">
        <v>2382.0</v>
      </c>
      <c r="C1346" s="111">
        <v>2.0</v>
      </c>
      <c r="D1346" s="110" t="s">
        <v>227</v>
      </c>
      <c r="E1346" s="111">
        <v>0.0</v>
      </c>
      <c r="F1346" s="111">
        <v>0.0965</v>
      </c>
      <c r="G1346" s="111">
        <v>0.0484</v>
      </c>
      <c r="H1346" s="110" t="s">
        <v>277</v>
      </c>
      <c r="I1346" s="112">
        <f t="shared" si="1"/>
        <v>0.9938016529</v>
      </c>
      <c r="J1346" s="82">
        <f t="shared" si="2"/>
        <v>0.5015544041</v>
      </c>
    </row>
    <row r="1347">
      <c r="A1347" s="101">
        <v>44706.0</v>
      </c>
      <c r="B1347" s="111">
        <v>2382.0</v>
      </c>
      <c r="C1347" s="111">
        <v>2.0</v>
      </c>
      <c r="D1347" s="110" t="s">
        <v>227</v>
      </c>
      <c r="E1347" s="111">
        <v>1.0</v>
      </c>
      <c r="F1347" s="111">
        <v>0.1819</v>
      </c>
      <c r="G1347" s="111">
        <v>0.0904</v>
      </c>
      <c r="H1347" s="110" t="s">
        <v>277</v>
      </c>
      <c r="I1347" s="112">
        <f t="shared" si="1"/>
        <v>1.012168142</v>
      </c>
      <c r="J1347" s="82">
        <f t="shared" si="2"/>
        <v>0.4969763606</v>
      </c>
    </row>
    <row r="1348">
      <c r="A1348" s="101">
        <v>44706.0</v>
      </c>
      <c r="B1348" s="111">
        <v>2382.0</v>
      </c>
      <c r="C1348" s="111">
        <v>3.0</v>
      </c>
      <c r="D1348" s="110" t="s">
        <v>227</v>
      </c>
      <c r="E1348" s="111">
        <v>1.0</v>
      </c>
      <c r="F1348" s="111">
        <v>0.075</v>
      </c>
      <c r="G1348" s="111">
        <v>0.0364</v>
      </c>
      <c r="H1348" s="110" t="s">
        <v>277</v>
      </c>
      <c r="I1348" s="112">
        <f t="shared" si="1"/>
        <v>1.06043956</v>
      </c>
      <c r="J1348" s="82">
        <f t="shared" si="2"/>
        <v>0.4853333333</v>
      </c>
    </row>
    <row r="1349">
      <c r="A1349" s="101">
        <v>44706.0</v>
      </c>
      <c r="B1349" s="111">
        <v>2382.0</v>
      </c>
      <c r="C1349" s="111">
        <v>3.0</v>
      </c>
      <c r="D1349" s="110" t="s">
        <v>227</v>
      </c>
      <c r="E1349" s="111">
        <v>0.0</v>
      </c>
      <c r="F1349" s="111">
        <v>0.0842</v>
      </c>
      <c r="G1349" s="111">
        <v>0.039</v>
      </c>
      <c r="H1349" s="110" t="s">
        <v>277</v>
      </c>
      <c r="I1349" s="112">
        <f t="shared" si="1"/>
        <v>1.158974359</v>
      </c>
      <c r="J1349" s="82">
        <f t="shared" si="2"/>
        <v>0.4631828979</v>
      </c>
    </row>
    <row r="1350">
      <c r="A1350" s="101">
        <v>44706.0</v>
      </c>
      <c r="B1350" s="111">
        <v>2382.0</v>
      </c>
      <c r="C1350" s="111">
        <v>3.0</v>
      </c>
      <c r="D1350" s="110" t="s">
        <v>228</v>
      </c>
      <c r="E1350" s="111">
        <v>0.0</v>
      </c>
      <c r="F1350" s="111">
        <v>0.9931</v>
      </c>
      <c r="G1350" s="111">
        <v>0.0506</v>
      </c>
      <c r="H1350" s="110" t="s">
        <v>277</v>
      </c>
      <c r="I1350" s="112">
        <f t="shared" si="1"/>
        <v>18.62648221</v>
      </c>
      <c r="J1350" s="82">
        <f t="shared" si="2"/>
        <v>0.0509515658</v>
      </c>
      <c r="K1350" s="66">
        <v>1.0</v>
      </c>
    </row>
    <row r="1351">
      <c r="A1351" s="101">
        <v>44708.0</v>
      </c>
      <c r="B1351" s="111">
        <v>1478.0</v>
      </c>
      <c r="C1351" s="111">
        <v>1.0</v>
      </c>
      <c r="D1351" s="110" t="s">
        <v>228</v>
      </c>
      <c r="E1351" s="111">
        <v>0.0</v>
      </c>
      <c r="F1351" s="111">
        <v>0.52</v>
      </c>
      <c r="G1351" s="111">
        <v>0.272</v>
      </c>
      <c r="H1351" s="110" t="s">
        <v>277</v>
      </c>
      <c r="I1351" s="112">
        <f t="shared" si="1"/>
        <v>0.9117647059</v>
      </c>
      <c r="J1351" s="82">
        <f t="shared" si="2"/>
        <v>0.5230769231</v>
      </c>
    </row>
    <row r="1352">
      <c r="A1352" s="101">
        <v>44708.0</v>
      </c>
      <c r="B1352" s="111">
        <v>1478.0</v>
      </c>
      <c r="C1352" s="111">
        <v>1.0</v>
      </c>
      <c r="D1352" s="110" t="s">
        <v>227</v>
      </c>
      <c r="E1352" s="111">
        <v>0.0</v>
      </c>
      <c r="F1352" s="111">
        <v>0.144</v>
      </c>
      <c r="G1352" s="111">
        <v>0.064</v>
      </c>
      <c r="H1352" s="110" t="s">
        <v>277</v>
      </c>
      <c r="I1352" s="112">
        <f t="shared" si="1"/>
        <v>1.25</v>
      </c>
      <c r="J1352" s="82">
        <f t="shared" si="2"/>
        <v>0.4444444444</v>
      </c>
    </row>
    <row r="1353">
      <c r="A1353" s="101">
        <v>44708.0</v>
      </c>
      <c r="B1353" s="111">
        <v>1478.0</v>
      </c>
      <c r="C1353" s="111">
        <v>2.0</v>
      </c>
      <c r="D1353" s="110" t="s">
        <v>228</v>
      </c>
      <c r="E1353" s="111">
        <v>0.0</v>
      </c>
      <c r="F1353" s="111">
        <v>0.735</v>
      </c>
      <c r="G1353" s="111">
        <v>0.379</v>
      </c>
      <c r="H1353" s="110" t="s">
        <v>277</v>
      </c>
      <c r="I1353" s="112">
        <f t="shared" si="1"/>
        <v>0.9393139842</v>
      </c>
      <c r="J1353" s="82">
        <f t="shared" si="2"/>
        <v>0.5156462585</v>
      </c>
    </row>
    <row r="1354">
      <c r="A1354" s="101">
        <v>44708.0</v>
      </c>
      <c r="B1354" s="111">
        <v>1478.0</v>
      </c>
      <c r="C1354" s="111">
        <v>2.0</v>
      </c>
      <c r="D1354" s="110" t="s">
        <v>227</v>
      </c>
      <c r="E1354" s="111">
        <v>0.0</v>
      </c>
      <c r="F1354" s="111">
        <v>0.144</v>
      </c>
      <c r="G1354" s="111">
        <v>0.065</v>
      </c>
      <c r="H1354" s="110" t="s">
        <v>277</v>
      </c>
      <c r="I1354" s="112">
        <f t="shared" si="1"/>
        <v>1.215384615</v>
      </c>
      <c r="J1354" s="82">
        <f t="shared" si="2"/>
        <v>0.4513888889</v>
      </c>
    </row>
    <row r="1355">
      <c r="A1355" s="101">
        <v>44708.0</v>
      </c>
      <c r="B1355" s="111">
        <v>1478.0</v>
      </c>
      <c r="C1355" s="111">
        <v>3.0</v>
      </c>
      <c r="D1355" s="110" t="s">
        <v>228</v>
      </c>
      <c r="E1355" s="111">
        <v>0.0</v>
      </c>
      <c r="F1355" s="111">
        <v>1.22</v>
      </c>
      <c r="G1355" s="111">
        <v>0.639</v>
      </c>
      <c r="H1355" s="110" t="s">
        <v>277</v>
      </c>
      <c r="I1355" s="112">
        <f t="shared" si="1"/>
        <v>0.9092331768</v>
      </c>
      <c r="J1355" s="82">
        <f t="shared" si="2"/>
        <v>0.5237704918</v>
      </c>
    </row>
    <row r="1356">
      <c r="A1356" s="101">
        <v>44708.0</v>
      </c>
      <c r="B1356" s="111">
        <v>1478.0</v>
      </c>
      <c r="C1356" s="111">
        <v>3.0</v>
      </c>
      <c r="D1356" s="110" t="s">
        <v>227</v>
      </c>
      <c r="E1356" s="111">
        <v>0.0</v>
      </c>
      <c r="F1356" s="111">
        <v>0.265</v>
      </c>
      <c r="G1356" s="111">
        <v>0.118</v>
      </c>
      <c r="H1356" s="110" t="s">
        <v>277</v>
      </c>
      <c r="I1356" s="112">
        <f t="shared" si="1"/>
        <v>1.245762712</v>
      </c>
      <c r="J1356" s="82">
        <f t="shared" si="2"/>
        <v>0.4452830189</v>
      </c>
    </row>
    <row r="1357">
      <c r="A1357" s="101">
        <v>44708.0</v>
      </c>
      <c r="B1357" s="111">
        <v>2004.0</v>
      </c>
      <c r="C1357" s="111">
        <v>1.0</v>
      </c>
      <c r="D1357" s="110" t="s">
        <v>228</v>
      </c>
      <c r="E1357" s="111">
        <v>0.0</v>
      </c>
      <c r="F1357" s="111">
        <v>0.775</v>
      </c>
      <c r="G1357" s="111">
        <v>0.472</v>
      </c>
      <c r="H1357" s="110" t="s">
        <v>277</v>
      </c>
      <c r="I1357" s="112">
        <f t="shared" si="1"/>
        <v>0.6419491525</v>
      </c>
      <c r="J1357" s="82">
        <f t="shared" si="2"/>
        <v>0.6090322581</v>
      </c>
    </row>
    <row r="1358">
      <c r="A1358" s="101">
        <v>44708.0</v>
      </c>
      <c r="B1358" s="111">
        <v>2004.0</v>
      </c>
      <c r="C1358" s="111">
        <v>1.0</v>
      </c>
      <c r="D1358" s="110" t="s">
        <v>227</v>
      </c>
      <c r="E1358" s="111">
        <v>0.0</v>
      </c>
      <c r="F1358" s="111">
        <v>0.147</v>
      </c>
      <c r="G1358" s="111">
        <v>0.082</v>
      </c>
      <c r="H1358" s="110" t="s">
        <v>277</v>
      </c>
      <c r="I1358" s="112">
        <f t="shared" si="1"/>
        <v>0.7926829268</v>
      </c>
      <c r="J1358" s="82">
        <f t="shared" si="2"/>
        <v>0.5578231293</v>
      </c>
    </row>
    <row r="1359">
      <c r="A1359" s="101">
        <v>44708.0</v>
      </c>
      <c r="B1359" s="111">
        <v>2004.0</v>
      </c>
      <c r="C1359" s="111">
        <v>2.0</v>
      </c>
      <c r="D1359" s="110" t="s">
        <v>228</v>
      </c>
      <c r="E1359" s="111">
        <v>0.0</v>
      </c>
      <c r="F1359" s="111">
        <v>0.939</v>
      </c>
      <c r="G1359" s="111">
        <v>0.528</v>
      </c>
      <c r="H1359" s="110" t="s">
        <v>277</v>
      </c>
      <c r="I1359" s="112">
        <f t="shared" si="1"/>
        <v>0.7784090909</v>
      </c>
      <c r="J1359" s="82">
        <f t="shared" si="2"/>
        <v>0.5623003195</v>
      </c>
    </row>
    <row r="1360">
      <c r="A1360" s="101">
        <v>44708.0</v>
      </c>
      <c r="B1360" s="111">
        <v>2004.0</v>
      </c>
      <c r="C1360" s="111">
        <v>2.0</v>
      </c>
      <c r="D1360" s="110" t="s">
        <v>227</v>
      </c>
      <c r="E1360" s="111">
        <v>0.0</v>
      </c>
      <c r="F1360" s="111">
        <v>0.225</v>
      </c>
      <c r="G1360" s="111">
        <v>0.113</v>
      </c>
      <c r="H1360" s="110" t="s">
        <v>277</v>
      </c>
      <c r="I1360" s="112">
        <f t="shared" si="1"/>
        <v>0.9911504425</v>
      </c>
      <c r="J1360" s="82">
        <f t="shared" si="2"/>
        <v>0.5022222222</v>
      </c>
    </row>
    <row r="1361">
      <c r="A1361" s="101">
        <v>44708.0</v>
      </c>
      <c r="B1361" s="111">
        <v>2004.0</v>
      </c>
      <c r="C1361" s="111">
        <v>3.0</v>
      </c>
      <c r="D1361" s="110" t="s">
        <v>228</v>
      </c>
      <c r="E1361" s="111">
        <v>0.0</v>
      </c>
      <c r="F1361" s="111">
        <v>0.387</v>
      </c>
      <c r="G1361" s="111">
        <v>0.218</v>
      </c>
      <c r="H1361" s="110" t="s">
        <v>277</v>
      </c>
      <c r="I1361" s="112">
        <f t="shared" si="1"/>
        <v>0.7752293578</v>
      </c>
      <c r="J1361" s="82">
        <f t="shared" si="2"/>
        <v>0.5633074935</v>
      </c>
    </row>
    <row r="1362">
      <c r="A1362" s="101">
        <v>44708.0</v>
      </c>
      <c r="B1362" s="111">
        <v>2004.0</v>
      </c>
      <c r="C1362" s="111">
        <v>3.0</v>
      </c>
      <c r="D1362" s="110" t="s">
        <v>227</v>
      </c>
      <c r="E1362" s="111">
        <v>0.0</v>
      </c>
      <c r="F1362" s="111">
        <v>0.062</v>
      </c>
      <c r="G1362" s="111">
        <v>0.033</v>
      </c>
      <c r="H1362" s="110" t="s">
        <v>277</v>
      </c>
      <c r="I1362" s="112">
        <f t="shared" si="1"/>
        <v>0.8787878788</v>
      </c>
      <c r="J1362" s="82">
        <f t="shared" si="2"/>
        <v>0.5322580645</v>
      </c>
    </row>
    <row r="1363">
      <c r="A1363" s="101">
        <v>44708.0</v>
      </c>
      <c r="B1363" s="111">
        <v>2005.0</v>
      </c>
      <c r="C1363" s="111">
        <v>1.0</v>
      </c>
      <c r="D1363" s="110" t="s">
        <v>228</v>
      </c>
      <c r="E1363" s="111">
        <v>0.0</v>
      </c>
      <c r="F1363" s="111">
        <v>1.273</v>
      </c>
      <c r="G1363" s="111">
        <v>0.703</v>
      </c>
      <c r="H1363" s="110" t="s">
        <v>277</v>
      </c>
      <c r="I1363" s="112">
        <f t="shared" si="1"/>
        <v>0.8108108108</v>
      </c>
      <c r="J1363" s="82">
        <f t="shared" si="2"/>
        <v>0.552238806</v>
      </c>
    </row>
    <row r="1364">
      <c r="A1364" s="101">
        <v>44708.0</v>
      </c>
      <c r="B1364" s="111">
        <v>2005.0</v>
      </c>
      <c r="C1364" s="111">
        <v>1.0</v>
      </c>
      <c r="D1364" s="110" t="s">
        <v>227</v>
      </c>
      <c r="E1364" s="111">
        <v>0.0</v>
      </c>
      <c r="F1364" s="111">
        <v>0.111</v>
      </c>
      <c r="G1364" s="111">
        <v>0.056</v>
      </c>
      <c r="H1364" s="110" t="s">
        <v>277</v>
      </c>
      <c r="I1364" s="112">
        <f t="shared" si="1"/>
        <v>0.9821428571</v>
      </c>
      <c r="J1364" s="82">
        <f t="shared" si="2"/>
        <v>0.5045045045</v>
      </c>
    </row>
    <row r="1365">
      <c r="A1365" s="101">
        <v>44708.0</v>
      </c>
      <c r="B1365" s="111">
        <v>2005.0</v>
      </c>
      <c r="C1365" s="111">
        <v>2.0</v>
      </c>
      <c r="D1365" s="110" t="s">
        <v>228</v>
      </c>
      <c r="E1365" s="111">
        <v>0.0</v>
      </c>
      <c r="F1365" s="111">
        <v>0.907</v>
      </c>
      <c r="G1365" s="111">
        <v>0.485</v>
      </c>
      <c r="H1365" s="110" t="s">
        <v>277</v>
      </c>
      <c r="I1365" s="112">
        <f t="shared" si="1"/>
        <v>0.8701030928</v>
      </c>
      <c r="J1365" s="82">
        <f t="shared" si="2"/>
        <v>0.5347298787</v>
      </c>
    </row>
    <row r="1366">
      <c r="A1366" s="101">
        <v>44708.0</v>
      </c>
      <c r="B1366" s="111">
        <v>2005.0</v>
      </c>
      <c r="C1366" s="111">
        <v>2.0</v>
      </c>
      <c r="D1366" s="110" t="s">
        <v>227</v>
      </c>
      <c r="E1366" s="111">
        <v>0.0</v>
      </c>
      <c r="F1366" s="111">
        <v>0.135</v>
      </c>
      <c r="G1366" s="111">
        <v>0.069</v>
      </c>
      <c r="H1366" s="110" t="s">
        <v>277</v>
      </c>
      <c r="I1366" s="112">
        <f t="shared" si="1"/>
        <v>0.9565217391</v>
      </c>
      <c r="J1366" s="82">
        <f t="shared" si="2"/>
        <v>0.5111111111</v>
      </c>
    </row>
    <row r="1367">
      <c r="A1367" s="101">
        <v>44708.0</v>
      </c>
      <c r="B1367" s="111">
        <v>2005.0</v>
      </c>
      <c r="C1367" s="111">
        <v>3.0</v>
      </c>
      <c r="D1367" s="110" t="s">
        <v>228</v>
      </c>
      <c r="E1367" s="111">
        <v>0.0</v>
      </c>
      <c r="F1367" s="111">
        <v>0.563</v>
      </c>
      <c r="G1367" s="111">
        <v>0.306</v>
      </c>
      <c r="H1367" s="110" t="s">
        <v>277</v>
      </c>
      <c r="I1367" s="112">
        <f t="shared" si="1"/>
        <v>0.839869281</v>
      </c>
      <c r="J1367" s="82">
        <f t="shared" si="2"/>
        <v>0.5435168739</v>
      </c>
    </row>
    <row r="1368">
      <c r="A1368" s="101">
        <v>44708.0</v>
      </c>
      <c r="B1368" s="111">
        <v>2005.0</v>
      </c>
      <c r="C1368" s="111">
        <v>3.0</v>
      </c>
      <c r="D1368" s="110" t="s">
        <v>227</v>
      </c>
      <c r="E1368" s="111">
        <v>0.0</v>
      </c>
      <c r="F1368" s="111">
        <v>0.064</v>
      </c>
      <c r="G1368" s="111">
        <v>0.034</v>
      </c>
      <c r="H1368" s="110" t="s">
        <v>277</v>
      </c>
      <c r="I1368" s="112">
        <f t="shared" si="1"/>
        <v>0.8823529412</v>
      </c>
      <c r="J1368" s="82">
        <f t="shared" si="2"/>
        <v>0.53125</v>
      </c>
    </row>
    <row r="1369">
      <c r="A1369" s="101">
        <v>44708.0</v>
      </c>
      <c r="B1369" s="111">
        <v>2006.0</v>
      </c>
      <c r="C1369" s="111">
        <v>1.0</v>
      </c>
      <c r="D1369" s="110" t="s">
        <v>228</v>
      </c>
      <c r="E1369" s="111">
        <v>0.0</v>
      </c>
      <c r="F1369" s="111">
        <v>0.4911</v>
      </c>
      <c r="G1369" s="111">
        <v>0.255</v>
      </c>
      <c r="H1369" s="110" t="s">
        <v>277</v>
      </c>
      <c r="I1369" s="112">
        <f t="shared" si="1"/>
        <v>0.9258823529</v>
      </c>
      <c r="J1369" s="82">
        <f t="shared" si="2"/>
        <v>0.5192425168</v>
      </c>
    </row>
    <row r="1370">
      <c r="A1370" s="101">
        <v>44708.0</v>
      </c>
      <c r="B1370" s="111">
        <v>2006.0</v>
      </c>
      <c r="C1370" s="111">
        <v>1.0</v>
      </c>
      <c r="D1370" s="110" t="s">
        <v>227</v>
      </c>
      <c r="E1370" s="111">
        <v>0.0</v>
      </c>
      <c r="F1370" s="111">
        <v>0.1668</v>
      </c>
      <c r="G1370" s="111">
        <v>0.078</v>
      </c>
      <c r="H1370" s="110" t="s">
        <v>277</v>
      </c>
      <c r="I1370" s="112">
        <f t="shared" si="1"/>
        <v>1.138461538</v>
      </c>
      <c r="J1370" s="82">
        <f t="shared" si="2"/>
        <v>0.4676258993</v>
      </c>
    </row>
    <row r="1371">
      <c r="A1371" s="101">
        <v>44708.0</v>
      </c>
      <c r="B1371" s="111">
        <v>2006.0</v>
      </c>
      <c r="C1371" s="111">
        <v>2.0</v>
      </c>
      <c r="D1371" s="110" t="s">
        <v>228</v>
      </c>
      <c r="E1371" s="111">
        <v>0.0</v>
      </c>
      <c r="F1371" s="111">
        <v>0.6116</v>
      </c>
      <c r="G1371" s="111">
        <v>0.317</v>
      </c>
      <c r="H1371" s="110" t="s">
        <v>277</v>
      </c>
      <c r="I1371" s="112">
        <f t="shared" si="1"/>
        <v>0.9293375394</v>
      </c>
      <c r="J1371" s="82">
        <f t="shared" si="2"/>
        <v>0.5183126226</v>
      </c>
    </row>
    <row r="1372">
      <c r="A1372" s="101">
        <v>44708.0</v>
      </c>
      <c r="B1372" s="111">
        <v>2006.0</v>
      </c>
      <c r="C1372" s="111">
        <v>2.0</v>
      </c>
      <c r="D1372" s="110" t="s">
        <v>227</v>
      </c>
      <c r="E1372" s="111">
        <v>0.0</v>
      </c>
      <c r="F1372" s="111">
        <v>0.0574</v>
      </c>
      <c r="G1372" s="111">
        <v>0.027</v>
      </c>
      <c r="H1372" s="110" t="s">
        <v>277</v>
      </c>
      <c r="I1372" s="112">
        <f t="shared" si="1"/>
        <v>1.125925926</v>
      </c>
      <c r="J1372" s="82">
        <f t="shared" si="2"/>
        <v>0.4703832753</v>
      </c>
    </row>
    <row r="1373">
      <c r="A1373" s="101">
        <v>44708.0</v>
      </c>
      <c r="B1373" s="111">
        <v>2006.0</v>
      </c>
      <c r="C1373" s="111">
        <v>3.0</v>
      </c>
      <c r="D1373" s="110" t="s">
        <v>228</v>
      </c>
      <c r="E1373" s="111">
        <v>0.0</v>
      </c>
      <c r="F1373" s="111">
        <v>0.8867</v>
      </c>
      <c r="G1373" s="111">
        <v>0.51</v>
      </c>
      <c r="H1373" s="110" t="s">
        <v>277</v>
      </c>
      <c r="I1373" s="112">
        <f t="shared" si="1"/>
        <v>0.738627451</v>
      </c>
      <c r="J1373" s="82">
        <f t="shared" si="2"/>
        <v>0.5751663471</v>
      </c>
    </row>
    <row r="1374">
      <c r="A1374" s="101">
        <v>44708.0</v>
      </c>
      <c r="B1374" s="111">
        <v>2006.0</v>
      </c>
      <c r="C1374" s="111">
        <v>3.0</v>
      </c>
      <c r="D1374" s="110" t="s">
        <v>227</v>
      </c>
      <c r="E1374" s="111">
        <v>0.0</v>
      </c>
      <c r="F1374" s="111">
        <v>0.1382</v>
      </c>
      <c r="G1374" s="111">
        <v>0.079</v>
      </c>
      <c r="H1374" s="110" t="s">
        <v>277</v>
      </c>
      <c r="I1374" s="112">
        <f t="shared" si="1"/>
        <v>0.7493670886</v>
      </c>
      <c r="J1374" s="82">
        <f t="shared" si="2"/>
        <v>0.5716353111</v>
      </c>
    </row>
    <row r="1375">
      <c r="A1375" s="101">
        <v>44708.0</v>
      </c>
      <c r="B1375" s="111">
        <v>2007.0</v>
      </c>
      <c r="C1375" s="111">
        <v>1.0</v>
      </c>
      <c r="D1375" s="110" t="s">
        <v>228</v>
      </c>
      <c r="E1375" s="111">
        <v>0.0</v>
      </c>
      <c r="F1375" s="111">
        <v>1.2503</v>
      </c>
      <c r="G1375" s="111">
        <v>0.712</v>
      </c>
      <c r="H1375" s="110" t="s">
        <v>277</v>
      </c>
      <c r="I1375" s="112">
        <f t="shared" si="1"/>
        <v>0.7560393258</v>
      </c>
      <c r="J1375" s="82">
        <f t="shared" si="2"/>
        <v>0.5694633288</v>
      </c>
    </row>
    <row r="1376">
      <c r="A1376" s="101">
        <v>44708.0</v>
      </c>
      <c r="B1376" s="111">
        <v>2007.0</v>
      </c>
      <c r="C1376" s="111">
        <v>1.0</v>
      </c>
      <c r="D1376" s="110" t="s">
        <v>227</v>
      </c>
      <c r="E1376" s="111">
        <v>1.0</v>
      </c>
      <c r="F1376" s="111">
        <v>0.3521</v>
      </c>
      <c r="G1376" s="111">
        <v>0.187</v>
      </c>
      <c r="H1376" s="110" t="s">
        <v>277</v>
      </c>
      <c r="I1376" s="112">
        <f t="shared" si="1"/>
        <v>0.8828877005</v>
      </c>
      <c r="J1376" s="82">
        <f t="shared" si="2"/>
        <v>0.5310991196</v>
      </c>
    </row>
    <row r="1377">
      <c r="A1377" s="101">
        <v>44708.0</v>
      </c>
      <c r="B1377" s="111">
        <v>2007.0</v>
      </c>
      <c r="C1377" s="111">
        <v>1.0</v>
      </c>
      <c r="D1377" s="110" t="s">
        <v>227</v>
      </c>
      <c r="E1377" s="111">
        <v>0.0</v>
      </c>
      <c r="F1377" s="111">
        <v>0.1481</v>
      </c>
      <c r="G1377" s="111">
        <v>0.071</v>
      </c>
      <c r="H1377" s="110" t="s">
        <v>277</v>
      </c>
      <c r="I1377" s="112">
        <f t="shared" si="1"/>
        <v>1.085915493</v>
      </c>
      <c r="J1377" s="82">
        <f t="shared" si="2"/>
        <v>0.4794058069</v>
      </c>
    </row>
    <row r="1378">
      <c r="A1378" s="101">
        <v>44708.0</v>
      </c>
      <c r="B1378" s="111">
        <v>2007.0</v>
      </c>
      <c r="C1378" s="111">
        <v>2.0</v>
      </c>
      <c r="D1378" s="110" t="s">
        <v>228</v>
      </c>
      <c r="E1378" s="111">
        <v>0.0</v>
      </c>
      <c r="F1378" s="111">
        <v>1.0202</v>
      </c>
      <c r="G1378" s="111">
        <v>0.57</v>
      </c>
      <c r="H1378" s="110" t="s">
        <v>277</v>
      </c>
      <c r="I1378" s="112">
        <f t="shared" si="1"/>
        <v>0.7898245614</v>
      </c>
      <c r="J1378" s="82">
        <f t="shared" si="2"/>
        <v>0.5587139777</v>
      </c>
    </row>
    <row r="1379">
      <c r="A1379" s="101">
        <v>44708.0</v>
      </c>
      <c r="B1379" s="111">
        <v>2007.0</v>
      </c>
      <c r="C1379" s="111">
        <v>2.0</v>
      </c>
      <c r="D1379" s="110" t="s">
        <v>227</v>
      </c>
      <c r="E1379" s="111">
        <v>1.0</v>
      </c>
      <c r="F1379" s="111">
        <v>0.3103</v>
      </c>
      <c r="G1379" s="111">
        <v>0.163</v>
      </c>
      <c r="H1379" s="110" t="s">
        <v>277</v>
      </c>
      <c r="I1379" s="112">
        <f t="shared" si="1"/>
        <v>0.9036809816</v>
      </c>
      <c r="J1379" s="82">
        <f t="shared" si="2"/>
        <v>0.5252980986</v>
      </c>
    </row>
    <row r="1380">
      <c r="A1380" s="101">
        <v>44708.0</v>
      </c>
      <c r="B1380" s="111">
        <v>2007.0</v>
      </c>
      <c r="C1380" s="111">
        <v>2.0</v>
      </c>
      <c r="D1380" s="110" t="s">
        <v>227</v>
      </c>
      <c r="E1380" s="111">
        <v>0.0</v>
      </c>
      <c r="F1380" s="111">
        <v>0.1239</v>
      </c>
      <c r="G1380" s="111">
        <v>0.058</v>
      </c>
      <c r="H1380" s="110" t="s">
        <v>277</v>
      </c>
      <c r="I1380" s="112">
        <f t="shared" si="1"/>
        <v>1.136206897</v>
      </c>
      <c r="J1380" s="82">
        <f t="shared" si="2"/>
        <v>0.4681194512</v>
      </c>
    </row>
    <row r="1381">
      <c r="A1381" s="101">
        <v>44708.0</v>
      </c>
      <c r="B1381" s="111">
        <v>2007.0</v>
      </c>
      <c r="C1381" s="111">
        <v>3.0</v>
      </c>
      <c r="D1381" s="110" t="s">
        <v>228</v>
      </c>
      <c r="E1381" s="111">
        <v>0.0</v>
      </c>
      <c r="F1381" s="111">
        <v>1.4668</v>
      </c>
      <c r="G1381" s="111">
        <v>0.827</v>
      </c>
      <c r="H1381" s="110" t="s">
        <v>277</v>
      </c>
      <c r="I1381" s="112">
        <f t="shared" si="1"/>
        <v>0.7736396614</v>
      </c>
      <c r="J1381" s="82">
        <f t="shared" si="2"/>
        <v>0.5638123807</v>
      </c>
    </row>
    <row r="1382">
      <c r="A1382" s="101">
        <v>44708.0</v>
      </c>
      <c r="B1382" s="111">
        <v>2007.0</v>
      </c>
      <c r="C1382" s="111">
        <v>3.0</v>
      </c>
      <c r="D1382" s="110" t="s">
        <v>227</v>
      </c>
      <c r="E1382" s="111">
        <v>1.0</v>
      </c>
      <c r="F1382" s="111">
        <v>0.2666</v>
      </c>
      <c r="G1382" s="111">
        <v>0.141</v>
      </c>
      <c r="H1382" s="110" t="s">
        <v>277</v>
      </c>
      <c r="I1382" s="112">
        <f t="shared" si="1"/>
        <v>0.8907801418</v>
      </c>
      <c r="J1382" s="82">
        <f t="shared" si="2"/>
        <v>0.5288822206</v>
      </c>
    </row>
    <row r="1383">
      <c r="A1383" s="101">
        <v>44708.0</v>
      </c>
      <c r="B1383" s="111">
        <v>2007.0</v>
      </c>
      <c r="C1383" s="111">
        <v>3.0</v>
      </c>
      <c r="D1383" s="110" t="s">
        <v>227</v>
      </c>
      <c r="E1383" s="111">
        <v>0.0</v>
      </c>
      <c r="F1383" s="111">
        <v>0.133</v>
      </c>
      <c r="G1383" s="111">
        <v>0.063</v>
      </c>
      <c r="H1383" s="110" t="s">
        <v>277</v>
      </c>
      <c r="I1383" s="112">
        <f t="shared" si="1"/>
        <v>1.111111111</v>
      </c>
      <c r="J1383" s="82">
        <f t="shared" si="2"/>
        <v>0.4736842105</v>
      </c>
    </row>
    <row r="1384">
      <c r="A1384" s="101">
        <v>44708.0</v>
      </c>
      <c r="B1384" s="111">
        <v>2008.0</v>
      </c>
      <c r="C1384" s="111">
        <v>1.0</v>
      </c>
      <c r="D1384" s="110" t="s">
        <v>228</v>
      </c>
      <c r="E1384" s="111">
        <v>0.0</v>
      </c>
      <c r="F1384" s="111">
        <v>0.4851</v>
      </c>
      <c r="G1384" s="111">
        <v>0.258</v>
      </c>
      <c r="H1384" s="110" t="s">
        <v>277</v>
      </c>
      <c r="I1384" s="112">
        <f t="shared" si="1"/>
        <v>0.8802325581</v>
      </c>
      <c r="J1384" s="82">
        <f t="shared" si="2"/>
        <v>0.5318491033</v>
      </c>
    </row>
    <row r="1385">
      <c r="A1385" s="101">
        <v>44708.0</v>
      </c>
      <c r="B1385" s="111">
        <v>2008.0</v>
      </c>
      <c r="C1385" s="111">
        <v>1.0</v>
      </c>
      <c r="D1385" s="110" t="s">
        <v>227</v>
      </c>
      <c r="E1385" s="111">
        <v>1.0</v>
      </c>
      <c r="F1385" s="111">
        <v>0.092</v>
      </c>
      <c r="G1385" s="111">
        <v>0.048</v>
      </c>
      <c r="H1385" s="110" t="s">
        <v>277</v>
      </c>
      <c r="I1385" s="112">
        <f t="shared" si="1"/>
        <v>0.9166666667</v>
      </c>
      <c r="J1385" s="82">
        <f t="shared" si="2"/>
        <v>0.5217391304</v>
      </c>
    </row>
    <row r="1386">
      <c r="A1386" s="101">
        <v>44708.0</v>
      </c>
      <c r="B1386" s="111">
        <v>2008.0</v>
      </c>
      <c r="C1386" s="111">
        <v>1.0</v>
      </c>
      <c r="D1386" s="110" t="s">
        <v>227</v>
      </c>
      <c r="E1386" s="111">
        <v>0.0</v>
      </c>
      <c r="F1386" s="111">
        <v>0.191</v>
      </c>
      <c r="G1386" s="111">
        <v>0.086</v>
      </c>
      <c r="H1386" s="110" t="s">
        <v>277</v>
      </c>
      <c r="I1386" s="112">
        <f t="shared" si="1"/>
        <v>1.220930233</v>
      </c>
      <c r="J1386" s="82">
        <f t="shared" si="2"/>
        <v>0.4502617801</v>
      </c>
    </row>
    <row r="1387">
      <c r="A1387" s="101">
        <v>44708.0</v>
      </c>
      <c r="B1387" s="111">
        <v>2008.0</v>
      </c>
      <c r="C1387" s="111">
        <v>2.0</v>
      </c>
      <c r="D1387" s="110" t="s">
        <v>227</v>
      </c>
      <c r="E1387" s="111">
        <v>1.0</v>
      </c>
      <c r="F1387" s="111">
        <v>0.0229</v>
      </c>
      <c r="G1387" s="111">
        <v>0.012</v>
      </c>
      <c r="H1387" s="110" t="s">
        <v>277</v>
      </c>
      <c r="I1387" s="112">
        <f t="shared" si="1"/>
        <v>0.9083333333</v>
      </c>
      <c r="J1387" s="82">
        <f t="shared" si="2"/>
        <v>0.5240174672</v>
      </c>
    </row>
    <row r="1388">
      <c r="A1388" s="101">
        <v>44708.0</v>
      </c>
      <c r="B1388" s="111">
        <v>2008.0</v>
      </c>
      <c r="C1388" s="111">
        <v>2.0</v>
      </c>
      <c r="D1388" s="110" t="s">
        <v>228</v>
      </c>
      <c r="E1388" s="111">
        <v>0.0</v>
      </c>
      <c r="F1388" s="111">
        <v>0.4013</v>
      </c>
      <c r="G1388" s="111">
        <v>0.21</v>
      </c>
      <c r="H1388" s="110" t="s">
        <v>277</v>
      </c>
      <c r="I1388" s="112">
        <f t="shared" si="1"/>
        <v>0.910952381</v>
      </c>
      <c r="J1388" s="82">
        <f t="shared" si="2"/>
        <v>0.5232992773</v>
      </c>
    </row>
    <row r="1389">
      <c r="A1389" s="101">
        <v>44708.0</v>
      </c>
      <c r="B1389" s="111">
        <v>2008.0</v>
      </c>
      <c r="C1389" s="111">
        <v>2.0</v>
      </c>
      <c r="D1389" s="110" t="s">
        <v>227</v>
      </c>
      <c r="E1389" s="111">
        <v>0.0</v>
      </c>
      <c r="F1389" s="111">
        <v>0.0353</v>
      </c>
      <c r="G1389" s="111">
        <v>0.016</v>
      </c>
      <c r="H1389" s="110" t="s">
        <v>277</v>
      </c>
      <c r="I1389" s="112">
        <f t="shared" si="1"/>
        <v>1.20625</v>
      </c>
      <c r="J1389" s="82">
        <f t="shared" si="2"/>
        <v>0.4532577904</v>
      </c>
    </row>
    <row r="1390">
      <c r="A1390" s="101">
        <v>44708.0</v>
      </c>
      <c r="B1390" s="111">
        <v>2008.0</v>
      </c>
      <c r="C1390" s="111">
        <v>3.0</v>
      </c>
      <c r="D1390" s="110" t="s">
        <v>228</v>
      </c>
      <c r="E1390" s="111">
        <v>0.0</v>
      </c>
      <c r="F1390" s="111">
        <v>0.4355</v>
      </c>
      <c r="G1390" s="111">
        <v>0.245</v>
      </c>
      <c r="H1390" s="110" t="s">
        <v>277</v>
      </c>
      <c r="I1390" s="112">
        <f t="shared" si="1"/>
        <v>0.7775510204</v>
      </c>
      <c r="J1390" s="82">
        <f t="shared" si="2"/>
        <v>0.5625717566</v>
      </c>
    </row>
    <row r="1391">
      <c r="A1391" s="101">
        <v>44708.0</v>
      </c>
      <c r="B1391" s="111">
        <v>2008.0</v>
      </c>
      <c r="C1391" s="111">
        <v>3.0</v>
      </c>
      <c r="D1391" s="110" t="s">
        <v>227</v>
      </c>
      <c r="E1391" s="111">
        <v>1.0</v>
      </c>
      <c r="F1391" s="111">
        <v>0.0232</v>
      </c>
      <c r="G1391" s="111">
        <v>0.013</v>
      </c>
      <c r="H1391" s="110" t="s">
        <v>277</v>
      </c>
      <c r="I1391" s="112">
        <f t="shared" si="1"/>
        <v>0.7846153846</v>
      </c>
      <c r="J1391" s="82">
        <f t="shared" si="2"/>
        <v>0.5603448276</v>
      </c>
    </row>
    <row r="1392">
      <c r="A1392" s="101">
        <v>44708.0</v>
      </c>
      <c r="B1392" s="111">
        <v>2008.0</v>
      </c>
      <c r="C1392" s="111">
        <v>3.0</v>
      </c>
      <c r="D1392" s="110" t="s">
        <v>227</v>
      </c>
      <c r="E1392" s="111">
        <v>0.0</v>
      </c>
      <c r="F1392" s="111">
        <v>0.0412</v>
      </c>
      <c r="G1392" s="111">
        <v>0.021</v>
      </c>
      <c r="H1392" s="110" t="s">
        <v>277</v>
      </c>
      <c r="I1392" s="112">
        <f t="shared" si="1"/>
        <v>0.9619047619</v>
      </c>
      <c r="J1392" s="82">
        <f t="shared" si="2"/>
        <v>0.5097087379</v>
      </c>
    </row>
    <row r="1393">
      <c r="A1393" s="101">
        <v>44708.0</v>
      </c>
      <c r="B1393" s="111">
        <v>2012.0</v>
      </c>
      <c r="C1393" s="111">
        <v>1.0</v>
      </c>
      <c r="D1393" s="110" t="s">
        <v>228</v>
      </c>
      <c r="E1393" s="111">
        <v>0.0</v>
      </c>
      <c r="F1393" s="111">
        <v>0.522</v>
      </c>
      <c r="G1393" s="111">
        <v>0.284</v>
      </c>
      <c r="H1393" s="110" t="s">
        <v>277</v>
      </c>
      <c r="I1393" s="112">
        <f t="shared" si="1"/>
        <v>0.838028169</v>
      </c>
      <c r="J1393" s="82">
        <f t="shared" si="2"/>
        <v>0.5440613027</v>
      </c>
    </row>
    <row r="1394">
      <c r="A1394" s="101">
        <v>44708.0</v>
      </c>
      <c r="B1394" s="111">
        <v>2012.0</v>
      </c>
      <c r="C1394" s="111">
        <v>1.0</v>
      </c>
      <c r="D1394" s="110" t="s">
        <v>227</v>
      </c>
      <c r="E1394" s="111">
        <v>0.0</v>
      </c>
      <c r="F1394" s="111">
        <v>0.058</v>
      </c>
      <c r="G1394" s="111">
        <v>0.029</v>
      </c>
      <c r="H1394" s="110" t="s">
        <v>277</v>
      </c>
      <c r="I1394" s="112">
        <f t="shared" si="1"/>
        <v>1</v>
      </c>
      <c r="J1394" s="82">
        <f t="shared" si="2"/>
        <v>0.5</v>
      </c>
    </row>
    <row r="1395">
      <c r="A1395" s="101">
        <v>44708.0</v>
      </c>
      <c r="B1395" s="111">
        <v>2012.0</v>
      </c>
      <c r="C1395" s="111">
        <v>2.0</v>
      </c>
      <c r="D1395" s="110" t="s">
        <v>228</v>
      </c>
      <c r="E1395" s="111">
        <v>0.0</v>
      </c>
      <c r="F1395" s="111">
        <v>0.61</v>
      </c>
      <c r="G1395" s="111">
        <v>0.334</v>
      </c>
      <c r="H1395" s="110" t="s">
        <v>277</v>
      </c>
      <c r="I1395" s="112">
        <f t="shared" si="1"/>
        <v>0.8263473054</v>
      </c>
      <c r="J1395" s="82">
        <f t="shared" si="2"/>
        <v>0.5475409836</v>
      </c>
    </row>
    <row r="1396">
      <c r="A1396" s="101">
        <v>44708.0</v>
      </c>
      <c r="B1396" s="111">
        <v>2012.0</v>
      </c>
      <c r="C1396" s="111">
        <v>2.0</v>
      </c>
      <c r="D1396" s="110" t="s">
        <v>227</v>
      </c>
      <c r="E1396" s="111">
        <v>0.0</v>
      </c>
      <c r="F1396" s="111">
        <v>0.055</v>
      </c>
      <c r="G1396" s="111">
        <v>0.028</v>
      </c>
      <c r="H1396" s="110" t="s">
        <v>277</v>
      </c>
      <c r="I1396" s="112">
        <f t="shared" si="1"/>
        <v>0.9642857143</v>
      </c>
      <c r="J1396" s="82">
        <f t="shared" si="2"/>
        <v>0.5090909091</v>
      </c>
    </row>
    <row r="1397">
      <c r="A1397" s="101">
        <v>44708.0</v>
      </c>
      <c r="B1397" s="111">
        <v>2012.0</v>
      </c>
      <c r="C1397" s="111">
        <v>3.0</v>
      </c>
      <c r="D1397" s="110" t="s">
        <v>227</v>
      </c>
      <c r="E1397" s="111">
        <v>0.0</v>
      </c>
      <c r="F1397" s="111">
        <v>0.023</v>
      </c>
      <c r="G1397" s="111">
        <v>0.013</v>
      </c>
      <c r="H1397" s="110" t="s">
        <v>277</v>
      </c>
      <c r="I1397" s="112">
        <f t="shared" si="1"/>
        <v>0.7692307692</v>
      </c>
      <c r="J1397" s="82">
        <f t="shared" si="2"/>
        <v>0.5652173913</v>
      </c>
    </row>
    <row r="1398">
      <c r="A1398" s="101">
        <v>44708.0</v>
      </c>
      <c r="B1398" s="111">
        <v>2012.0</v>
      </c>
      <c r="C1398" s="111">
        <v>3.0</v>
      </c>
      <c r="D1398" s="110" t="s">
        <v>228</v>
      </c>
      <c r="E1398" s="111">
        <v>0.0</v>
      </c>
      <c r="F1398" s="111">
        <v>0.173</v>
      </c>
      <c r="G1398" s="111">
        <v>0.095</v>
      </c>
      <c r="H1398" s="110" t="s">
        <v>277</v>
      </c>
      <c r="I1398" s="112">
        <f t="shared" si="1"/>
        <v>0.8210526316</v>
      </c>
      <c r="J1398" s="82">
        <f t="shared" si="2"/>
        <v>0.549132948</v>
      </c>
    </row>
    <row r="1399">
      <c r="A1399" s="101">
        <v>44708.0</v>
      </c>
      <c r="B1399" s="111">
        <v>2013.0</v>
      </c>
      <c r="C1399" s="111">
        <v>1.0</v>
      </c>
      <c r="D1399" s="110" t="s">
        <v>228</v>
      </c>
      <c r="E1399" s="111">
        <v>0.0</v>
      </c>
      <c r="F1399" s="111">
        <v>0.7073</v>
      </c>
      <c r="G1399" s="111">
        <v>0.318</v>
      </c>
      <c r="H1399" s="110" t="s">
        <v>277</v>
      </c>
      <c r="I1399" s="112">
        <f t="shared" si="1"/>
        <v>1.224213836</v>
      </c>
      <c r="J1399" s="82">
        <f t="shared" si="2"/>
        <v>0.4495970592</v>
      </c>
    </row>
    <row r="1400">
      <c r="A1400" s="101">
        <v>44708.0</v>
      </c>
      <c r="B1400" s="111">
        <v>2013.0</v>
      </c>
      <c r="C1400" s="111">
        <v>1.0</v>
      </c>
      <c r="D1400" s="110" t="s">
        <v>227</v>
      </c>
      <c r="E1400" s="111">
        <v>0.0</v>
      </c>
      <c r="F1400" s="111">
        <v>0.1615</v>
      </c>
      <c r="G1400" s="111">
        <v>0.062</v>
      </c>
      <c r="H1400" s="110" t="s">
        <v>277</v>
      </c>
      <c r="I1400" s="112">
        <f t="shared" si="1"/>
        <v>1.60483871</v>
      </c>
      <c r="J1400" s="82">
        <f t="shared" si="2"/>
        <v>0.3839009288</v>
      </c>
    </row>
    <row r="1401">
      <c r="A1401" s="101">
        <v>44708.0</v>
      </c>
      <c r="B1401" s="111">
        <v>2013.0</v>
      </c>
      <c r="C1401" s="111">
        <v>2.0</v>
      </c>
      <c r="D1401" s="110" t="s">
        <v>228</v>
      </c>
      <c r="E1401" s="111">
        <v>0.0</v>
      </c>
      <c r="F1401" s="111">
        <v>0.6964</v>
      </c>
      <c r="G1401" s="111">
        <v>0.328</v>
      </c>
      <c r="H1401" s="110" t="s">
        <v>277</v>
      </c>
      <c r="I1401" s="112">
        <f t="shared" si="1"/>
        <v>1.123170732</v>
      </c>
      <c r="J1401" s="82">
        <f t="shared" si="2"/>
        <v>0.4709936818</v>
      </c>
    </row>
    <row r="1402">
      <c r="A1402" s="101">
        <v>44708.0</v>
      </c>
      <c r="B1402" s="111">
        <v>2013.0</v>
      </c>
      <c r="C1402" s="111">
        <v>2.0</v>
      </c>
      <c r="D1402" s="110" t="s">
        <v>227</v>
      </c>
      <c r="E1402" s="111">
        <v>0.0</v>
      </c>
      <c r="F1402" s="111">
        <v>0.2469</v>
      </c>
      <c r="G1402" s="111">
        <v>0.103</v>
      </c>
      <c r="H1402" s="110" t="s">
        <v>277</v>
      </c>
      <c r="I1402" s="112">
        <f t="shared" si="1"/>
        <v>1.397087379</v>
      </c>
      <c r="J1402" s="82">
        <f t="shared" si="2"/>
        <v>0.4171729445</v>
      </c>
    </row>
    <row r="1403">
      <c r="A1403" s="101">
        <v>44708.0</v>
      </c>
      <c r="B1403" s="111">
        <v>2013.0</v>
      </c>
      <c r="C1403" s="111">
        <v>3.0</v>
      </c>
      <c r="D1403" s="110" t="s">
        <v>228</v>
      </c>
      <c r="E1403" s="111">
        <v>0.0</v>
      </c>
      <c r="F1403" s="111">
        <v>1.262</v>
      </c>
      <c r="G1403" s="111">
        <v>0.683</v>
      </c>
      <c r="H1403" s="110" t="s">
        <v>277</v>
      </c>
      <c r="I1403" s="112">
        <f t="shared" si="1"/>
        <v>0.8477306003</v>
      </c>
      <c r="J1403" s="82">
        <f t="shared" si="2"/>
        <v>0.5412044374</v>
      </c>
    </row>
    <row r="1404">
      <c r="A1404" s="101">
        <v>44708.0</v>
      </c>
      <c r="B1404" s="111">
        <v>2013.0</v>
      </c>
      <c r="C1404" s="111">
        <v>3.0</v>
      </c>
      <c r="D1404" s="110" t="s">
        <v>227</v>
      </c>
      <c r="E1404" s="111">
        <v>1.0</v>
      </c>
      <c r="F1404" s="111">
        <v>0.1468</v>
      </c>
      <c r="G1404" s="111">
        <v>0.074</v>
      </c>
      <c r="H1404" s="110" t="s">
        <v>277</v>
      </c>
      <c r="I1404" s="112">
        <f t="shared" si="1"/>
        <v>0.9837837838</v>
      </c>
      <c r="J1404" s="82">
        <f t="shared" si="2"/>
        <v>0.5040871935</v>
      </c>
    </row>
    <row r="1405">
      <c r="A1405" s="101">
        <v>44708.0</v>
      </c>
      <c r="B1405" s="111">
        <v>2013.0</v>
      </c>
      <c r="C1405" s="111">
        <v>3.0</v>
      </c>
      <c r="D1405" s="110" t="s">
        <v>227</v>
      </c>
      <c r="E1405" s="111">
        <v>0.0</v>
      </c>
      <c r="F1405" s="111">
        <v>0.2913</v>
      </c>
      <c r="G1405" s="111">
        <v>0.144</v>
      </c>
      <c r="H1405" s="110" t="s">
        <v>277</v>
      </c>
      <c r="I1405" s="112">
        <f t="shared" si="1"/>
        <v>1.022916667</v>
      </c>
      <c r="J1405" s="82">
        <f t="shared" si="2"/>
        <v>0.4943357364</v>
      </c>
    </row>
    <row r="1406">
      <c r="A1406" s="101">
        <v>44708.0</v>
      </c>
      <c r="B1406" s="111">
        <v>2015.0</v>
      </c>
      <c r="C1406" s="111">
        <v>1.0</v>
      </c>
      <c r="D1406" s="110" t="s">
        <v>228</v>
      </c>
      <c r="E1406" s="111">
        <v>0.0</v>
      </c>
      <c r="F1406" s="111">
        <v>0.563</v>
      </c>
      <c r="G1406" s="111">
        <v>0.301</v>
      </c>
      <c r="H1406" s="110" t="s">
        <v>277</v>
      </c>
      <c r="I1406" s="112">
        <f t="shared" si="1"/>
        <v>0.8704318937</v>
      </c>
      <c r="J1406" s="82">
        <f t="shared" si="2"/>
        <v>0.5346358792</v>
      </c>
    </row>
    <row r="1407">
      <c r="A1407" s="101">
        <v>44708.0</v>
      </c>
      <c r="B1407" s="111">
        <v>2015.0</v>
      </c>
      <c r="C1407" s="111">
        <v>1.0</v>
      </c>
      <c r="D1407" s="110" t="s">
        <v>227</v>
      </c>
      <c r="E1407" s="111">
        <v>0.0</v>
      </c>
      <c r="F1407" s="111">
        <v>0.143</v>
      </c>
      <c r="G1407" s="111">
        <v>0.069</v>
      </c>
      <c r="H1407" s="110" t="s">
        <v>277</v>
      </c>
      <c r="I1407" s="112">
        <f t="shared" si="1"/>
        <v>1.072463768</v>
      </c>
      <c r="J1407" s="82">
        <f t="shared" si="2"/>
        <v>0.4825174825</v>
      </c>
    </row>
    <row r="1408">
      <c r="A1408" s="101">
        <v>44708.0</v>
      </c>
      <c r="B1408" s="111">
        <v>2015.0</v>
      </c>
      <c r="C1408" s="111">
        <v>2.0</v>
      </c>
      <c r="D1408" s="110" t="s">
        <v>228</v>
      </c>
      <c r="E1408" s="111">
        <v>0.0</v>
      </c>
      <c r="F1408" s="111">
        <v>0.547</v>
      </c>
      <c r="G1408" s="111">
        <v>0.295</v>
      </c>
      <c r="H1408" s="110" t="s">
        <v>277</v>
      </c>
      <c r="I1408" s="112">
        <f t="shared" si="1"/>
        <v>0.8542372881</v>
      </c>
      <c r="J1408" s="82">
        <f t="shared" si="2"/>
        <v>0.5393053016</v>
      </c>
    </row>
    <row r="1409">
      <c r="A1409" s="101">
        <v>44708.0</v>
      </c>
      <c r="B1409" s="111">
        <v>2015.0</v>
      </c>
      <c r="C1409" s="111">
        <v>2.0</v>
      </c>
      <c r="D1409" s="110" t="s">
        <v>227</v>
      </c>
      <c r="E1409" s="111">
        <v>0.0</v>
      </c>
      <c r="F1409" s="111">
        <v>0.126</v>
      </c>
      <c r="G1409" s="111">
        <v>0.059</v>
      </c>
      <c r="H1409" s="110" t="s">
        <v>277</v>
      </c>
      <c r="I1409" s="112">
        <f t="shared" si="1"/>
        <v>1.13559322</v>
      </c>
      <c r="J1409" s="82">
        <f t="shared" si="2"/>
        <v>0.4682539683</v>
      </c>
    </row>
    <row r="1410">
      <c r="A1410" s="101">
        <v>44708.0</v>
      </c>
      <c r="B1410" s="111">
        <v>2015.0</v>
      </c>
      <c r="C1410" s="111">
        <v>3.0</v>
      </c>
      <c r="D1410" s="110" t="s">
        <v>228</v>
      </c>
      <c r="E1410" s="111">
        <v>0.0</v>
      </c>
      <c r="F1410" s="111">
        <v>0.53</v>
      </c>
      <c r="G1410" s="111">
        <v>0.291</v>
      </c>
      <c r="H1410" s="110" t="s">
        <v>277</v>
      </c>
      <c r="I1410" s="112">
        <f t="shared" si="1"/>
        <v>0.8213058419</v>
      </c>
      <c r="J1410" s="82">
        <f t="shared" si="2"/>
        <v>0.5490566038</v>
      </c>
    </row>
    <row r="1411">
      <c r="A1411" s="101">
        <v>44708.0</v>
      </c>
      <c r="B1411" s="111">
        <v>2015.0</v>
      </c>
      <c r="C1411" s="111">
        <v>3.0</v>
      </c>
      <c r="D1411" s="110" t="s">
        <v>227</v>
      </c>
      <c r="E1411" s="111">
        <v>0.0</v>
      </c>
      <c r="F1411" s="111">
        <v>0.165</v>
      </c>
      <c r="G1411" s="111">
        <v>0.083</v>
      </c>
      <c r="H1411" s="110" t="s">
        <v>277</v>
      </c>
      <c r="I1411" s="112">
        <f t="shared" si="1"/>
        <v>0.9879518072</v>
      </c>
      <c r="J1411" s="82">
        <f t="shared" si="2"/>
        <v>0.503030303</v>
      </c>
    </row>
    <row r="1412">
      <c r="A1412" s="101">
        <v>44708.0</v>
      </c>
      <c r="B1412" s="111">
        <v>2083.0</v>
      </c>
      <c r="C1412" s="111">
        <v>2.0</v>
      </c>
      <c r="D1412" s="110" t="s">
        <v>228</v>
      </c>
      <c r="E1412" s="111">
        <v>0.0</v>
      </c>
      <c r="F1412" s="111">
        <v>1.9536</v>
      </c>
      <c r="G1412" s="111">
        <v>0.95</v>
      </c>
      <c r="H1412" s="110" t="s">
        <v>277</v>
      </c>
      <c r="I1412" s="112">
        <f t="shared" si="1"/>
        <v>1.056421053</v>
      </c>
      <c r="J1412" s="82">
        <f t="shared" si="2"/>
        <v>0.4862817363</v>
      </c>
    </row>
    <row r="1413">
      <c r="A1413" s="101">
        <v>44708.0</v>
      </c>
      <c r="B1413" s="111">
        <v>2085.0</v>
      </c>
      <c r="C1413" s="111">
        <v>1.0</v>
      </c>
      <c r="D1413" s="110" t="s">
        <v>228</v>
      </c>
      <c r="E1413" s="111">
        <v>0.0</v>
      </c>
      <c r="F1413" s="111">
        <v>0.468</v>
      </c>
      <c r="G1413" s="111">
        <v>0.251</v>
      </c>
      <c r="H1413" s="110" t="s">
        <v>277</v>
      </c>
      <c r="I1413" s="112">
        <f t="shared" si="1"/>
        <v>0.8645418327</v>
      </c>
      <c r="J1413" s="82">
        <f t="shared" si="2"/>
        <v>0.5363247863</v>
      </c>
    </row>
    <row r="1414">
      <c r="A1414" s="101">
        <v>44708.0</v>
      </c>
      <c r="B1414" s="111">
        <v>2085.0</v>
      </c>
      <c r="C1414" s="111">
        <v>1.0</v>
      </c>
      <c r="D1414" s="110" t="s">
        <v>227</v>
      </c>
      <c r="E1414" s="111">
        <v>0.0</v>
      </c>
      <c r="F1414" s="111">
        <v>0.069</v>
      </c>
      <c r="G1414" s="111">
        <v>0.031</v>
      </c>
      <c r="H1414" s="110" t="s">
        <v>277</v>
      </c>
      <c r="I1414" s="112">
        <f t="shared" si="1"/>
        <v>1.225806452</v>
      </c>
      <c r="J1414" s="82">
        <f t="shared" si="2"/>
        <v>0.4492753623</v>
      </c>
    </row>
    <row r="1415">
      <c r="A1415" s="101">
        <v>44708.0</v>
      </c>
      <c r="B1415" s="111">
        <v>2085.0</v>
      </c>
      <c r="C1415" s="111">
        <v>2.0</v>
      </c>
      <c r="D1415" s="110" t="s">
        <v>228</v>
      </c>
      <c r="E1415" s="111">
        <v>0.0</v>
      </c>
      <c r="F1415" s="111">
        <v>1.258</v>
      </c>
      <c r="G1415" s="111">
        <v>0.659</v>
      </c>
      <c r="H1415" s="110" t="s">
        <v>277</v>
      </c>
      <c r="I1415" s="112">
        <f t="shared" si="1"/>
        <v>0.908952959</v>
      </c>
      <c r="J1415" s="82">
        <f t="shared" si="2"/>
        <v>0.5238473768</v>
      </c>
    </row>
    <row r="1416">
      <c r="A1416" s="101">
        <v>44708.0</v>
      </c>
      <c r="B1416" s="111">
        <v>2085.0</v>
      </c>
      <c r="C1416" s="111">
        <v>2.0</v>
      </c>
      <c r="D1416" s="110" t="s">
        <v>227</v>
      </c>
      <c r="E1416" s="111">
        <v>0.0</v>
      </c>
      <c r="F1416" s="111">
        <v>0.178</v>
      </c>
      <c r="G1416" s="111">
        <v>0.08</v>
      </c>
      <c r="H1416" s="110" t="s">
        <v>277</v>
      </c>
      <c r="I1416" s="112">
        <f t="shared" si="1"/>
        <v>1.225</v>
      </c>
      <c r="J1416" s="82">
        <f t="shared" si="2"/>
        <v>0.4494382022</v>
      </c>
    </row>
    <row r="1417">
      <c r="A1417" s="101">
        <v>44708.0</v>
      </c>
      <c r="B1417" s="111">
        <v>2085.0</v>
      </c>
      <c r="C1417" s="111">
        <v>3.0</v>
      </c>
      <c r="D1417" s="110" t="s">
        <v>228</v>
      </c>
      <c r="E1417" s="111">
        <v>0.0</v>
      </c>
      <c r="F1417" s="111">
        <v>0.222</v>
      </c>
      <c r="G1417" s="111">
        <v>0.119</v>
      </c>
      <c r="H1417" s="110" t="s">
        <v>277</v>
      </c>
      <c r="I1417" s="112">
        <f t="shared" si="1"/>
        <v>0.8655462185</v>
      </c>
      <c r="J1417" s="82">
        <f t="shared" si="2"/>
        <v>0.536036036</v>
      </c>
    </row>
    <row r="1418">
      <c r="A1418" s="101">
        <v>44708.0</v>
      </c>
      <c r="B1418" s="111">
        <v>2085.0</v>
      </c>
      <c r="C1418" s="111">
        <v>3.0</v>
      </c>
      <c r="D1418" s="110" t="s">
        <v>227</v>
      </c>
      <c r="E1418" s="111">
        <v>0.0</v>
      </c>
      <c r="F1418" s="111">
        <v>0.031</v>
      </c>
      <c r="G1418" s="111">
        <v>0.016</v>
      </c>
      <c r="H1418" s="110" t="s">
        <v>277</v>
      </c>
      <c r="I1418" s="112">
        <f t="shared" si="1"/>
        <v>0.9375</v>
      </c>
      <c r="J1418" s="82">
        <f t="shared" si="2"/>
        <v>0.5161290323</v>
      </c>
    </row>
    <row r="1419">
      <c r="A1419" s="101">
        <v>44708.0</v>
      </c>
      <c r="B1419" s="111">
        <v>2086.0</v>
      </c>
      <c r="C1419" s="111">
        <v>1.0</v>
      </c>
      <c r="D1419" s="110" t="s">
        <v>228</v>
      </c>
      <c r="E1419" s="111">
        <v>0.0</v>
      </c>
      <c r="F1419" s="111">
        <v>1.813</v>
      </c>
      <c r="G1419" s="111">
        <v>0.942</v>
      </c>
      <c r="H1419" s="110" t="s">
        <v>277</v>
      </c>
      <c r="I1419" s="112">
        <f t="shared" si="1"/>
        <v>0.9246284501</v>
      </c>
      <c r="J1419" s="82">
        <f t="shared" si="2"/>
        <v>0.5195808053</v>
      </c>
    </row>
    <row r="1420">
      <c r="A1420" s="101">
        <v>44708.0</v>
      </c>
      <c r="B1420" s="111">
        <v>2086.0</v>
      </c>
      <c r="C1420" s="111">
        <v>1.0</v>
      </c>
      <c r="D1420" s="110" t="s">
        <v>227</v>
      </c>
      <c r="E1420" s="111">
        <v>0.0</v>
      </c>
      <c r="F1420" s="111">
        <v>0.175</v>
      </c>
      <c r="G1420" s="111">
        <v>0.085</v>
      </c>
      <c r="H1420" s="110" t="s">
        <v>277</v>
      </c>
      <c r="I1420" s="112">
        <f t="shared" si="1"/>
        <v>1.058823529</v>
      </c>
      <c r="J1420" s="82">
        <f t="shared" si="2"/>
        <v>0.4857142857</v>
      </c>
    </row>
    <row r="1421">
      <c r="A1421" s="101">
        <v>44708.0</v>
      </c>
      <c r="B1421" s="111">
        <v>2086.0</v>
      </c>
      <c r="C1421" s="111">
        <v>2.0</v>
      </c>
      <c r="D1421" s="110" t="s">
        <v>228</v>
      </c>
      <c r="E1421" s="111">
        <v>0.0</v>
      </c>
      <c r="F1421" s="111">
        <v>1.382</v>
      </c>
      <c r="G1421" s="111">
        <v>0.722</v>
      </c>
      <c r="H1421" s="110" t="s">
        <v>277</v>
      </c>
      <c r="I1421" s="112">
        <f t="shared" si="1"/>
        <v>0.9141274238</v>
      </c>
      <c r="J1421" s="82">
        <f t="shared" si="2"/>
        <v>0.522431259</v>
      </c>
    </row>
    <row r="1422">
      <c r="A1422" s="101">
        <v>44708.0</v>
      </c>
      <c r="B1422" s="111">
        <v>2086.0</v>
      </c>
      <c r="C1422" s="111">
        <v>2.0</v>
      </c>
      <c r="D1422" s="110" t="s">
        <v>227</v>
      </c>
      <c r="E1422" s="111">
        <v>0.0</v>
      </c>
      <c r="F1422" s="111">
        <v>0.165</v>
      </c>
      <c r="G1422" s="111">
        <v>0.078</v>
      </c>
      <c r="H1422" s="110" t="s">
        <v>277</v>
      </c>
      <c r="I1422" s="112">
        <f t="shared" si="1"/>
        <v>1.115384615</v>
      </c>
      <c r="J1422" s="82">
        <f t="shared" si="2"/>
        <v>0.4727272727</v>
      </c>
    </row>
    <row r="1423">
      <c r="A1423" s="101">
        <v>44708.0</v>
      </c>
      <c r="B1423" s="111">
        <v>2086.0</v>
      </c>
      <c r="C1423" s="111">
        <v>3.0</v>
      </c>
      <c r="D1423" s="110" t="s">
        <v>228</v>
      </c>
      <c r="E1423" s="111">
        <v>0.0</v>
      </c>
      <c r="F1423" s="111">
        <v>1.589</v>
      </c>
      <c r="G1423" s="111">
        <v>0.839</v>
      </c>
      <c r="H1423" s="110" t="s">
        <v>277</v>
      </c>
      <c r="I1423" s="112">
        <f t="shared" si="1"/>
        <v>0.8939213349</v>
      </c>
      <c r="J1423" s="82">
        <f t="shared" si="2"/>
        <v>0.5280050346</v>
      </c>
    </row>
    <row r="1424">
      <c r="A1424" s="101">
        <v>44708.0</v>
      </c>
      <c r="B1424" s="111">
        <v>2086.0</v>
      </c>
      <c r="C1424" s="111">
        <v>3.0</v>
      </c>
      <c r="D1424" s="110" t="s">
        <v>227</v>
      </c>
      <c r="E1424" s="111">
        <v>0.0</v>
      </c>
      <c r="F1424" s="111">
        <v>0.226</v>
      </c>
      <c r="G1424" s="111">
        <v>0.112</v>
      </c>
      <c r="H1424" s="110" t="s">
        <v>277</v>
      </c>
      <c r="I1424" s="112">
        <f t="shared" si="1"/>
        <v>1.017857143</v>
      </c>
      <c r="J1424" s="82">
        <f t="shared" si="2"/>
        <v>0.4955752212</v>
      </c>
    </row>
    <row r="1425">
      <c r="A1425" s="101">
        <v>44708.0</v>
      </c>
      <c r="B1425" s="111">
        <v>2087.0</v>
      </c>
      <c r="C1425" s="111">
        <v>1.0</v>
      </c>
      <c r="D1425" s="110" t="s">
        <v>228</v>
      </c>
      <c r="E1425" s="111">
        <v>0.0</v>
      </c>
      <c r="F1425" s="111">
        <v>1.361</v>
      </c>
      <c r="G1425" s="111">
        <v>0.722</v>
      </c>
      <c r="H1425" s="110" t="s">
        <v>277</v>
      </c>
      <c r="I1425" s="112">
        <f t="shared" si="1"/>
        <v>0.8850415512</v>
      </c>
      <c r="J1425" s="82">
        <f t="shared" si="2"/>
        <v>0.5304922851</v>
      </c>
    </row>
    <row r="1426">
      <c r="A1426" s="101">
        <v>44708.0</v>
      </c>
      <c r="B1426" s="111">
        <v>2087.0</v>
      </c>
      <c r="C1426" s="111">
        <v>1.0</v>
      </c>
      <c r="D1426" s="110" t="s">
        <v>227</v>
      </c>
      <c r="E1426" s="111">
        <v>0.0</v>
      </c>
      <c r="F1426" s="111">
        <v>0.44</v>
      </c>
      <c r="G1426" s="111">
        <v>0.19</v>
      </c>
      <c r="H1426" s="110" t="s">
        <v>277</v>
      </c>
      <c r="I1426" s="112">
        <f t="shared" si="1"/>
        <v>1.315789474</v>
      </c>
      <c r="J1426" s="82">
        <f t="shared" si="2"/>
        <v>0.4318181818</v>
      </c>
    </row>
    <row r="1427">
      <c r="A1427" s="101">
        <v>44708.0</v>
      </c>
      <c r="B1427" s="111">
        <v>2087.0</v>
      </c>
      <c r="C1427" s="111">
        <v>2.0</v>
      </c>
      <c r="D1427" s="110" t="s">
        <v>228</v>
      </c>
      <c r="E1427" s="111">
        <v>0.0</v>
      </c>
      <c r="F1427" s="111">
        <v>0.437</v>
      </c>
      <c r="G1427" s="111">
        <v>0.248</v>
      </c>
      <c r="H1427" s="110" t="s">
        <v>277</v>
      </c>
      <c r="I1427" s="112">
        <f t="shared" si="1"/>
        <v>0.7620967742</v>
      </c>
      <c r="J1427" s="82">
        <f t="shared" si="2"/>
        <v>0.5675057208</v>
      </c>
    </row>
    <row r="1428">
      <c r="A1428" s="101">
        <v>44708.0</v>
      </c>
      <c r="B1428" s="111">
        <v>2087.0</v>
      </c>
      <c r="C1428" s="111">
        <v>2.0</v>
      </c>
      <c r="D1428" s="110" t="s">
        <v>227</v>
      </c>
      <c r="E1428" s="111">
        <v>0.0</v>
      </c>
      <c r="F1428" s="111">
        <v>0.062</v>
      </c>
      <c r="G1428" s="111">
        <v>0.031</v>
      </c>
      <c r="H1428" s="110" t="s">
        <v>277</v>
      </c>
      <c r="I1428" s="112">
        <f t="shared" si="1"/>
        <v>1</v>
      </c>
      <c r="J1428" s="82">
        <f t="shared" si="2"/>
        <v>0.5</v>
      </c>
    </row>
    <row r="1429">
      <c r="A1429" s="101">
        <v>44708.0</v>
      </c>
      <c r="B1429" s="111">
        <v>2088.0</v>
      </c>
      <c r="C1429" s="111">
        <v>1.0</v>
      </c>
      <c r="D1429" s="110" t="s">
        <v>228</v>
      </c>
      <c r="E1429" s="111">
        <v>0.0</v>
      </c>
      <c r="F1429" s="111">
        <v>0.4426</v>
      </c>
      <c r="G1429" s="111">
        <v>0.22</v>
      </c>
      <c r="H1429" s="110" t="s">
        <v>277</v>
      </c>
      <c r="I1429" s="112">
        <f t="shared" si="1"/>
        <v>1.011818182</v>
      </c>
      <c r="J1429" s="82">
        <f t="shared" si="2"/>
        <v>0.4970628107</v>
      </c>
    </row>
    <row r="1430">
      <c r="A1430" s="101">
        <v>44708.0</v>
      </c>
      <c r="B1430" s="111">
        <v>2088.0</v>
      </c>
      <c r="C1430" s="111">
        <v>1.0</v>
      </c>
      <c r="D1430" s="110" t="s">
        <v>227</v>
      </c>
      <c r="E1430" s="111">
        <v>1.0</v>
      </c>
      <c r="F1430" s="111">
        <v>0.1561</v>
      </c>
      <c r="G1430" s="111">
        <v>0.076</v>
      </c>
      <c r="H1430" s="110" t="s">
        <v>277</v>
      </c>
      <c r="I1430" s="112">
        <f t="shared" si="1"/>
        <v>1.053947368</v>
      </c>
      <c r="J1430" s="82">
        <f t="shared" si="2"/>
        <v>0.4868673927</v>
      </c>
    </row>
    <row r="1431">
      <c r="A1431" s="101">
        <v>44708.0</v>
      </c>
      <c r="B1431" s="111">
        <v>2088.0</v>
      </c>
      <c r="C1431" s="111">
        <v>1.0</v>
      </c>
      <c r="D1431" s="110" t="s">
        <v>227</v>
      </c>
      <c r="E1431" s="111">
        <v>0.0</v>
      </c>
      <c r="F1431" s="111">
        <v>0.0587</v>
      </c>
      <c r="G1431" s="111">
        <v>0.026</v>
      </c>
      <c r="H1431" s="110" t="s">
        <v>277</v>
      </c>
      <c r="I1431" s="112">
        <f t="shared" si="1"/>
        <v>1.257692308</v>
      </c>
      <c r="J1431" s="82">
        <f t="shared" si="2"/>
        <v>0.4429301533</v>
      </c>
    </row>
    <row r="1432">
      <c r="A1432" s="101">
        <v>44708.0</v>
      </c>
      <c r="B1432" s="111">
        <v>2088.0</v>
      </c>
      <c r="C1432" s="111">
        <v>2.0</v>
      </c>
      <c r="D1432" s="110" t="s">
        <v>227</v>
      </c>
      <c r="E1432" s="111">
        <v>1.0</v>
      </c>
      <c r="F1432" s="111">
        <v>0.404</v>
      </c>
      <c r="G1432" s="111">
        <v>0.199</v>
      </c>
      <c r="H1432" s="110" t="s">
        <v>277</v>
      </c>
      <c r="I1432" s="112">
        <f t="shared" si="1"/>
        <v>1.030150754</v>
      </c>
      <c r="J1432" s="82">
        <f t="shared" si="2"/>
        <v>0.4925742574</v>
      </c>
    </row>
    <row r="1433">
      <c r="A1433" s="101">
        <v>44708.0</v>
      </c>
      <c r="B1433" s="111">
        <v>2088.0</v>
      </c>
      <c r="C1433" s="111">
        <v>2.0</v>
      </c>
      <c r="D1433" s="110" t="s">
        <v>227</v>
      </c>
      <c r="E1433" s="111">
        <v>0.0</v>
      </c>
      <c r="F1433" s="111">
        <v>0.3688</v>
      </c>
      <c r="G1433" s="111">
        <v>0.157</v>
      </c>
      <c r="H1433" s="110" t="s">
        <v>277</v>
      </c>
      <c r="I1433" s="112">
        <f t="shared" si="1"/>
        <v>1.349044586</v>
      </c>
      <c r="J1433" s="82">
        <f t="shared" si="2"/>
        <v>0.4257049892</v>
      </c>
    </row>
    <row r="1434">
      <c r="A1434" s="101">
        <v>44708.0</v>
      </c>
      <c r="B1434" s="111">
        <v>2088.0</v>
      </c>
      <c r="C1434" s="111">
        <v>3.0</v>
      </c>
      <c r="D1434" s="110" t="s">
        <v>228</v>
      </c>
      <c r="E1434" s="111">
        <v>0.0</v>
      </c>
      <c r="F1434" s="111">
        <v>1.05</v>
      </c>
      <c r="G1434" s="111">
        <v>0.509</v>
      </c>
      <c r="H1434" s="110" t="s">
        <v>277</v>
      </c>
      <c r="I1434" s="112">
        <f t="shared" si="1"/>
        <v>1.062868369</v>
      </c>
      <c r="J1434" s="82">
        <f t="shared" si="2"/>
        <v>0.4847619048</v>
      </c>
    </row>
    <row r="1435">
      <c r="A1435" s="101">
        <v>44708.0</v>
      </c>
      <c r="B1435" s="111">
        <v>2088.0</v>
      </c>
      <c r="C1435" s="111">
        <v>3.0</v>
      </c>
      <c r="D1435" s="110" t="s">
        <v>227</v>
      </c>
      <c r="E1435" s="111">
        <v>1.0</v>
      </c>
      <c r="F1435" s="111">
        <v>0.1746</v>
      </c>
      <c r="G1435" s="111">
        <v>0.084</v>
      </c>
      <c r="H1435" s="110" t="s">
        <v>277</v>
      </c>
      <c r="I1435" s="112">
        <f t="shared" si="1"/>
        <v>1.078571429</v>
      </c>
      <c r="J1435" s="82">
        <f t="shared" si="2"/>
        <v>0.4810996564</v>
      </c>
    </row>
    <row r="1436">
      <c r="A1436" s="101">
        <v>44708.0</v>
      </c>
      <c r="B1436" s="111">
        <v>2088.0</v>
      </c>
      <c r="C1436" s="111">
        <v>3.0</v>
      </c>
      <c r="D1436" s="110" t="s">
        <v>227</v>
      </c>
      <c r="E1436" s="111">
        <v>0.0</v>
      </c>
      <c r="F1436" s="111">
        <v>0.1516</v>
      </c>
      <c r="G1436" s="111">
        <v>0.071</v>
      </c>
      <c r="H1436" s="110" t="s">
        <v>277</v>
      </c>
      <c r="I1436" s="112">
        <f t="shared" si="1"/>
        <v>1.135211268</v>
      </c>
      <c r="J1436" s="82">
        <f t="shared" si="2"/>
        <v>0.4683377309</v>
      </c>
    </row>
    <row r="1437">
      <c r="A1437" s="101">
        <v>44708.0</v>
      </c>
      <c r="B1437" s="111">
        <v>2089.0</v>
      </c>
      <c r="C1437" s="111">
        <v>1.0</v>
      </c>
      <c r="D1437" s="110" t="s">
        <v>228</v>
      </c>
      <c r="E1437" s="111">
        <v>1.0</v>
      </c>
      <c r="F1437" s="111">
        <v>2.893</v>
      </c>
      <c r="G1437" s="111">
        <v>1.769</v>
      </c>
      <c r="H1437" s="110" t="s">
        <v>277</v>
      </c>
      <c r="I1437" s="112">
        <f t="shared" si="1"/>
        <v>0.6353872244</v>
      </c>
      <c r="J1437" s="82">
        <f t="shared" si="2"/>
        <v>0.6114759765</v>
      </c>
    </row>
    <row r="1438">
      <c r="A1438" s="101">
        <v>44708.0</v>
      </c>
      <c r="B1438" s="111">
        <v>2089.0</v>
      </c>
      <c r="C1438" s="111">
        <v>1.0</v>
      </c>
      <c r="D1438" s="110" t="s">
        <v>228</v>
      </c>
      <c r="E1438" s="111">
        <v>0.0</v>
      </c>
      <c r="F1438" s="111">
        <v>3.231</v>
      </c>
      <c r="G1438" s="111">
        <v>1.766</v>
      </c>
      <c r="H1438" s="110" t="s">
        <v>277</v>
      </c>
      <c r="I1438" s="112">
        <f t="shared" si="1"/>
        <v>0.8295583239</v>
      </c>
      <c r="J1438" s="82">
        <f t="shared" si="2"/>
        <v>0.5465800062</v>
      </c>
    </row>
    <row r="1439">
      <c r="A1439" s="101">
        <v>44708.0</v>
      </c>
      <c r="B1439" s="111">
        <v>2089.0</v>
      </c>
      <c r="C1439" s="111">
        <v>1.0</v>
      </c>
      <c r="D1439" s="110" t="s">
        <v>227</v>
      </c>
      <c r="E1439" s="111">
        <v>1.0</v>
      </c>
      <c r="F1439" s="111">
        <v>1.037</v>
      </c>
      <c r="G1439" s="111">
        <v>0.562</v>
      </c>
      <c r="H1439" s="110" t="s">
        <v>277</v>
      </c>
      <c r="I1439" s="112">
        <f t="shared" si="1"/>
        <v>0.8451957295</v>
      </c>
      <c r="J1439" s="82">
        <f t="shared" si="2"/>
        <v>0.5419479267</v>
      </c>
    </row>
    <row r="1440">
      <c r="A1440" s="101">
        <v>44708.0</v>
      </c>
      <c r="B1440" s="111">
        <v>2089.0</v>
      </c>
      <c r="C1440" s="111">
        <v>1.0</v>
      </c>
      <c r="D1440" s="110" t="s">
        <v>228</v>
      </c>
      <c r="E1440" s="111">
        <v>0.0</v>
      </c>
      <c r="F1440" s="111">
        <v>1.451</v>
      </c>
      <c r="G1440" s="111">
        <v>0.784</v>
      </c>
      <c r="H1440" s="110" t="s">
        <v>277</v>
      </c>
      <c r="I1440" s="112">
        <f t="shared" si="1"/>
        <v>0.8507653061</v>
      </c>
      <c r="J1440" s="82">
        <f t="shared" si="2"/>
        <v>0.5403170227</v>
      </c>
    </row>
    <row r="1441">
      <c r="A1441" s="101">
        <v>44708.0</v>
      </c>
      <c r="B1441" s="111">
        <v>2089.0</v>
      </c>
      <c r="C1441" s="111">
        <v>1.0</v>
      </c>
      <c r="D1441" s="110" t="s">
        <v>227</v>
      </c>
      <c r="E1441" s="111">
        <v>0.0</v>
      </c>
      <c r="F1441" s="111">
        <v>0.205</v>
      </c>
      <c r="G1441" s="111">
        <v>0.089</v>
      </c>
      <c r="H1441" s="110" t="s">
        <v>277</v>
      </c>
      <c r="I1441" s="112">
        <f t="shared" si="1"/>
        <v>1.303370787</v>
      </c>
      <c r="J1441" s="82">
        <f t="shared" si="2"/>
        <v>0.4341463415</v>
      </c>
    </row>
    <row r="1442">
      <c r="A1442" s="101">
        <v>44708.0</v>
      </c>
      <c r="B1442" s="111">
        <v>2089.0</v>
      </c>
      <c r="C1442" s="111">
        <v>2.0</v>
      </c>
      <c r="D1442" s="110" t="s">
        <v>228</v>
      </c>
      <c r="E1442" s="111">
        <v>1.0</v>
      </c>
      <c r="F1442" s="111">
        <v>1.329</v>
      </c>
      <c r="G1442" s="111">
        <v>0.826</v>
      </c>
      <c r="H1442" s="110" t="s">
        <v>277</v>
      </c>
      <c r="I1442" s="112">
        <f t="shared" si="1"/>
        <v>0.6089588378</v>
      </c>
      <c r="J1442" s="82">
        <f t="shared" si="2"/>
        <v>0.6215199398</v>
      </c>
    </row>
    <row r="1443">
      <c r="A1443" s="101">
        <v>44708.0</v>
      </c>
      <c r="B1443" s="111">
        <v>2089.0</v>
      </c>
      <c r="C1443" s="111">
        <v>2.0</v>
      </c>
      <c r="D1443" s="110" t="s">
        <v>227</v>
      </c>
      <c r="E1443" s="111">
        <v>1.0</v>
      </c>
      <c r="F1443" s="111">
        <v>0.415</v>
      </c>
      <c r="G1443" s="111">
        <v>0.218</v>
      </c>
      <c r="H1443" s="110" t="s">
        <v>277</v>
      </c>
      <c r="I1443" s="112">
        <f t="shared" si="1"/>
        <v>0.9036697248</v>
      </c>
      <c r="J1443" s="82">
        <f t="shared" si="2"/>
        <v>0.5253012048</v>
      </c>
    </row>
    <row r="1444">
      <c r="A1444" s="101">
        <v>44708.0</v>
      </c>
      <c r="B1444" s="111">
        <v>2089.0</v>
      </c>
      <c r="C1444" s="111">
        <v>2.0</v>
      </c>
      <c r="D1444" s="110" t="s">
        <v>227</v>
      </c>
      <c r="E1444" s="111">
        <v>0.0</v>
      </c>
      <c r="F1444" s="111">
        <v>0.442</v>
      </c>
      <c r="G1444" s="111">
        <v>0.198</v>
      </c>
      <c r="H1444" s="110" t="s">
        <v>277</v>
      </c>
      <c r="I1444" s="112">
        <f t="shared" si="1"/>
        <v>1.232323232</v>
      </c>
      <c r="J1444" s="82">
        <f t="shared" si="2"/>
        <v>0.4479638009</v>
      </c>
    </row>
    <row r="1445">
      <c r="A1445" s="101">
        <v>44708.0</v>
      </c>
      <c r="B1445" s="111">
        <v>2089.0</v>
      </c>
      <c r="C1445" s="111">
        <v>3.0</v>
      </c>
      <c r="D1445" s="110" t="s">
        <v>228</v>
      </c>
      <c r="E1445" s="111">
        <v>1.0</v>
      </c>
      <c r="F1445" s="111">
        <v>0.636</v>
      </c>
      <c r="G1445" s="111">
        <v>0.375</v>
      </c>
      <c r="H1445" s="110" t="s">
        <v>277</v>
      </c>
      <c r="I1445" s="112">
        <f t="shared" si="1"/>
        <v>0.696</v>
      </c>
      <c r="J1445" s="82">
        <f t="shared" si="2"/>
        <v>0.5896226415</v>
      </c>
    </row>
    <row r="1446">
      <c r="A1446" s="101">
        <v>44708.0</v>
      </c>
      <c r="B1446" s="111">
        <v>2089.0</v>
      </c>
      <c r="C1446" s="111">
        <v>3.0</v>
      </c>
      <c r="D1446" s="110" t="s">
        <v>228</v>
      </c>
      <c r="E1446" s="111">
        <v>0.0</v>
      </c>
      <c r="F1446" s="111">
        <v>0.969</v>
      </c>
      <c r="G1446" s="111">
        <v>0.528</v>
      </c>
      <c r="H1446" s="110" t="s">
        <v>277</v>
      </c>
      <c r="I1446" s="112">
        <f t="shared" si="1"/>
        <v>0.8352272727</v>
      </c>
      <c r="J1446" s="82">
        <f t="shared" si="2"/>
        <v>0.5448916409</v>
      </c>
    </row>
    <row r="1447">
      <c r="A1447" s="101">
        <v>44708.0</v>
      </c>
      <c r="B1447" s="111">
        <v>2089.0</v>
      </c>
      <c r="C1447" s="111">
        <v>3.0</v>
      </c>
      <c r="D1447" s="110" t="s">
        <v>227</v>
      </c>
      <c r="E1447" s="111">
        <v>1.0</v>
      </c>
      <c r="F1447" s="111">
        <v>0.125</v>
      </c>
      <c r="G1447" s="111">
        <v>0.061</v>
      </c>
      <c r="H1447" s="110" t="s">
        <v>277</v>
      </c>
      <c r="I1447" s="112">
        <f t="shared" si="1"/>
        <v>1.049180328</v>
      </c>
      <c r="J1447" s="82">
        <f t="shared" si="2"/>
        <v>0.488</v>
      </c>
    </row>
    <row r="1448">
      <c r="A1448" s="101">
        <v>44708.0</v>
      </c>
      <c r="B1448" s="111">
        <v>2089.0</v>
      </c>
      <c r="C1448" s="111">
        <v>3.0</v>
      </c>
      <c r="D1448" s="110" t="s">
        <v>227</v>
      </c>
      <c r="E1448" s="111">
        <v>0.0</v>
      </c>
      <c r="F1448" s="111">
        <v>0.095</v>
      </c>
      <c r="G1448" s="111">
        <v>0.041</v>
      </c>
      <c r="H1448" s="110" t="s">
        <v>277</v>
      </c>
      <c r="I1448" s="112">
        <f t="shared" si="1"/>
        <v>1.317073171</v>
      </c>
      <c r="J1448" s="82">
        <f t="shared" si="2"/>
        <v>0.4315789474</v>
      </c>
    </row>
    <row r="1449">
      <c r="A1449" s="101">
        <v>44708.0</v>
      </c>
      <c r="B1449" s="111">
        <v>2090.0</v>
      </c>
      <c r="C1449" s="111">
        <v>1.0</v>
      </c>
      <c r="D1449" s="110" t="s">
        <v>228</v>
      </c>
      <c r="E1449" s="111">
        <v>0.0</v>
      </c>
      <c r="F1449" s="111">
        <v>0.358</v>
      </c>
      <c r="G1449" s="111">
        <v>0.189</v>
      </c>
      <c r="H1449" s="110" t="s">
        <v>277</v>
      </c>
      <c r="I1449" s="112">
        <f t="shared" si="1"/>
        <v>0.8941798942</v>
      </c>
      <c r="J1449" s="82">
        <f t="shared" si="2"/>
        <v>0.5279329609</v>
      </c>
    </row>
    <row r="1450">
      <c r="A1450" s="101">
        <v>44708.0</v>
      </c>
      <c r="B1450" s="111">
        <v>2090.0</v>
      </c>
      <c r="C1450" s="111">
        <v>1.0</v>
      </c>
      <c r="D1450" s="110" t="s">
        <v>227</v>
      </c>
      <c r="E1450" s="111">
        <v>0.0</v>
      </c>
      <c r="F1450" s="111">
        <v>0.058</v>
      </c>
      <c r="G1450" s="111">
        <v>0.026</v>
      </c>
      <c r="H1450" s="110" t="s">
        <v>277</v>
      </c>
      <c r="I1450" s="112">
        <f t="shared" si="1"/>
        <v>1.230769231</v>
      </c>
      <c r="J1450" s="82">
        <f t="shared" si="2"/>
        <v>0.4482758621</v>
      </c>
    </row>
    <row r="1451">
      <c r="A1451" s="101">
        <v>44708.0</v>
      </c>
      <c r="B1451" s="111">
        <v>2090.0</v>
      </c>
      <c r="C1451" s="111">
        <v>2.0</v>
      </c>
      <c r="D1451" s="110" t="s">
        <v>228</v>
      </c>
      <c r="E1451" s="111">
        <v>0.0</v>
      </c>
      <c r="F1451" s="111">
        <v>0.365</v>
      </c>
      <c r="G1451" s="111">
        <v>0.194</v>
      </c>
      <c r="H1451" s="110" t="s">
        <v>277</v>
      </c>
      <c r="I1451" s="112">
        <f t="shared" si="1"/>
        <v>0.881443299</v>
      </c>
      <c r="J1451" s="82">
        <f t="shared" si="2"/>
        <v>0.5315068493</v>
      </c>
    </row>
    <row r="1452">
      <c r="A1452" s="101">
        <v>44708.0</v>
      </c>
      <c r="B1452" s="111">
        <v>2090.0</v>
      </c>
      <c r="C1452" s="111">
        <v>2.0</v>
      </c>
      <c r="D1452" s="110" t="s">
        <v>227</v>
      </c>
      <c r="E1452" s="111">
        <v>0.0</v>
      </c>
      <c r="F1452" s="111">
        <v>0.057</v>
      </c>
      <c r="G1452" s="111">
        <v>0.028</v>
      </c>
      <c r="H1452" s="110" t="s">
        <v>277</v>
      </c>
      <c r="I1452" s="112">
        <f t="shared" si="1"/>
        <v>1.035714286</v>
      </c>
      <c r="J1452" s="82">
        <f t="shared" si="2"/>
        <v>0.4912280702</v>
      </c>
    </row>
    <row r="1453">
      <c r="A1453" s="101">
        <v>44708.0</v>
      </c>
      <c r="B1453" s="111">
        <v>2090.0</v>
      </c>
      <c r="C1453" s="111">
        <v>3.0</v>
      </c>
      <c r="D1453" s="110" t="s">
        <v>228</v>
      </c>
      <c r="E1453" s="111">
        <v>0.0</v>
      </c>
      <c r="F1453" s="111">
        <v>0.385</v>
      </c>
      <c r="G1453" s="111">
        <v>0.201</v>
      </c>
      <c r="H1453" s="110" t="s">
        <v>277</v>
      </c>
      <c r="I1453" s="112">
        <f t="shared" si="1"/>
        <v>0.9154228856</v>
      </c>
      <c r="J1453" s="82">
        <f t="shared" si="2"/>
        <v>0.5220779221</v>
      </c>
    </row>
    <row r="1454">
      <c r="A1454" s="101">
        <v>44708.0</v>
      </c>
      <c r="B1454" s="111">
        <v>2090.0</v>
      </c>
      <c r="C1454" s="111">
        <v>3.0</v>
      </c>
      <c r="D1454" s="110" t="s">
        <v>227</v>
      </c>
      <c r="E1454" s="111">
        <v>0.0</v>
      </c>
      <c r="F1454" s="111">
        <v>0.046</v>
      </c>
      <c r="G1454" s="111">
        <v>0.022</v>
      </c>
      <c r="H1454" s="110" t="s">
        <v>277</v>
      </c>
      <c r="I1454" s="112">
        <f t="shared" si="1"/>
        <v>1.090909091</v>
      </c>
      <c r="J1454" s="82">
        <f t="shared" si="2"/>
        <v>0.4782608696</v>
      </c>
    </row>
    <row r="1455">
      <c r="A1455" s="101">
        <v>44708.0</v>
      </c>
      <c r="B1455" s="111">
        <v>2091.0</v>
      </c>
      <c r="C1455" s="111">
        <v>1.0</v>
      </c>
      <c r="D1455" s="110" t="s">
        <v>228</v>
      </c>
      <c r="E1455" s="111">
        <v>1.0</v>
      </c>
      <c r="F1455" s="111">
        <v>1.8882</v>
      </c>
      <c r="G1455" s="111">
        <v>1.174</v>
      </c>
      <c r="H1455" s="110" t="s">
        <v>277</v>
      </c>
      <c r="I1455" s="112">
        <f t="shared" si="1"/>
        <v>0.6083475298</v>
      </c>
      <c r="J1455" s="82">
        <f t="shared" si="2"/>
        <v>0.6217561699</v>
      </c>
    </row>
    <row r="1456">
      <c r="A1456" s="101">
        <v>44708.0</v>
      </c>
      <c r="B1456" s="111">
        <v>2091.0</v>
      </c>
      <c r="C1456" s="111">
        <v>1.0</v>
      </c>
      <c r="D1456" s="110" t="s">
        <v>228</v>
      </c>
      <c r="E1456" s="111">
        <v>0.0</v>
      </c>
      <c r="F1456" s="111">
        <v>1.5903</v>
      </c>
      <c r="G1456" s="111">
        <v>0.912</v>
      </c>
      <c r="H1456" s="110" t="s">
        <v>277</v>
      </c>
      <c r="I1456" s="112">
        <f t="shared" si="1"/>
        <v>0.74375</v>
      </c>
      <c r="J1456" s="82">
        <f t="shared" si="2"/>
        <v>0.5734767025</v>
      </c>
    </row>
    <row r="1457">
      <c r="A1457" s="101">
        <v>44708.0</v>
      </c>
      <c r="B1457" s="111">
        <v>2091.0</v>
      </c>
      <c r="C1457" s="111">
        <v>1.0</v>
      </c>
      <c r="D1457" s="110" t="s">
        <v>227</v>
      </c>
      <c r="E1457" s="111">
        <v>1.0</v>
      </c>
      <c r="F1457" s="111">
        <v>0.2953</v>
      </c>
      <c r="G1457" s="111">
        <v>0.154</v>
      </c>
      <c r="H1457" s="110" t="s">
        <v>277</v>
      </c>
      <c r="I1457" s="112">
        <f t="shared" si="1"/>
        <v>0.9175324675</v>
      </c>
      <c r="J1457" s="82">
        <f t="shared" si="2"/>
        <v>0.5215035557</v>
      </c>
    </row>
    <row r="1458">
      <c r="A1458" s="101">
        <v>44708.0</v>
      </c>
      <c r="B1458" s="111">
        <v>2091.0</v>
      </c>
      <c r="C1458" s="111">
        <v>1.0</v>
      </c>
      <c r="D1458" s="110" t="s">
        <v>227</v>
      </c>
      <c r="E1458" s="111">
        <v>0.0</v>
      </c>
      <c r="F1458" s="111">
        <v>0.1411</v>
      </c>
      <c r="G1458" s="111">
        <v>0.066</v>
      </c>
      <c r="H1458" s="110" t="s">
        <v>277</v>
      </c>
      <c r="I1458" s="112">
        <f t="shared" si="1"/>
        <v>1.137878788</v>
      </c>
      <c r="J1458" s="82">
        <f t="shared" si="2"/>
        <v>0.4677533664</v>
      </c>
    </row>
    <row r="1459">
      <c r="A1459" s="101">
        <v>44708.0</v>
      </c>
      <c r="B1459" s="111">
        <v>2091.0</v>
      </c>
      <c r="C1459" s="111">
        <v>2.0</v>
      </c>
      <c r="D1459" s="110" t="s">
        <v>228</v>
      </c>
      <c r="E1459" s="111">
        <v>1.0</v>
      </c>
      <c r="F1459" s="111">
        <v>0.9241</v>
      </c>
      <c r="G1459" s="111">
        <v>0.561</v>
      </c>
      <c r="H1459" s="110" t="s">
        <v>277</v>
      </c>
      <c r="I1459" s="112">
        <f t="shared" si="1"/>
        <v>0.6472370766</v>
      </c>
      <c r="J1459" s="82">
        <f t="shared" si="2"/>
        <v>0.6070771562</v>
      </c>
    </row>
    <row r="1460">
      <c r="A1460" s="101">
        <v>44708.0</v>
      </c>
      <c r="B1460" s="111">
        <v>2091.0</v>
      </c>
      <c r="C1460" s="111">
        <v>2.0</v>
      </c>
      <c r="D1460" s="110" t="s">
        <v>228</v>
      </c>
      <c r="E1460" s="111">
        <v>0.0</v>
      </c>
      <c r="F1460" s="111">
        <v>1.6047</v>
      </c>
      <c r="G1460" s="111">
        <v>0.893</v>
      </c>
      <c r="H1460" s="110" t="s">
        <v>277</v>
      </c>
      <c r="I1460" s="112">
        <f t="shared" si="1"/>
        <v>0.7969764838</v>
      </c>
      <c r="J1460" s="82">
        <f t="shared" si="2"/>
        <v>0.5564903097</v>
      </c>
    </row>
    <row r="1461">
      <c r="A1461" s="101">
        <v>44708.0</v>
      </c>
      <c r="B1461" s="111">
        <v>2091.0</v>
      </c>
      <c r="C1461" s="111">
        <v>2.0</v>
      </c>
      <c r="D1461" s="110" t="s">
        <v>227</v>
      </c>
      <c r="E1461" s="111">
        <v>1.0</v>
      </c>
      <c r="F1461" s="111">
        <v>0.2255</v>
      </c>
      <c r="G1461" s="111">
        <v>0.113</v>
      </c>
      <c r="H1461" s="110" t="s">
        <v>277</v>
      </c>
      <c r="I1461" s="112">
        <f t="shared" si="1"/>
        <v>0.9955752212</v>
      </c>
      <c r="J1461" s="82">
        <f t="shared" si="2"/>
        <v>0.5011086475</v>
      </c>
    </row>
    <row r="1462">
      <c r="A1462" s="101">
        <v>44708.0</v>
      </c>
      <c r="B1462" s="111">
        <v>2091.0</v>
      </c>
      <c r="C1462" s="111">
        <v>2.0</v>
      </c>
      <c r="D1462" s="110" t="s">
        <v>227</v>
      </c>
      <c r="E1462" s="111">
        <v>0.0</v>
      </c>
      <c r="F1462" s="111">
        <v>0.1259</v>
      </c>
      <c r="G1462" s="111">
        <v>0.057</v>
      </c>
      <c r="H1462" s="110" t="s">
        <v>277</v>
      </c>
      <c r="I1462" s="112">
        <f t="shared" si="1"/>
        <v>1.20877193</v>
      </c>
      <c r="J1462" s="82">
        <f t="shared" si="2"/>
        <v>0.4527402701</v>
      </c>
    </row>
    <row r="1463">
      <c r="A1463" s="101">
        <v>44708.0</v>
      </c>
      <c r="B1463" s="111">
        <v>2091.0</v>
      </c>
      <c r="C1463" s="111">
        <v>3.0</v>
      </c>
      <c r="D1463" s="110" t="s">
        <v>228</v>
      </c>
      <c r="E1463" s="111">
        <v>1.0</v>
      </c>
      <c r="F1463" s="111">
        <v>2.632</v>
      </c>
      <c r="G1463" s="111">
        <v>1.638</v>
      </c>
      <c r="H1463" s="110" t="s">
        <v>277</v>
      </c>
      <c r="I1463" s="112">
        <f t="shared" si="1"/>
        <v>0.6068376068</v>
      </c>
      <c r="J1463" s="82">
        <f t="shared" si="2"/>
        <v>0.6223404255</v>
      </c>
    </row>
    <row r="1464">
      <c r="A1464" s="101">
        <v>44708.0</v>
      </c>
      <c r="B1464" s="111">
        <v>2091.0</v>
      </c>
      <c r="C1464" s="111">
        <v>3.0</v>
      </c>
      <c r="D1464" s="110" t="s">
        <v>228</v>
      </c>
      <c r="E1464" s="111">
        <v>0.0</v>
      </c>
      <c r="F1464" s="111">
        <v>0.9029</v>
      </c>
      <c r="G1464" s="111">
        <v>0.498</v>
      </c>
      <c r="H1464" s="110" t="s">
        <v>277</v>
      </c>
      <c r="I1464" s="112">
        <f t="shared" si="1"/>
        <v>0.8130522088</v>
      </c>
      <c r="J1464" s="82">
        <f t="shared" si="2"/>
        <v>0.551556097</v>
      </c>
    </row>
    <row r="1465">
      <c r="A1465" s="101">
        <v>44708.0</v>
      </c>
      <c r="B1465" s="111">
        <v>2091.0</v>
      </c>
      <c r="C1465" s="111">
        <v>3.0</v>
      </c>
      <c r="D1465" s="110" t="s">
        <v>227</v>
      </c>
      <c r="E1465" s="111">
        <v>1.0</v>
      </c>
      <c r="F1465" s="111">
        <v>1.1275</v>
      </c>
      <c r="G1465" s="111">
        <v>0.613</v>
      </c>
      <c r="H1465" s="110" t="s">
        <v>277</v>
      </c>
      <c r="I1465" s="112">
        <f t="shared" si="1"/>
        <v>0.839314845</v>
      </c>
      <c r="J1465" s="82">
        <f t="shared" si="2"/>
        <v>0.5436807095</v>
      </c>
    </row>
    <row r="1466">
      <c r="A1466" s="101">
        <v>44708.0</v>
      </c>
      <c r="B1466" s="111">
        <v>2091.0</v>
      </c>
      <c r="C1466" s="111">
        <v>3.0</v>
      </c>
      <c r="D1466" s="110" t="s">
        <v>227</v>
      </c>
      <c r="E1466" s="111">
        <v>0.0</v>
      </c>
      <c r="F1466" s="111">
        <v>0.0709</v>
      </c>
      <c r="G1466" s="111">
        <v>0.031</v>
      </c>
      <c r="H1466" s="110" t="s">
        <v>277</v>
      </c>
      <c r="I1466" s="112">
        <f t="shared" si="1"/>
        <v>1.287096774</v>
      </c>
      <c r="J1466" s="82">
        <f t="shared" si="2"/>
        <v>0.437235543</v>
      </c>
    </row>
    <row r="1467">
      <c r="A1467" s="101">
        <v>44708.0</v>
      </c>
      <c r="B1467" s="111">
        <v>2092.0</v>
      </c>
      <c r="C1467" s="111">
        <v>1.0</v>
      </c>
      <c r="D1467" s="110" t="s">
        <v>228</v>
      </c>
      <c r="E1467" s="111">
        <v>1.0</v>
      </c>
      <c r="F1467" s="111">
        <v>1.546</v>
      </c>
      <c r="G1467" s="111">
        <v>0.925</v>
      </c>
      <c r="H1467" s="110" t="s">
        <v>277</v>
      </c>
      <c r="I1467" s="112">
        <f t="shared" si="1"/>
        <v>0.6713513514</v>
      </c>
      <c r="J1467" s="82">
        <f t="shared" si="2"/>
        <v>0.5983182406</v>
      </c>
    </row>
    <row r="1468">
      <c r="A1468" s="101">
        <v>44708.0</v>
      </c>
      <c r="B1468" s="111">
        <v>2092.0</v>
      </c>
      <c r="C1468" s="111">
        <v>1.0</v>
      </c>
      <c r="D1468" s="110" t="s">
        <v>227</v>
      </c>
      <c r="E1468" s="111">
        <v>1.0</v>
      </c>
      <c r="F1468" s="111">
        <v>0.253</v>
      </c>
      <c r="G1468" s="111">
        <v>0.122</v>
      </c>
      <c r="H1468" s="110" t="s">
        <v>277</v>
      </c>
      <c r="I1468" s="112">
        <f t="shared" si="1"/>
        <v>1.073770492</v>
      </c>
      <c r="J1468" s="82">
        <f t="shared" si="2"/>
        <v>0.4822134387</v>
      </c>
    </row>
    <row r="1469">
      <c r="A1469" s="101">
        <v>44708.0</v>
      </c>
      <c r="B1469" s="111">
        <v>2092.0</v>
      </c>
      <c r="C1469" s="111">
        <v>2.0</v>
      </c>
      <c r="D1469" s="110" t="s">
        <v>228</v>
      </c>
      <c r="E1469" s="111">
        <v>1.0</v>
      </c>
      <c r="F1469" s="111">
        <v>0.595</v>
      </c>
      <c r="G1469" s="111">
        <v>0.34</v>
      </c>
      <c r="H1469" s="110" t="s">
        <v>277</v>
      </c>
      <c r="I1469" s="112">
        <f t="shared" si="1"/>
        <v>0.75</v>
      </c>
      <c r="J1469" s="82">
        <f t="shared" si="2"/>
        <v>0.5714285714</v>
      </c>
    </row>
    <row r="1470">
      <c r="A1470" s="101">
        <v>44708.0</v>
      </c>
      <c r="B1470" s="111">
        <v>2092.0</v>
      </c>
      <c r="C1470" s="111">
        <v>2.0</v>
      </c>
      <c r="D1470" s="110" t="s">
        <v>228</v>
      </c>
      <c r="E1470" s="111">
        <v>0.0</v>
      </c>
      <c r="F1470" s="111">
        <v>0.464</v>
      </c>
      <c r="G1470" s="111">
        <v>0.245</v>
      </c>
      <c r="H1470" s="110" t="s">
        <v>277</v>
      </c>
      <c r="I1470" s="112">
        <f t="shared" si="1"/>
        <v>0.893877551</v>
      </c>
      <c r="J1470" s="82">
        <f t="shared" si="2"/>
        <v>0.5280172414</v>
      </c>
    </row>
    <row r="1471">
      <c r="A1471" s="101">
        <v>44708.0</v>
      </c>
      <c r="B1471" s="111">
        <v>2092.0</v>
      </c>
      <c r="C1471" s="111">
        <v>2.0</v>
      </c>
      <c r="D1471" s="110" t="s">
        <v>227</v>
      </c>
      <c r="E1471" s="111">
        <v>1.0</v>
      </c>
      <c r="F1471" s="111">
        <v>0.169</v>
      </c>
      <c r="G1471" s="111">
        <v>0.076</v>
      </c>
      <c r="H1471" s="110" t="s">
        <v>277</v>
      </c>
      <c r="I1471" s="112">
        <f t="shared" si="1"/>
        <v>1.223684211</v>
      </c>
      <c r="J1471" s="82">
        <f t="shared" si="2"/>
        <v>0.449704142</v>
      </c>
    </row>
    <row r="1472">
      <c r="A1472" s="101">
        <v>44708.0</v>
      </c>
      <c r="B1472" s="111">
        <v>2092.0</v>
      </c>
      <c r="C1472" s="111">
        <v>2.0</v>
      </c>
      <c r="D1472" s="110" t="s">
        <v>227</v>
      </c>
      <c r="E1472" s="111">
        <v>0.0</v>
      </c>
      <c r="F1472" s="111">
        <v>0.057</v>
      </c>
      <c r="G1472" s="111">
        <v>0.025</v>
      </c>
      <c r="H1472" s="110" t="s">
        <v>277</v>
      </c>
      <c r="I1472" s="112">
        <f t="shared" si="1"/>
        <v>1.28</v>
      </c>
      <c r="J1472" s="82">
        <f t="shared" si="2"/>
        <v>0.4385964912</v>
      </c>
    </row>
    <row r="1473">
      <c r="A1473" s="101">
        <v>44708.0</v>
      </c>
      <c r="B1473" s="111">
        <v>2092.0</v>
      </c>
      <c r="C1473" s="111">
        <v>3.0</v>
      </c>
      <c r="D1473" s="110" t="s">
        <v>228</v>
      </c>
      <c r="E1473" s="111">
        <v>1.0</v>
      </c>
      <c r="F1473" s="111">
        <v>1.001</v>
      </c>
      <c r="G1473" s="111">
        <v>0.557</v>
      </c>
      <c r="H1473" s="110" t="s">
        <v>277</v>
      </c>
      <c r="I1473" s="112">
        <f t="shared" si="1"/>
        <v>0.7971274686</v>
      </c>
      <c r="J1473" s="82">
        <f t="shared" si="2"/>
        <v>0.5564435564</v>
      </c>
    </row>
    <row r="1474">
      <c r="A1474" s="101">
        <v>44708.0</v>
      </c>
      <c r="B1474" s="111">
        <v>2092.0</v>
      </c>
      <c r="C1474" s="111">
        <v>3.0</v>
      </c>
      <c r="D1474" s="110" t="s">
        <v>228</v>
      </c>
      <c r="E1474" s="111">
        <v>0.0</v>
      </c>
      <c r="F1474" s="111">
        <v>1.212</v>
      </c>
      <c r="G1474" s="111">
        <v>0.668</v>
      </c>
      <c r="H1474" s="110" t="s">
        <v>277</v>
      </c>
      <c r="I1474" s="112">
        <f t="shared" si="1"/>
        <v>0.8143712575</v>
      </c>
      <c r="J1474" s="82">
        <f t="shared" si="2"/>
        <v>0.5511551155</v>
      </c>
    </row>
    <row r="1475">
      <c r="A1475" s="101">
        <v>44708.0</v>
      </c>
      <c r="B1475" s="111">
        <v>2092.0</v>
      </c>
      <c r="C1475" s="111">
        <v>3.0</v>
      </c>
      <c r="D1475" s="110" t="s">
        <v>227</v>
      </c>
      <c r="E1475" s="111">
        <v>1.0</v>
      </c>
      <c r="F1475" s="111">
        <v>0.167</v>
      </c>
      <c r="G1475" s="111">
        <v>0.079</v>
      </c>
      <c r="H1475" s="110" t="s">
        <v>277</v>
      </c>
      <c r="I1475" s="112">
        <f t="shared" si="1"/>
        <v>1.113924051</v>
      </c>
      <c r="J1475" s="82">
        <f t="shared" si="2"/>
        <v>0.4730538922</v>
      </c>
    </row>
    <row r="1476">
      <c r="A1476" s="101">
        <v>44708.0</v>
      </c>
      <c r="B1476" s="111">
        <v>2092.0</v>
      </c>
      <c r="C1476" s="111">
        <v>3.0</v>
      </c>
      <c r="D1476" s="110" t="s">
        <v>227</v>
      </c>
      <c r="E1476" s="111">
        <v>0.0</v>
      </c>
      <c r="F1476" s="111">
        <v>0.075</v>
      </c>
      <c r="G1476" s="111">
        <v>0.032</v>
      </c>
      <c r="H1476" s="110" t="s">
        <v>277</v>
      </c>
      <c r="I1476" s="112">
        <f t="shared" si="1"/>
        <v>1.34375</v>
      </c>
      <c r="J1476" s="82">
        <f t="shared" si="2"/>
        <v>0.4266666667</v>
      </c>
    </row>
    <row r="1477">
      <c r="A1477" s="101">
        <v>44708.0</v>
      </c>
      <c r="B1477" s="111">
        <v>2093.0</v>
      </c>
      <c r="C1477" s="111">
        <v>1.0</v>
      </c>
      <c r="D1477" s="110" t="s">
        <v>228</v>
      </c>
      <c r="E1477" s="111">
        <v>1.0</v>
      </c>
      <c r="F1477" s="111">
        <v>0.2967</v>
      </c>
      <c r="G1477" s="111">
        <v>0.194</v>
      </c>
      <c r="H1477" s="110" t="s">
        <v>277</v>
      </c>
      <c r="I1477" s="112">
        <f t="shared" si="1"/>
        <v>0.5293814433</v>
      </c>
      <c r="J1477" s="82">
        <f t="shared" si="2"/>
        <v>0.653859117</v>
      </c>
    </row>
    <row r="1478">
      <c r="A1478" s="101">
        <v>44708.0</v>
      </c>
      <c r="B1478" s="111">
        <v>2093.0</v>
      </c>
      <c r="C1478" s="111">
        <v>1.0</v>
      </c>
      <c r="D1478" s="110" t="s">
        <v>227</v>
      </c>
      <c r="E1478" s="111">
        <v>1.0</v>
      </c>
      <c r="F1478" s="111">
        <v>0.0647</v>
      </c>
      <c r="G1478" s="111">
        <v>0.037</v>
      </c>
      <c r="H1478" s="110" t="s">
        <v>277</v>
      </c>
      <c r="I1478" s="112">
        <f t="shared" si="1"/>
        <v>0.7486486486</v>
      </c>
      <c r="J1478" s="82">
        <f t="shared" si="2"/>
        <v>0.57187017</v>
      </c>
    </row>
    <row r="1479">
      <c r="A1479" s="101">
        <v>44708.0</v>
      </c>
      <c r="B1479" s="111">
        <v>2093.0</v>
      </c>
      <c r="C1479" s="111">
        <v>2.0</v>
      </c>
      <c r="D1479" s="110" t="s">
        <v>228</v>
      </c>
      <c r="E1479" s="111">
        <v>0.0</v>
      </c>
      <c r="F1479" s="111">
        <v>0.945</v>
      </c>
      <c r="G1479" s="111">
        <v>0.534</v>
      </c>
      <c r="H1479" s="110" t="s">
        <v>277</v>
      </c>
      <c r="I1479" s="112">
        <f t="shared" si="1"/>
        <v>0.7696629213</v>
      </c>
      <c r="J1479" s="82">
        <f t="shared" si="2"/>
        <v>0.5650793651</v>
      </c>
    </row>
    <row r="1480">
      <c r="A1480" s="101">
        <v>44708.0</v>
      </c>
      <c r="B1480" s="111">
        <v>2093.0</v>
      </c>
      <c r="C1480" s="111">
        <v>2.0</v>
      </c>
      <c r="D1480" s="110" t="s">
        <v>227</v>
      </c>
      <c r="E1480" s="111">
        <v>1.0</v>
      </c>
      <c r="F1480" s="111">
        <v>0.083</v>
      </c>
      <c r="G1480" s="111">
        <v>0.045</v>
      </c>
      <c r="H1480" s="110" t="s">
        <v>277</v>
      </c>
      <c r="I1480" s="112">
        <f t="shared" si="1"/>
        <v>0.8444444444</v>
      </c>
      <c r="J1480" s="82">
        <f t="shared" si="2"/>
        <v>0.5421686747</v>
      </c>
    </row>
    <row r="1481">
      <c r="A1481" s="101">
        <v>44708.0</v>
      </c>
      <c r="B1481" s="111">
        <v>2093.0</v>
      </c>
      <c r="C1481" s="111">
        <v>2.0</v>
      </c>
      <c r="D1481" s="110" t="s">
        <v>227</v>
      </c>
      <c r="E1481" s="111">
        <v>0.0</v>
      </c>
      <c r="F1481" s="111">
        <v>0.056</v>
      </c>
      <c r="G1481" s="111">
        <v>0.027</v>
      </c>
      <c r="H1481" s="110" t="s">
        <v>277</v>
      </c>
      <c r="I1481" s="112">
        <f t="shared" si="1"/>
        <v>1.074074074</v>
      </c>
      <c r="J1481" s="82">
        <f t="shared" si="2"/>
        <v>0.4821428571</v>
      </c>
    </row>
    <row r="1482">
      <c r="A1482" s="101">
        <v>44708.0</v>
      </c>
      <c r="B1482" s="111">
        <v>2093.0</v>
      </c>
      <c r="C1482" s="111">
        <v>3.0</v>
      </c>
      <c r="D1482" s="110" t="s">
        <v>228</v>
      </c>
      <c r="E1482" s="111">
        <v>1.0</v>
      </c>
      <c r="F1482" s="111">
        <v>0.827</v>
      </c>
      <c r="G1482" s="111">
        <v>0.532</v>
      </c>
      <c r="H1482" s="110" t="s">
        <v>277</v>
      </c>
      <c r="I1482" s="112">
        <f t="shared" si="1"/>
        <v>0.5545112782</v>
      </c>
      <c r="J1482" s="82">
        <f t="shared" si="2"/>
        <v>0.6432889964</v>
      </c>
    </row>
    <row r="1483">
      <c r="A1483" s="101">
        <v>44708.0</v>
      </c>
      <c r="B1483" s="111">
        <v>2093.0</v>
      </c>
      <c r="C1483" s="111">
        <v>3.0</v>
      </c>
      <c r="D1483" s="110" t="s">
        <v>228</v>
      </c>
      <c r="E1483" s="111">
        <v>1.0</v>
      </c>
      <c r="F1483" s="111">
        <v>0.184</v>
      </c>
      <c r="G1483" s="111">
        <v>0.115</v>
      </c>
      <c r="H1483" s="110" t="s">
        <v>277</v>
      </c>
      <c r="I1483" s="112">
        <f t="shared" si="1"/>
        <v>0.6</v>
      </c>
      <c r="J1483" s="82">
        <f t="shared" si="2"/>
        <v>0.625</v>
      </c>
    </row>
    <row r="1484">
      <c r="A1484" s="101">
        <v>44708.0</v>
      </c>
      <c r="B1484" s="111">
        <v>2093.0</v>
      </c>
      <c r="C1484" s="111">
        <v>3.0</v>
      </c>
      <c r="D1484" s="110" t="s">
        <v>228</v>
      </c>
      <c r="E1484" s="111">
        <v>0.0</v>
      </c>
      <c r="F1484" s="111">
        <v>1.218</v>
      </c>
      <c r="G1484" s="111">
        <v>0.713</v>
      </c>
      <c r="H1484" s="110" t="s">
        <v>277</v>
      </c>
      <c r="I1484" s="112">
        <f t="shared" si="1"/>
        <v>0.7082748948</v>
      </c>
      <c r="J1484" s="82">
        <f t="shared" si="2"/>
        <v>0.5853858785</v>
      </c>
    </row>
    <row r="1485">
      <c r="A1485" s="101">
        <v>44708.0</v>
      </c>
      <c r="B1485" s="111">
        <v>2093.0</v>
      </c>
      <c r="C1485" s="111">
        <v>3.0</v>
      </c>
      <c r="D1485" s="110" t="s">
        <v>227</v>
      </c>
      <c r="E1485" s="111">
        <v>1.0</v>
      </c>
      <c r="F1485" s="111">
        <v>0.311</v>
      </c>
      <c r="G1485" s="111">
        <v>0.172</v>
      </c>
      <c r="H1485" s="110" t="s">
        <v>277</v>
      </c>
      <c r="I1485" s="112">
        <f t="shared" si="1"/>
        <v>0.8081395349</v>
      </c>
      <c r="J1485" s="82">
        <f t="shared" si="2"/>
        <v>0.5530546624</v>
      </c>
    </row>
    <row r="1486">
      <c r="A1486" s="101">
        <v>44708.0</v>
      </c>
      <c r="B1486" s="111">
        <v>2093.0</v>
      </c>
      <c r="C1486" s="111">
        <v>3.0</v>
      </c>
      <c r="D1486" s="110" t="s">
        <v>227</v>
      </c>
      <c r="E1486" s="111">
        <v>0.0</v>
      </c>
      <c r="F1486" s="111">
        <v>0.057</v>
      </c>
      <c r="G1486" s="111">
        <v>0.03</v>
      </c>
      <c r="H1486" s="110" t="s">
        <v>277</v>
      </c>
      <c r="I1486" s="112">
        <f t="shared" si="1"/>
        <v>0.9</v>
      </c>
      <c r="J1486" s="82">
        <f t="shared" si="2"/>
        <v>0.5263157895</v>
      </c>
    </row>
    <row r="1487">
      <c r="A1487" s="83">
        <v>44769.0</v>
      </c>
      <c r="B1487" s="66">
        <v>2009.0</v>
      </c>
      <c r="C1487" s="66">
        <v>1.0</v>
      </c>
      <c r="D1487" s="66" t="s">
        <v>228</v>
      </c>
      <c r="E1487" s="66">
        <v>0.0</v>
      </c>
      <c r="F1487" s="66">
        <v>1.511</v>
      </c>
      <c r="G1487" s="66">
        <v>0.908</v>
      </c>
      <c r="H1487" s="66" t="s">
        <v>286</v>
      </c>
      <c r="I1487" s="82">
        <f t="shared" si="1"/>
        <v>0.6640969163</v>
      </c>
      <c r="J1487" s="82">
        <f t="shared" si="2"/>
        <v>0.6009265387</v>
      </c>
    </row>
    <row r="1488">
      <c r="A1488" s="83">
        <v>44769.0</v>
      </c>
      <c r="B1488" s="66">
        <v>2009.0</v>
      </c>
      <c r="C1488" s="66">
        <v>1.0</v>
      </c>
      <c r="D1488" s="66" t="s">
        <v>227</v>
      </c>
      <c r="E1488" s="66">
        <v>0.0</v>
      </c>
      <c r="F1488" s="66">
        <v>0.097</v>
      </c>
      <c r="G1488" s="66">
        <v>0.059</v>
      </c>
      <c r="H1488" s="66" t="s">
        <v>286</v>
      </c>
      <c r="I1488" s="82">
        <f t="shared" si="1"/>
        <v>0.6440677966</v>
      </c>
      <c r="J1488" s="82">
        <f t="shared" si="2"/>
        <v>0.6082474227</v>
      </c>
    </row>
    <row r="1489">
      <c r="A1489" s="83">
        <v>44769.0</v>
      </c>
      <c r="B1489" s="66">
        <v>2009.0</v>
      </c>
      <c r="C1489" s="66">
        <v>2.0</v>
      </c>
      <c r="D1489" s="66" t="s">
        <v>228</v>
      </c>
      <c r="E1489" s="66">
        <v>0.0</v>
      </c>
      <c r="F1489" s="66">
        <v>1.174</v>
      </c>
      <c r="G1489" s="66">
        <v>0.706</v>
      </c>
      <c r="H1489" s="66" t="s">
        <v>286</v>
      </c>
      <c r="I1489" s="82">
        <f t="shared" si="1"/>
        <v>0.6628895184</v>
      </c>
      <c r="J1489" s="82">
        <f t="shared" si="2"/>
        <v>0.601362862</v>
      </c>
    </row>
    <row r="1490">
      <c r="A1490" s="83">
        <v>44769.0</v>
      </c>
      <c r="B1490" s="66">
        <v>2009.0</v>
      </c>
      <c r="C1490" s="66">
        <v>2.0</v>
      </c>
      <c r="D1490" s="66" t="s">
        <v>227</v>
      </c>
      <c r="E1490" s="66">
        <v>0.0</v>
      </c>
      <c r="F1490" s="66">
        <v>0.138</v>
      </c>
      <c r="G1490" s="66">
        <v>0.085</v>
      </c>
      <c r="H1490" s="66" t="s">
        <v>286</v>
      </c>
      <c r="I1490" s="82">
        <f t="shared" si="1"/>
        <v>0.6235294118</v>
      </c>
      <c r="J1490" s="82">
        <f t="shared" si="2"/>
        <v>0.615942029</v>
      </c>
    </row>
    <row r="1491">
      <c r="A1491" s="83">
        <v>44769.0</v>
      </c>
      <c r="B1491" s="66">
        <v>2010.0</v>
      </c>
      <c r="C1491" s="66">
        <v>1.0</v>
      </c>
      <c r="D1491" s="66" t="s">
        <v>228</v>
      </c>
      <c r="E1491" s="66">
        <v>0.0</v>
      </c>
      <c r="F1491" s="66">
        <v>1.679</v>
      </c>
      <c r="G1491" s="66">
        <v>0.957</v>
      </c>
      <c r="H1491" s="66" t="s">
        <v>286</v>
      </c>
      <c r="I1491" s="82">
        <f t="shared" si="1"/>
        <v>0.7544409613</v>
      </c>
      <c r="J1491" s="82">
        <f t="shared" si="2"/>
        <v>0.5699821322</v>
      </c>
    </row>
    <row r="1492">
      <c r="A1492" s="83">
        <v>44769.0</v>
      </c>
      <c r="B1492" s="66">
        <v>2010.0</v>
      </c>
      <c r="C1492" s="66">
        <v>1.0</v>
      </c>
      <c r="D1492" s="66" t="s">
        <v>227</v>
      </c>
      <c r="E1492" s="66">
        <v>0.0</v>
      </c>
      <c r="F1492" s="66">
        <v>0.312</v>
      </c>
      <c r="G1492" s="66">
        <v>0.181</v>
      </c>
      <c r="H1492" s="66" t="s">
        <v>286</v>
      </c>
      <c r="I1492" s="82">
        <f t="shared" si="1"/>
        <v>0.7237569061</v>
      </c>
      <c r="J1492" s="82">
        <f t="shared" si="2"/>
        <v>0.5801282051</v>
      </c>
    </row>
    <row r="1493">
      <c r="A1493" s="83">
        <v>44769.0</v>
      </c>
      <c r="B1493" s="66">
        <v>2010.0</v>
      </c>
      <c r="C1493" s="66">
        <v>2.0</v>
      </c>
      <c r="D1493" s="66" t="s">
        <v>228</v>
      </c>
      <c r="E1493" s="66">
        <v>0.0</v>
      </c>
      <c r="F1493" s="66">
        <v>1.724</v>
      </c>
      <c r="G1493" s="66">
        <v>0.98</v>
      </c>
      <c r="H1493" s="66" t="s">
        <v>286</v>
      </c>
      <c r="I1493" s="82">
        <f t="shared" si="1"/>
        <v>0.7591836735</v>
      </c>
      <c r="J1493" s="82">
        <f t="shared" si="2"/>
        <v>0.5684454756</v>
      </c>
    </row>
    <row r="1494">
      <c r="A1494" s="83">
        <v>44769.0</v>
      </c>
      <c r="B1494" s="66">
        <v>2010.0</v>
      </c>
      <c r="C1494" s="66">
        <v>2.0</v>
      </c>
      <c r="D1494" s="66" t="s">
        <v>227</v>
      </c>
      <c r="E1494" s="66">
        <v>0.0</v>
      </c>
      <c r="F1494" s="66">
        <v>0.213</v>
      </c>
      <c r="G1494" s="66">
        <v>0.121</v>
      </c>
      <c r="H1494" s="66" t="s">
        <v>286</v>
      </c>
      <c r="I1494" s="82">
        <f t="shared" si="1"/>
        <v>0.7603305785</v>
      </c>
      <c r="J1494" s="82">
        <f t="shared" si="2"/>
        <v>0.5680751174</v>
      </c>
    </row>
    <row r="1495">
      <c r="A1495" s="83">
        <v>44769.0</v>
      </c>
      <c r="B1495" s="66">
        <v>2011.0</v>
      </c>
      <c r="C1495" s="66">
        <v>1.0</v>
      </c>
      <c r="D1495" s="66" t="s">
        <v>228</v>
      </c>
      <c r="E1495" s="66">
        <v>0.0</v>
      </c>
      <c r="F1495" s="66">
        <v>1.748</v>
      </c>
      <c r="G1495" s="66">
        <v>1.029</v>
      </c>
      <c r="H1495" s="66" t="s">
        <v>286</v>
      </c>
      <c r="I1495" s="82">
        <f t="shared" si="1"/>
        <v>0.6987366375</v>
      </c>
      <c r="J1495" s="82">
        <f t="shared" si="2"/>
        <v>0.5886727689</v>
      </c>
    </row>
    <row r="1496">
      <c r="A1496" s="83">
        <v>44769.0</v>
      </c>
      <c r="B1496" s="66">
        <v>2011.0</v>
      </c>
      <c r="C1496" s="66">
        <v>1.0</v>
      </c>
      <c r="D1496" s="66" t="s">
        <v>227</v>
      </c>
      <c r="E1496" s="66">
        <v>0.0</v>
      </c>
      <c r="F1496" s="66">
        <v>0.301</v>
      </c>
      <c r="G1496" s="66">
        <v>0.17</v>
      </c>
      <c r="H1496" s="66" t="s">
        <v>286</v>
      </c>
      <c r="I1496" s="82">
        <f t="shared" si="1"/>
        <v>0.7705882353</v>
      </c>
      <c r="J1496" s="82">
        <f t="shared" si="2"/>
        <v>0.5647840532</v>
      </c>
    </row>
    <row r="1497">
      <c r="A1497" s="83">
        <v>44769.0</v>
      </c>
      <c r="B1497" s="66">
        <v>2011.0</v>
      </c>
      <c r="C1497" s="66">
        <v>2.0</v>
      </c>
      <c r="D1497" s="66" t="s">
        <v>228</v>
      </c>
      <c r="E1497" s="66">
        <v>0.0</v>
      </c>
      <c r="F1497" s="66">
        <v>1.573</v>
      </c>
      <c r="G1497" s="66">
        <v>0.948</v>
      </c>
      <c r="H1497" s="66" t="s">
        <v>286</v>
      </c>
      <c r="I1497" s="82">
        <f t="shared" si="1"/>
        <v>0.6592827004</v>
      </c>
      <c r="J1497" s="82">
        <f t="shared" si="2"/>
        <v>0.6026700572</v>
      </c>
    </row>
    <row r="1498">
      <c r="A1498" s="83">
        <v>44769.0</v>
      </c>
      <c r="B1498" s="66">
        <v>2011.0</v>
      </c>
      <c r="C1498" s="66">
        <v>2.0</v>
      </c>
      <c r="D1498" s="66" t="s">
        <v>227</v>
      </c>
      <c r="E1498" s="66">
        <v>0.0</v>
      </c>
      <c r="F1498" s="66">
        <v>0.25</v>
      </c>
      <c r="G1498" s="66">
        <v>0.117</v>
      </c>
      <c r="H1498" s="66" t="s">
        <v>286</v>
      </c>
      <c r="I1498" s="82">
        <f t="shared" si="1"/>
        <v>1.136752137</v>
      </c>
      <c r="J1498" s="82">
        <f t="shared" si="2"/>
        <v>0.468</v>
      </c>
    </row>
    <row r="1499">
      <c r="A1499" s="83">
        <v>44769.0</v>
      </c>
      <c r="B1499" s="66">
        <v>2301.0</v>
      </c>
      <c r="C1499" s="66">
        <v>1.0</v>
      </c>
      <c r="D1499" s="66" t="s">
        <v>228</v>
      </c>
      <c r="E1499" s="66">
        <v>1.0</v>
      </c>
      <c r="F1499" s="66">
        <v>3.308</v>
      </c>
      <c r="G1499" s="66">
        <v>2.135</v>
      </c>
      <c r="H1499" s="66" t="s">
        <v>287</v>
      </c>
      <c r="I1499" s="82">
        <f t="shared" si="1"/>
        <v>0.5494145199</v>
      </c>
      <c r="J1499" s="82">
        <f t="shared" si="2"/>
        <v>0.6454050786</v>
      </c>
    </row>
    <row r="1500">
      <c r="A1500" s="83">
        <v>44769.0</v>
      </c>
      <c r="B1500" s="66">
        <v>2301.0</v>
      </c>
      <c r="C1500" s="66">
        <v>1.0</v>
      </c>
      <c r="D1500" s="66" t="s">
        <v>227</v>
      </c>
      <c r="E1500" s="66">
        <v>1.0</v>
      </c>
      <c r="F1500" s="66">
        <v>0.718</v>
      </c>
      <c r="G1500" s="66">
        <v>0.448</v>
      </c>
      <c r="H1500" s="66" t="s">
        <v>287</v>
      </c>
      <c r="I1500" s="82">
        <f t="shared" si="1"/>
        <v>0.6026785714</v>
      </c>
      <c r="J1500" s="82">
        <f t="shared" si="2"/>
        <v>0.6239554318</v>
      </c>
    </row>
    <row r="1501">
      <c r="A1501" s="83">
        <v>44769.0</v>
      </c>
      <c r="B1501" s="66">
        <v>2301.0</v>
      </c>
      <c r="C1501" s="66">
        <v>2.0</v>
      </c>
      <c r="D1501" s="66" t="s">
        <v>228</v>
      </c>
      <c r="E1501" s="66">
        <v>1.0</v>
      </c>
      <c r="F1501" s="66">
        <v>2.112</v>
      </c>
      <c r="G1501" s="66">
        <v>1.345</v>
      </c>
      <c r="H1501" s="66" t="s">
        <v>287</v>
      </c>
      <c r="I1501" s="82">
        <f t="shared" si="1"/>
        <v>0.570260223</v>
      </c>
      <c r="J1501" s="82">
        <f t="shared" si="2"/>
        <v>0.6368371212</v>
      </c>
    </row>
    <row r="1502">
      <c r="A1502" s="83">
        <v>44769.0</v>
      </c>
      <c r="B1502" s="66">
        <v>2301.0</v>
      </c>
      <c r="C1502" s="66">
        <v>2.0</v>
      </c>
      <c r="D1502" s="66" t="s">
        <v>227</v>
      </c>
      <c r="E1502" s="66">
        <v>1.0</v>
      </c>
      <c r="F1502" s="66">
        <v>0.46</v>
      </c>
      <c r="G1502" s="66">
        <v>0.278</v>
      </c>
      <c r="H1502" s="66" t="s">
        <v>287</v>
      </c>
      <c r="I1502" s="82">
        <f t="shared" si="1"/>
        <v>0.654676259</v>
      </c>
      <c r="J1502" s="82">
        <f t="shared" si="2"/>
        <v>0.6043478261</v>
      </c>
    </row>
    <row r="1503">
      <c r="A1503" s="83">
        <v>44769.0</v>
      </c>
      <c r="B1503" s="66">
        <v>2331.0</v>
      </c>
      <c r="C1503" s="66">
        <v>1.0</v>
      </c>
      <c r="D1503" s="66" t="s">
        <v>228</v>
      </c>
      <c r="E1503" s="66">
        <v>1.0</v>
      </c>
      <c r="F1503" s="66">
        <v>2.101</v>
      </c>
      <c r="G1503" s="66">
        <v>1.355</v>
      </c>
      <c r="H1503" s="66" t="s">
        <v>287</v>
      </c>
      <c r="I1503" s="82">
        <f t="shared" si="1"/>
        <v>0.5505535055</v>
      </c>
      <c r="J1503" s="82">
        <f t="shared" si="2"/>
        <v>0.6449309852</v>
      </c>
    </row>
    <row r="1504">
      <c r="A1504" s="83">
        <v>44769.0</v>
      </c>
      <c r="B1504" s="66">
        <v>2331.0</v>
      </c>
      <c r="C1504" s="66">
        <v>1.0</v>
      </c>
      <c r="D1504" s="66" t="s">
        <v>227</v>
      </c>
      <c r="E1504" s="66">
        <v>1.0</v>
      </c>
      <c r="F1504" s="66">
        <v>0.645</v>
      </c>
      <c r="G1504" s="66">
        <v>0.399</v>
      </c>
      <c r="H1504" s="66" t="s">
        <v>287</v>
      </c>
      <c r="I1504" s="82">
        <f t="shared" si="1"/>
        <v>0.6165413534</v>
      </c>
      <c r="J1504" s="82">
        <f t="shared" si="2"/>
        <v>0.6186046512</v>
      </c>
    </row>
    <row r="1505">
      <c r="A1505" s="83">
        <v>44769.0</v>
      </c>
      <c r="B1505" s="66">
        <v>2331.0</v>
      </c>
      <c r="C1505" s="66">
        <v>2.0</v>
      </c>
      <c r="D1505" s="66" t="s">
        <v>228</v>
      </c>
      <c r="E1505" s="66">
        <v>1.0</v>
      </c>
      <c r="F1505" s="66">
        <v>1.1</v>
      </c>
      <c r="G1505" s="66">
        <v>0.723</v>
      </c>
      <c r="H1505" s="66" t="s">
        <v>287</v>
      </c>
      <c r="I1505" s="82">
        <f t="shared" si="1"/>
        <v>0.5214384509</v>
      </c>
      <c r="J1505" s="82">
        <f t="shared" si="2"/>
        <v>0.6572727273</v>
      </c>
    </row>
    <row r="1506">
      <c r="A1506" s="83">
        <v>44769.0</v>
      </c>
      <c r="B1506" s="66">
        <v>2331.0</v>
      </c>
      <c r="C1506" s="66">
        <v>2.0</v>
      </c>
      <c r="D1506" s="66" t="s">
        <v>227</v>
      </c>
      <c r="E1506" s="66">
        <v>1.0</v>
      </c>
      <c r="F1506" s="66">
        <v>0.453</v>
      </c>
      <c r="G1506" s="66">
        <v>0.289</v>
      </c>
      <c r="H1506" s="66" t="s">
        <v>287</v>
      </c>
      <c r="I1506" s="82">
        <f t="shared" si="1"/>
        <v>0.5674740484</v>
      </c>
      <c r="J1506" s="82">
        <f t="shared" si="2"/>
        <v>0.6379690949</v>
      </c>
    </row>
    <row r="1507">
      <c r="A1507" s="83">
        <v>44769.0</v>
      </c>
      <c r="B1507" s="66">
        <v>2343.0</v>
      </c>
      <c r="C1507" s="66">
        <v>1.0</v>
      </c>
      <c r="D1507" s="66" t="s">
        <v>228</v>
      </c>
      <c r="E1507" s="66">
        <v>0.0</v>
      </c>
      <c r="F1507" s="66">
        <v>0.737</v>
      </c>
      <c r="G1507" s="66">
        <v>0.463</v>
      </c>
      <c r="H1507" s="66" t="s">
        <v>286</v>
      </c>
      <c r="I1507" s="82">
        <f t="shared" si="1"/>
        <v>0.5917926566</v>
      </c>
      <c r="J1507" s="82">
        <f t="shared" si="2"/>
        <v>0.6282225237</v>
      </c>
    </row>
    <row r="1508">
      <c r="A1508" s="83">
        <v>44769.0</v>
      </c>
      <c r="B1508" s="66">
        <v>2343.0</v>
      </c>
      <c r="C1508" s="66">
        <v>1.0</v>
      </c>
      <c r="D1508" s="66" t="s">
        <v>227</v>
      </c>
      <c r="E1508" s="66">
        <v>0.0</v>
      </c>
      <c r="F1508" s="66">
        <v>0.256</v>
      </c>
      <c r="G1508" s="66">
        <v>0.119</v>
      </c>
      <c r="H1508" s="66" t="s">
        <v>286</v>
      </c>
      <c r="I1508" s="82">
        <f t="shared" si="1"/>
        <v>1.151260504</v>
      </c>
      <c r="J1508" s="82">
        <f t="shared" si="2"/>
        <v>0.46484375</v>
      </c>
    </row>
    <row r="1509">
      <c r="A1509" s="83">
        <v>44769.0</v>
      </c>
      <c r="B1509" s="66">
        <v>2343.0</v>
      </c>
      <c r="C1509" s="66">
        <v>2.0</v>
      </c>
      <c r="D1509" s="66" t="s">
        <v>228</v>
      </c>
      <c r="E1509" s="66">
        <v>0.0</v>
      </c>
      <c r="F1509" s="66">
        <v>1.158</v>
      </c>
      <c r="G1509" s="66">
        <v>0.669</v>
      </c>
      <c r="H1509" s="66" t="s">
        <v>286</v>
      </c>
      <c r="I1509" s="82">
        <f t="shared" si="1"/>
        <v>0.730941704</v>
      </c>
      <c r="J1509" s="82">
        <f t="shared" si="2"/>
        <v>0.5777202073</v>
      </c>
    </row>
    <row r="1510">
      <c r="A1510" s="83">
        <v>44769.0</v>
      </c>
      <c r="B1510" s="66">
        <v>2343.0</v>
      </c>
      <c r="C1510" s="66">
        <v>2.0</v>
      </c>
      <c r="D1510" s="66" t="s">
        <v>227</v>
      </c>
      <c r="E1510" s="66">
        <v>0.0</v>
      </c>
      <c r="F1510" s="66">
        <v>0.383</v>
      </c>
      <c r="G1510" s="66">
        <v>0.219</v>
      </c>
      <c r="H1510" s="66" t="s">
        <v>286</v>
      </c>
      <c r="I1510" s="82">
        <f t="shared" si="1"/>
        <v>0.7488584475</v>
      </c>
      <c r="J1510" s="82">
        <f t="shared" si="2"/>
        <v>0.5718015666</v>
      </c>
    </row>
    <row r="1511">
      <c r="A1511" s="83">
        <v>44769.0</v>
      </c>
      <c r="B1511" s="66">
        <v>2345.0</v>
      </c>
      <c r="C1511" s="66">
        <v>1.0</v>
      </c>
      <c r="D1511" s="66" t="s">
        <v>228</v>
      </c>
      <c r="E1511" s="66">
        <v>1.0</v>
      </c>
      <c r="F1511" s="66">
        <v>2.031</v>
      </c>
      <c r="G1511" s="66">
        <v>1.327</v>
      </c>
      <c r="H1511" s="66" t="s">
        <v>287</v>
      </c>
      <c r="I1511" s="82">
        <f t="shared" si="1"/>
        <v>0.5305199699</v>
      </c>
      <c r="J1511" s="82">
        <f t="shared" si="2"/>
        <v>0.6533727228</v>
      </c>
    </row>
    <row r="1512">
      <c r="A1512" s="83">
        <v>44769.0</v>
      </c>
      <c r="B1512" s="66">
        <v>2345.0</v>
      </c>
      <c r="C1512" s="66">
        <v>1.0</v>
      </c>
      <c r="D1512" s="66" t="s">
        <v>227</v>
      </c>
      <c r="E1512" s="66">
        <v>1.0</v>
      </c>
      <c r="F1512" s="66">
        <v>0.506</v>
      </c>
      <c r="G1512" s="66">
        <v>0.305</v>
      </c>
      <c r="H1512" s="66" t="s">
        <v>287</v>
      </c>
      <c r="I1512" s="82">
        <f t="shared" si="1"/>
        <v>0.6590163934</v>
      </c>
      <c r="J1512" s="82">
        <f t="shared" si="2"/>
        <v>0.6027667984</v>
      </c>
    </row>
    <row r="1513">
      <c r="A1513" s="83">
        <v>44769.0</v>
      </c>
      <c r="B1513" s="66">
        <v>2345.0</v>
      </c>
      <c r="C1513" s="66">
        <v>2.0</v>
      </c>
      <c r="D1513" s="66" t="s">
        <v>228</v>
      </c>
      <c r="E1513" s="66">
        <v>0.0</v>
      </c>
      <c r="F1513" s="66">
        <v>1.368</v>
      </c>
      <c r="G1513" s="66">
        <v>0.818</v>
      </c>
      <c r="H1513" s="66" t="s">
        <v>287</v>
      </c>
      <c r="I1513" s="82">
        <f t="shared" si="1"/>
        <v>0.6723716381</v>
      </c>
      <c r="J1513" s="82">
        <f t="shared" si="2"/>
        <v>0.5979532164</v>
      </c>
    </row>
    <row r="1514">
      <c r="A1514" s="83">
        <v>44769.0</v>
      </c>
      <c r="B1514" s="66">
        <v>2345.0</v>
      </c>
      <c r="C1514" s="66">
        <v>2.0</v>
      </c>
      <c r="D1514" s="66" t="s">
        <v>227</v>
      </c>
      <c r="E1514" s="66">
        <v>0.0</v>
      </c>
      <c r="F1514" s="66">
        <v>0.076</v>
      </c>
      <c r="G1514" s="66">
        <v>0.042</v>
      </c>
      <c r="H1514" s="66" t="s">
        <v>287</v>
      </c>
      <c r="I1514" s="82">
        <f t="shared" si="1"/>
        <v>0.8095238095</v>
      </c>
      <c r="J1514" s="82">
        <f t="shared" si="2"/>
        <v>0.5526315789</v>
      </c>
    </row>
    <row r="1515">
      <c r="A1515" s="83">
        <v>44769.0</v>
      </c>
      <c r="B1515" s="66">
        <v>2345.0</v>
      </c>
      <c r="C1515" s="66">
        <v>2.0</v>
      </c>
      <c r="D1515" s="66" t="s">
        <v>228</v>
      </c>
      <c r="E1515" s="66">
        <v>1.0</v>
      </c>
      <c r="F1515" s="66">
        <v>1.419</v>
      </c>
      <c r="G1515" s="66">
        <v>0.914</v>
      </c>
      <c r="H1515" s="66" t="s">
        <v>287</v>
      </c>
      <c r="I1515" s="82">
        <f t="shared" si="1"/>
        <v>0.5525164114</v>
      </c>
      <c r="J1515" s="82">
        <f t="shared" si="2"/>
        <v>0.6441155743</v>
      </c>
    </row>
    <row r="1516">
      <c r="A1516" s="83">
        <v>44769.0</v>
      </c>
      <c r="B1516" s="66">
        <v>2345.0</v>
      </c>
      <c r="C1516" s="66">
        <v>2.0</v>
      </c>
      <c r="D1516" s="66" t="s">
        <v>227</v>
      </c>
      <c r="E1516" s="66">
        <v>1.0</v>
      </c>
      <c r="F1516" s="66">
        <v>0.371</v>
      </c>
      <c r="G1516" s="66">
        <v>0.225</v>
      </c>
      <c r="H1516" s="66" t="s">
        <v>287</v>
      </c>
      <c r="I1516" s="82">
        <f t="shared" si="1"/>
        <v>0.6488888889</v>
      </c>
      <c r="J1516" s="82">
        <f t="shared" si="2"/>
        <v>0.6064690027</v>
      </c>
    </row>
    <row r="1517">
      <c r="A1517" s="83">
        <v>44769.0</v>
      </c>
      <c r="B1517" s="66">
        <v>2346.0</v>
      </c>
      <c r="C1517" s="66">
        <v>1.0</v>
      </c>
      <c r="D1517" s="66" t="s">
        <v>228</v>
      </c>
      <c r="E1517" s="66">
        <v>0.0</v>
      </c>
      <c r="F1517" s="66">
        <v>1.36</v>
      </c>
      <c r="G1517" s="66">
        <v>0.807</v>
      </c>
      <c r="H1517" s="66" t="s">
        <v>286</v>
      </c>
      <c r="I1517" s="82">
        <f t="shared" si="1"/>
        <v>0.6852540273</v>
      </c>
      <c r="J1517" s="82">
        <f t="shared" si="2"/>
        <v>0.5933823529</v>
      </c>
    </row>
    <row r="1518">
      <c r="A1518" s="83">
        <v>44769.0</v>
      </c>
      <c r="B1518" s="66">
        <v>2346.0</v>
      </c>
      <c r="C1518" s="66">
        <v>1.0</v>
      </c>
      <c r="D1518" s="66" t="s">
        <v>227</v>
      </c>
      <c r="E1518" s="66">
        <v>0.0</v>
      </c>
      <c r="F1518" s="66">
        <v>0.2</v>
      </c>
      <c r="G1518" s="66">
        <v>0.121</v>
      </c>
      <c r="H1518" s="66" t="s">
        <v>286</v>
      </c>
      <c r="I1518" s="82">
        <f t="shared" si="1"/>
        <v>0.652892562</v>
      </c>
      <c r="J1518" s="82">
        <f t="shared" si="2"/>
        <v>0.605</v>
      </c>
    </row>
    <row r="1519">
      <c r="A1519" s="83">
        <v>44769.0</v>
      </c>
      <c r="B1519" s="66">
        <v>2346.0</v>
      </c>
      <c r="C1519" s="66">
        <v>2.0</v>
      </c>
      <c r="D1519" s="66" t="s">
        <v>228</v>
      </c>
      <c r="E1519" s="66">
        <v>0.0</v>
      </c>
      <c r="F1519" s="66">
        <v>1.139</v>
      </c>
      <c r="G1519" s="66">
        <v>0.674</v>
      </c>
      <c r="H1519" s="66" t="s">
        <v>286</v>
      </c>
      <c r="I1519" s="82">
        <f t="shared" si="1"/>
        <v>0.6899109792</v>
      </c>
      <c r="J1519" s="82">
        <f t="shared" si="2"/>
        <v>0.5917471466</v>
      </c>
    </row>
    <row r="1520">
      <c r="A1520" s="83">
        <v>44769.0</v>
      </c>
      <c r="B1520" s="66">
        <v>2346.0</v>
      </c>
      <c r="C1520" s="66">
        <v>2.0</v>
      </c>
      <c r="D1520" s="66" t="s">
        <v>227</v>
      </c>
      <c r="E1520" s="66">
        <v>0.0</v>
      </c>
      <c r="F1520" s="66">
        <v>0.175</v>
      </c>
      <c r="G1520" s="66">
        <v>0.106</v>
      </c>
      <c r="H1520" s="66" t="s">
        <v>286</v>
      </c>
      <c r="I1520" s="82">
        <f t="shared" si="1"/>
        <v>0.6509433962</v>
      </c>
      <c r="J1520" s="82">
        <f t="shared" si="2"/>
        <v>0.6057142857</v>
      </c>
    </row>
    <row r="1521">
      <c r="A1521" s="83">
        <v>44769.0</v>
      </c>
      <c r="B1521" s="66">
        <v>2347.0</v>
      </c>
      <c r="C1521" s="66">
        <v>1.0</v>
      </c>
      <c r="D1521" s="66" t="s">
        <v>228</v>
      </c>
      <c r="E1521" s="66">
        <v>0.0</v>
      </c>
      <c r="F1521" s="66">
        <v>1.447</v>
      </c>
      <c r="G1521" s="66">
        <v>0.831</v>
      </c>
      <c r="H1521" s="66" t="s">
        <v>286</v>
      </c>
      <c r="I1521" s="82">
        <f t="shared" si="1"/>
        <v>0.7412755716</v>
      </c>
      <c r="J1521" s="82">
        <f t="shared" si="2"/>
        <v>0.5742916379</v>
      </c>
    </row>
    <row r="1522">
      <c r="A1522" s="83">
        <v>44769.0</v>
      </c>
      <c r="B1522" s="66">
        <v>2347.0</v>
      </c>
      <c r="C1522" s="66">
        <v>1.0</v>
      </c>
      <c r="D1522" s="66" t="s">
        <v>227</v>
      </c>
      <c r="E1522" s="66">
        <v>0.0</v>
      </c>
      <c r="F1522" s="66">
        <v>0.146</v>
      </c>
      <c r="G1522" s="66">
        <v>0.089</v>
      </c>
      <c r="H1522" s="66" t="s">
        <v>286</v>
      </c>
      <c r="I1522" s="82">
        <f t="shared" si="1"/>
        <v>0.6404494382</v>
      </c>
      <c r="J1522" s="82">
        <f t="shared" si="2"/>
        <v>0.6095890411</v>
      </c>
    </row>
    <row r="1523">
      <c r="A1523" s="83">
        <v>44769.0</v>
      </c>
      <c r="B1523" s="66">
        <v>2347.0</v>
      </c>
      <c r="C1523" s="66">
        <v>2.0</v>
      </c>
      <c r="D1523" s="66" t="s">
        <v>228</v>
      </c>
      <c r="E1523" s="66">
        <v>0.0</v>
      </c>
      <c r="F1523" s="66">
        <v>2.411</v>
      </c>
      <c r="G1523" s="66">
        <v>1.368</v>
      </c>
      <c r="H1523" s="66" t="s">
        <v>286</v>
      </c>
      <c r="I1523" s="82">
        <f t="shared" si="1"/>
        <v>0.7624269006</v>
      </c>
      <c r="J1523" s="82">
        <f t="shared" si="2"/>
        <v>0.5673994193</v>
      </c>
    </row>
    <row r="1524">
      <c r="A1524" s="83">
        <v>44769.0</v>
      </c>
      <c r="B1524" s="66">
        <v>2347.0</v>
      </c>
      <c r="C1524" s="66">
        <v>2.0</v>
      </c>
      <c r="D1524" s="66" t="s">
        <v>227</v>
      </c>
      <c r="E1524" s="66">
        <v>0.0</v>
      </c>
      <c r="F1524" s="66">
        <v>0.208</v>
      </c>
      <c r="G1524" s="66">
        <v>0.126</v>
      </c>
      <c r="H1524" s="66" t="s">
        <v>286</v>
      </c>
      <c r="I1524" s="82">
        <f t="shared" si="1"/>
        <v>0.6507936508</v>
      </c>
      <c r="J1524" s="82">
        <f t="shared" si="2"/>
        <v>0.6057692308</v>
      </c>
    </row>
    <row r="1525">
      <c r="A1525" s="83">
        <v>44769.0</v>
      </c>
      <c r="B1525" s="66">
        <v>2352.0</v>
      </c>
      <c r="C1525" s="66">
        <v>1.0</v>
      </c>
      <c r="D1525" s="66" t="s">
        <v>228</v>
      </c>
      <c r="E1525" s="66">
        <v>0.0</v>
      </c>
      <c r="F1525" s="66">
        <v>0.785</v>
      </c>
      <c r="G1525" s="66">
        <v>0.48</v>
      </c>
      <c r="H1525" s="66" t="s">
        <v>287</v>
      </c>
      <c r="I1525" s="82">
        <f t="shared" si="1"/>
        <v>0.6354166667</v>
      </c>
      <c r="J1525" s="82">
        <f t="shared" si="2"/>
        <v>0.6114649682</v>
      </c>
    </row>
    <row r="1526">
      <c r="A1526" s="83">
        <v>44769.0</v>
      </c>
      <c r="B1526" s="66">
        <v>2352.0</v>
      </c>
      <c r="C1526" s="66">
        <v>1.0</v>
      </c>
      <c r="D1526" s="66" t="s">
        <v>227</v>
      </c>
      <c r="E1526" s="66">
        <v>0.0</v>
      </c>
      <c r="F1526" s="66">
        <v>0.114</v>
      </c>
      <c r="G1526" s="66">
        <v>0.064</v>
      </c>
      <c r="H1526" s="66" t="s">
        <v>287</v>
      </c>
      <c r="I1526" s="82">
        <f t="shared" si="1"/>
        <v>0.78125</v>
      </c>
      <c r="J1526" s="82">
        <f t="shared" si="2"/>
        <v>0.5614035088</v>
      </c>
    </row>
    <row r="1527">
      <c r="A1527" s="83">
        <v>44769.0</v>
      </c>
      <c r="B1527" s="66">
        <v>2352.0</v>
      </c>
      <c r="C1527" s="66">
        <v>1.0</v>
      </c>
      <c r="D1527" s="66" t="s">
        <v>288</v>
      </c>
      <c r="E1527" s="66">
        <v>1.0</v>
      </c>
      <c r="F1527" s="66">
        <v>1.532</v>
      </c>
      <c r="G1527" s="66">
        <v>1.035</v>
      </c>
      <c r="H1527" s="66" t="s">
        <v>287</v>
      </c>
      <c r="I1527" s="82">
        <f t="shared" si="1"/>
        <v>0.4801932367</v>
      </c>
      <c r="J1527" s="82">
        <f t="shared" si="2"/>
        <v>0.6755874674</v>
      </c>
    </row>
    <row r="1528">
      <c r="A1528" s="83">
        <v>44769.0</v>
      </c>
      <c r="B1528" s="66">
        <v>2352.0</v>
      </c>
      <c r="C1528" s="66">
        <v>1.0</v>
      </c>
      <c r="D1528" s="66" t="s">
        <v>227</v>
      </c>
      <c r="E1528" s="66">
        <v>1.0</v>
      </c>
      <c r="F1528" s="66">
        <v>0.868</v>
      </c>
      <c r="G1528" s="66">
        <v>0.534</v>
      </c>
      <c r="H1528" s="66" t="s">
        <v>287</v>
      </c>
      <c r="I1528" s="82">
        <f t="shared" si="1"/>
        <v>0.6254681648</v>
      </c>
      <c r="J1528" s="82">
        <f t="shared" si="2"/>
        <v>0.6152073733</v>
      </c>
    </row>
    <row r="1529">
      <c r="A1529" s="83">
        <v>44769.0</v>
      </c>
      <c r="B1529" s="66">
        <v>2352.0</v>
      </c>
      <c r="C1529" s="66">
        <v>2.0</v>
      </c>
      <c r="D1529" s="66" t="s">
        <v>228</v>
      </c>
      <c r="E1529" s="66">
        <v>0.0</v>
      </c>
      <c r="F1529" s="66">
        <v>0.763</v>
      </c>
      <c r="G1529" s="66">
        <v>0.466</v>
      </c>
      <c r="H1529" s="66" t="s">
        <v>287</v>
      </c>
      <c r="I1529" s="82">
        <f t="shared" si="1"/>
        <v>0.6373390558</v>
      </c>
      <c r="J1529" s="82">
        <f t="shared" si="2"/>
        <v>0.6107470511</v>
      </c>
    </row>
    <row r="1530">
      <c r="A1530" s="83">
        <v>44769.0</v>
      </c>
      <c r="B1530" s="66">
        <v>2352.0</v>
      </c>
      <c r="C1530" s="66">
        <v>2.0</v>
      </c>
      <c r="D1530" s="66" t="s">
        <v>227</v>
      </c>
      <c r="E1530" s="66">
        <v>0.0</v>
      </c>
      <c r="F1530" s="66">
        <v>0.063</v>
      </c>
      <c r="G1530" s="66">
        <v>0.036</v>
      </c>
      <c r="H1530" s="66" t="s">
        <v>287</v>
      </c>
      <c r="I1530" s="82">
        <f t="shared" si="1"/>
        <v>0.75</v>
      </c>
      <c r="J1530" s="82">
        <f t="shared" si="2"/>
        <v>0.5714285714</v>
      </c>
    </row>
    <row r="1531">
      <c r="A1531" s="83">
        <v>44769.0</v>
      </c>
      <c r="B1531" s="66">
        <v>2352.0</v>
      </c>
      <c r="C1531" s="66">
        <v>2.0</v>
      </c>
      <c r="D1531" s="66" t="s">
        <v>228</v>
      </c>
      <c r="E1531" s="66">
        <v>1.0</v>
      </c>
      <c r="F1531" s="66">
        <v>0.818</v>
      </c>
      <c r="G1531" s="66">
        <v>0.54</v>
      </c>
      <c r="H1531" s="66" t="s">
        <v>287</v>
      </c>
      <c r="I1531" s="82">
        <f t="shared" si="1"/>
        <v>0.5148148148</v>
      </c>
      <c r="J1531" s="82">
        <f t="shared" si="2"/>
        <v>0.6601466993</v>
      </c>
    </row>
    <row r="1532">
      <c r="A1532" s="83">
        <v>44769.0</v>
      </c>
      <c r="B1532" s="66">
        <v>2352.0</v>
      </c>
      <c r="C1532" s="66">
        <v>2.0</v>
      </c>
      <c r="D1532" s="66" t="s">
        <v>227</v>
      </c>
      <c r="E1532" s="66">
        <v>1.0</v>
      </c>
      <c r="F1532" s="66">
        <v>0.387</v>
      </c>
      <c r="G1532" s="66">
        <v>0.247</v>
      </c>
      <c r="H1532" s="66" t="s">
        <v>287</v>
      </c>
      <c r="I1532" s="82">
        <f t="shared" si="1"/>
        <v>0.5668016194</v>
      </c>
      <c r="J1532" s="82">
        <f t="shared" si="2"/>
        <v>0.6382428941</v>
      </c>
    </row>
    <row r="1533">
      <c r="A1533" s="83">
        <v>44769.0</v>
      </c>
      <c r="B1533" s="66">
        <v>2354.0</v>
      </c>
      <c r="C1533" s="66">
        <v>0.0</v>
      </c>
      <c r="D1533" s="66" t="s">
        <v>228</v>
      </c>
      <c r="E1533" s="66">
        <v>0.0</v>
      </c>
      <c r="F1533" s="66">
        <v>0.217</v>
      </c>
      <c r="G1533" s="66">
        <v>0.133</v>
      </c>
      <c r="H1533" s="66" t="s">
        <v>287</v>
      </c>
      <c r="I1533" s="82">
        <f t="shared" si="1"/>
        <v>0.6315789474</v>
      </c>
      <c r="J1533" s="82">
        <f t="shared" si="2"/>
        <v>0.6129032258</v>
      </c>
    </row>
    <row r="1534">
      <c r="A1534" s="83">
        <v>44769.0</v>
      </c>
      <c r="B1534" s="66">
        <v>2354.0</v>
      </c>
      <c r="C1534" s="66">
        <v>0.0</v>
      </c>
      <c r="D1534" s="66" t="s">
        <v>227</v>
      </c>
      <c r="E1534" s="66">
        <v>0.0</v>
      </c>
      <c r="F1534" s="66">
        <v>0.051</v>
      </c>
      <c r="G1534" s="66">
        <v>0.028</v>
      </c>
      <c r="H1534" s="66" t="s">
        <v>287</v>
      </c>
      <c r="I1534" s="82">
        <f t="shared" si="1"/>
        <v>0.8214285714</v>
      </c>
      <c r="J1534" s="82">
        <f t="shared" si="2"/>
        <v>0.5490196078</v>
      </c>
    </row>
    <row r="1535">
      <c r="A1535" s="83">
        <v>44769.0</v>
      </c>
      <c r="B1535" s="66">
        <v>2354.0</v>
      </c>
      <c r="C1535" s="66">
        <v>1.0</v>
      </c>
      <c r="D1535" s="66" t="s">
        <v>228</v>
      </c>
      <c r="E1535" s="66">
        <v>0.0</v>
      </c>
      <c r="F1535" s="66">
        <v>1.873</v>
      </c>
      <c r="G1535" s="66">
        <v>1.095</v>
      </c>
      <c r="H1535" s="66" t="s">
        <v>287</v>
      </c>
      <c r="I1535" s="82">
        <f t="shared" si="1"/>
        <v>0.7105022831</v>
      </c>
      <c r="J1535" s="82">
        <f t="shared" si="2"/>
        <v>0.5846235985</v>
      </c>
    </row>
    <row r="1536">
      <c r="A1536" s="83">
        <v>44769.0</v>
      </c>
      <c r="B1536" s="66">
        <v>2354.0</v>
      </c>
      <c r="C1536" s="66">
        <v>1.0</v>
      </c>
      <c r="D1536" s="66" t="s">
        <v>227</v>
      </c>
      <c r="E1536" s="66">
        <v>0.0</v>
      </c>
      <c r="F1536" s="66">
        <v>0.134</v>
      </c>
      <c r="G1536" s="66">
        <v>0.07</v>
      </c>
      <c r="H1536" s="66" t="s">
        <v>287</v>
      </c>
      <c r="I1536" s="82">
        <f t="shared" si="1"/>
        <v>0.9142857143</v>
      </c>
      <c r="J1536" s="82">
        <f t="shared" si="2"/>
        <v>0.5223880597</v>
      </c>
    </row>
    <row r="1537">
      <c r="A1537" s="83">
        <v>44769.0</v>
      </c>
      <c r="B1537" s="66">
        <v>2354.0</v>
      </c>
      <c r="C1537" s="66">
        <v>1.0</v>
      </c>
      <c r="D1537" s="66" t="s">
        <v>228</v>
      </c>
      <c r="E1537" s="66">
        <v>1.0</v>
      </c>
      <c r="F1537" s="66">
        <v>0.797</v>
      </c>
      <c r="G1537" s="66">
        <v>0.528</v>
      </c>
      <c r="H1537" s="66" t="s">
        <v>287</v>
      </c>
      <c r="I1537" s="82">
        <f t="shared" si="1"/>
        <v>0.509469697</v>
      </c>
      <c r="J1537" s="82">
        <f t="shared" si="2"/>
        <v>0.6624843162</v>
      </c>
    </row>
    <row r="1538">
      <c r="A1538" s="83">
        <v>44769.0</v>
      </c>
      <c r="B1538" s="66">
        <v>2354.0</v>
      </c>
      <c r="C1538" s="66">
        <v>1.0</v>
      </c>
      <c r="D1538" s="66" t="s">
        <v>227</v>
      </c>
      <c r="E1538" s="66">
        <v>1.0</v>
      </c>
      <c r="F1538" s="66">
        <v>0.855</v>
      </c>
      <c r="G1538" s="66">
        <v>0.455</v>
      </c>
      <c r="H1538" s="66" t="s">
        <v>287</v>
      </c>
      <c r="I1538" s="82">
        <f t="shared" si="1"/>
        <v>0.8791208791</v>
      </c>
      <c r="J1538" s="82">
        <f t="shared" si="2"/>
        <v>0.5321637427</v>
      </c>
    </row>
    <row r="1539">
      <c r="A1539" s="83">
        <v>44769.0</v>
      </c>
      <c r="B1539" s="66">
        <v>2354.0</v>
      </c>
      <c r="C1539" s="66">
        <v>2.0</v>
      </c>
      <c r="D1539" s="66" t="s">
        <v>228</v>
      </c>
      <c r="E1539" s="66">
        <v>1.0</v>
      </c>
      <c r="F1539" s="66">
        <v>1.371</v>
      </c>
      <c r="G1539" s="66">
        <v>0.898</v>
      </c>
      <c r="H1539" s="66" t="s">
        <v>287</v>
      </c>
      <c r="I1539" s="82">
        <f t="shared" si="1"/>
        <v>0.5267260579</v>
      </c>
      <c r="J1539" s="82">
        <f t="shared" si="2"/>
        <v>0.654996353</v>
      </c>
    </row>
    <row r="1540">
      <c r="A1540" s="83">
        <v>44769.0</v>
      </c>
      <c r="B1540" s="66">
        <v>2354.0</v>
      </c>
      <c r="C1540" s="66">
        <v>2.0</v>
      </c>
      <c r="D1540" s="66" t="s">
        <v>227</v>
      </c>
      <c r="E1540" s="66">
        <v>1.0</v>
      </c>
      <c r="F1540" s="66">
        <v>0.494</v>
      </c>
      <c r="G1540" s="66">
        <v>0.284</v>
      </c>
      <c r="H1540" s="66" t="s">
        <v>287</v>
      </c>
      <c r="I1540" s="82">
        <f t="shared" si="1"/>
        <v>0.7394366197</v>
      </c>
      <c r="J1540" s="82">
        <f t="shared" si="2"/>
        <v>0.5748987854</v>
      </c>
    </row>
    <row r="1541">
      <c r="A1541" s="83">
        <v>44769.0</v>
      </c>
      <c r="B1541" s="66">
        <v>2360.0</v>
      </c>
      <c r="C1541" s="66">
        <v>1.0</v>
      </c>
      <c r="D1541" s="66" t="s">
        <v>228</v>
      </c>
      <c r="E1541" s="66">
        <v>0.0</v>
      </c>
      <c r="F1541" s="66">
        <v>0.638</v>
      </c>
      <c r="G1541" s="66">
        <v>0.359</v>
      </c>
      <c r="H1541" s="66" t="s">
        <v>286</v>
      </c>
      <c r="I1541" s="82">
        <f t="shared" si="1"/>
        <v>0.7771587744</v>
      </c>
      <c r="J1541" s="82">
        <f t="shared" si="2"/>
        <v>0.5626959248</v>
      </c>
    </row>
    <row r="1542">
      <c r="A1542" s="83">
        <v>44769.0</v>
      </c>
      <c r="B1542" s="66">
        <v>2360.0</v>
      </c>
      <c r="C1542" s="66">
        <v>1.0</v>
      </c>
      <c r="D1542" s="66" t="s">
        <v>227</v>
      </c>
      <c r="E1542" s="66">
        <v>0.0</v>
      </c>
      <c r="F1542" s="66">
        <v>0.087</v>
      </c>
      <c r="G1542" s="66">
        <v>0.054</v>
      </c>
      <c r="H1542" s="66" t="s">
        <v>286</v>
      </c>
      <c r="I1542" s="82">
        <f t="shared" si="1"/>
        <v>0.6111111111</v>
      </c>
      <c r="J1542" s="82">
        <f t="shared" si="2"/>
        <v>0.6206896552</v>
      </c>
    </row>
    <row r="1543">
      <c r="A1543" s="83">
        <v>44769.0</v>
      </c>
      <c r="B1543" s="66">
        <v>2360.0</v>
      </c>
      <c r="C1543" s="66">
        <v>2.0</v>
      </c>
      <c r="D1543" s="66" t="s">
        <v>288</v>
      </c>
      <c r="E1543" s="66">
        <v>0.0</v>
      </c>
      <c r="F1543" s="66">
        <v>1.214</v>
      </c>
      <c r="G1543" s="66">
        <v>0.677</v>
      </c>
      <c r="H1543" s="66" t="s">
        <v>286</v>
      </c>
      <c r="I1543" s="82">
        <f t="shared" si="1"/>
        <v>0.7932053176</v>
      </c>
      <c r="J1543" s="82">
        <f t="shared" si="2"/>
        <v>0.557660626</v>
      </c>
    </row>
    <row r="1544">
      <c r="A1544" s="83">
        <v>44769.0</v>
      </c>
      <c r="B1544" s="66">
        <v>2360.0</v>
      </c>
      <c r="C1544" s="66">
        <v>2.0</v>
      </c>
      <c r="D1544" s="66" t="s">
        <v>227</v>
      </c>
      <c r="E1544" s="66">
        <v>0.0</v>
      </c>
      <c r="F1544" s="66">
        <v>0.311</v>
      </c>
      <c r="G1544" s="66">
        <v>0.19</v>
      </c>
      <c r="H1544" s="66" t="s">
        <v>286</v>
      </c>
      <c r="I1544" s="82">
        <f t="shared" si="1"/>
        <v>0.6368421053</v>
      </c>
      <c r="J1544" s="82">
        <f t="shared" si="2"/>
        <v>0.6109324759</v>
      </c>
    </row>
    <row r="1545">
      <c r="A1545" s="83">
        <v>44769.0</v>
      </c>
      <c r="B1545" s="66">
        <v>2365.0</v>
      </c>
      <c r="C1545" s="66">
        <v>1.0</v>
      </c>
      <c r="D1545" s="66" t="s">
        <v>228</v>
      </c>
      <c r="E1545" s="66">
        <v>0.0</v>
      </c>
      <c r="F1545" s="66">
        <v>2.15</v>
      </c>
      <c r="G1545" s="66">
        <v>1.243</v>
      </c>
      <c r="H1545" s="66" t="s">
        <v>286</v>
      </c>
      <c r="I1545" s="82">
        <f t="shared" si="1"/>
        <v>0.729686243</v>
      </c>
      <c r="J1545" s="82">
        <f t="shared" si="2"/>
        <v>0.5781395349</v>
      </c>
    </row>
    <row r="1546">
      <c r="A1546" s="83">
        <v>44769.0</v>
      </c>
      <c r="B1546" s="66">
        <v>2365.0</v>
      </c>
      <c r="C1546" s="66">
        <v>1.0</v>
      </c>
      <c r="D1546" s="66" t="s">
        <v>227</v>
      </c>
      <c r="E1546" s="66">
        <v>0.0</v>
      </c>
      <c r="F1546" s="66">
        <v>0.381</v>
      </c>
      <c r="G1546" s="66">
        <v>0.239</v>
      </c>
      <c r="H1546" s="66" t="s">
        <v>286</v>
      </c>
      <c r="I1546" s="82">
        <f t="shared" si="1"/>
        <v>0.5941422594</v>
      </c>
      <c r="J1546" s="82">
        <f t="shared" si="2"/>
        <v>0.6272965879</v>
      </c>
    </row>
    <row r="1547">
      <c r="A1547" s="83">
        <v>44769.0</v>
      </c>
      <c r="B1547" s="66">
        <v>2365.0</v>
      </c>
      <c r="C1547" s="66">
        <v>2.0</v>
      </c>
      <c r="D1547" s="66" t="s">
        <v>228</v>
      </c>
      <c r="E1547" s="66">
        <v>0.0</v>
      </c>
      <c r="F1547" s="66">
        <v>0.513</v>
      </c>
      <c r="G1547" s="66">
        <v>0.286</v>
      </c>
      <c r="H1547" s="66" t="s">
        <v>286</v>
      </c>
      <c r="I1547" s="82">
        <f t="shared" si="1"/>
        <v>0.7937062937</v>
      </c>
      <c r="J1547" s="82">
        <f t="shared" si="2"/>
        <v>0.5575048733</v>
      </c>
    </row>
    <row r="1548">
      <c r="A1548" s="83">
        <v>44769.0</v>
      </c>
      <c r="B1548" s="66">
        <v>2365.0</v>
      </c>
      <c r="C1548" s="66">
        <v>2.0</v>
      </c>
      <c r="D1548" s="66" t="s">
        <v>227</v>
      </c>
      <c r="E1548" s="66">
        <v>0.0</v>
      </c>
      <c r="F1548" s="66">
        <v>0.052</v>
      </c>
      <c r="G1548" s="66">
        <v>0.031</v>
      </c>
      <c r="H1548" s="66" t="s">
        <v>286</v>
      </c>
      <c r="I1548" s="82">
        <f t="shared" si="1"/>
        <v>0.6774193548</v>
      </c>
      <c r="J1548" s="82">
        <f t="shared" si="2"/>
        <v>0.5961538462</v>
      </c>
    </row>
    <row r="1549">
      <c r="A1549" s="83">
        <v>44769.0</v>
      </c>
      <c r="B1549" s="66">
        <v>2367.0</v>
      </c>
      <c r="C1549" s="66">
        <v>1.0</v>
      </c>
      <c r="D1549" s="66" t="s">
        <v>228</v>
      </c>
      <c r="E1549" s="66">
        <v>0.0</v>
      </c>
      <c r="F1549" s="66">
        <v>1.168</v>
      </c>
      <c r="G1549" s="66">
        <v>0.701</v>
      </c>
      <c r="H1549" s="66" t="s">
        <v>286</v>
      </c>
      <c r="I1549" s="82">
        <f t="shared" si="1"/>
        <v>0.6661911555</v>
      </c>
      <c r="J1549" s="82">
        <f t="shared" si="2"/>
        <v>0.6001712329</v>
      </c>
    </row>
    <row r="1550">
      <c r="A1550" s="83">
        <v>44769.0</v>
      </c>
      <c r="B1550" s="66">
        <v>2367.0</v>
      </c>
      <c r="C1550" s="66">
        <v>1.0</v>
      </c>
      <c r="D1550" s="66" t="s">
        <v>227</v>
      </c>
      <c r="E1550" s="66">
        <v>0.0</v>
      </c>
      <c r="F1550" s="66">
        <v>0.111</v>
      </c>
      <c r="G1550" s="66">
        <v>0.068</v>
      </c>
      <c r="H1550" s="66" t="s">
        <v>286</v>
      </c>
      <c r="I1550" s="82">
        <f t="shared" si="1"/>
        <v>0.6323529412</v>
      </c>
      <c r="J1550" s="82">
        <f t="shared" si="2"/>
        <v>0.6126126126</v>
      </c>
    </row>
    <row r="1551">
      <c r="A1551" s="83">
        <v>44769.0</v>
      </c>
      <c r="B1551" s="66">
        <v>2367.0</v>
      </c>
      <c r="C1551" s="66">
        <v>2.0</v>
      </c>
      <c r="D1551" s="66" t="s">
        <v>228</v>
      </c>
      <c r="E1551" s="66">
        <v>0.0</v>
      </c>
      <c r="F1551" s="66">
        <v>1.196</v>
      </c>
      <c r="G1551" s="66">
        <v>0.68</v>
      </c>
      <c r="H1551" s="66" t="s">
        <v>286</v>
      </c>
      <c r="I1551" s="82">
        <f t="shared" si="1"/>
        <v>0.7588235294</v>
      </c>
      <c r="J1551" s="82">
        <f t="shared" si="2"/>
        <v>0.5685618729</v>
      </c>
    </row>
    <row r="1552">
      <c r="A1552" s="83">
        <v>44769.0</v>
      </c>
      <c r="B1552" s="66">
        <v>2367.0</v>
      </c>
      <c r="C1552" s="66">
        <v>2.0</v>
      </c>
      <c r="D1552" s="66" t="s">
        <v>227</v>
      </c>
      <c r="E1552" s="66">
        <v>0.0</v>
      </c>
      <c r="F1552" s="66">
        <v>0.205</v>
      </c>
      <c r="G1552" s="66">
        <v>0.124</v>
      </c>
      <c r="H1552" s="66" t="s">
        <v>286</v>
      </c>
      <c r="I1552" s="82">
        <f t="shared" si="1"/>
        <v>0.6532258065</v>
      </c>
      <c r="J1552" s="82">
        <f t="shared" si="2"/>
        <v>0.6048780488</v>
      </c>
    </row>
    <row r="1553">
      <c r="A1553" s="83">
        <v>44769.0</v>
      </c>
      <c r="B1553" s="66">
        <v>2369.0</v>
      </c>
      <c r="C1553" s="66">
        <v>1.0</v>
      </c>
      <c r="D1553" s="66" t="s">
        <v>228</v>
      </c>
      <c r="E1553" s="66">
        <v>0.0</v>
      </c>
      <c r="F1553" s="66">
        <v>2.417</v>
      </c>
      <c r="G1553" s="66">
        <v>1.431</v>
      </c>
      <c r="H1553" s="66" t="s">
        <v>286</v>
      </c>
      <c r="I1553" s="82">
        <f t="shared" si="1"/>
        <v>0.6890286513</v>
      </c>
      <c r="J1553" s="82">
        <f t="shared" si="2"/>
        <v>0.5920562681</v>
      </c>
    </row>
    <row r="1554">
      <c r="A1554" s="83">
        <v>44769.0</v>
      </c>
      <c r="B1554" s="66">
        <v>2369.0</v>
      </c>
      <c r="C1554" s="66">
        <v>1.0</v>
      </c>
      <c r="D1554" s="66" t="s">
        <v>227</v>
      </c>
      <c r="E1554" s="66">
        <v>0.0</v>
      </c>
      <c r="F1554" s="66">
        <v>0.199</v>
      </c>
      <c r="G1554" s="66">
        <v>0.124</v>
      </c>
      <c r="H1554" s="66" t="s">
        <v>286</v>
      </c>
      <c r="I1554" s="82">
        <f t="shared" si="1"/>
        <v>0.6048387097</v>
      </c>
      <c r="J1554" s="82">
        <f t="shared" si="2"/>
        <v>0.6231155779</v>
      </c>
    </row>
    <row r="1555">
      <c r="A1555" s="83">
        <v>44769.0</v>
      </c>
      <c r="B1555" s="66">
        <v>2369.0</v>
      </c>
      <c r="C1555" s="66">
        <v>2.0</v>
      </c>
      <c r="D1555" s="66" t="s">
        <v>228</v>
      </c>
      <c r="E1555" s="66">
        <v>0.0</v>
      </c>
      <c r="F1555" s="66">
        <v>1.736</v>
      </c>
      <c r="G1555" s="66">
        <v>1.025</v>
      </c>
      <c r="H1555" s="66" t="s">
        <v>286</v>
      </c>
      <c r="I1555" s="82">
        <f t="shared" si="1"/>
        <v>0.6936585366</v>
      </c>
      <c r="J1555" s="82">
        <f t="shared" si="2"/>
        <v>0.590437788</v>
      </c>
    </row>
    <row r="1556">
      <c r="A1556" s="83">
        <v>44769.0</v>
      </c>
      <c r="B1556" s="66">
        <v>2369.0</v>
      </c>
      <c r="C1556" s="66">
        <v>2.0</v>
      </c>
      <c r="D1556" s="66" t="s">
        <v>227</v>
      </c>
      <c r="E1556" s="66">
        <v>0.0</v>
      </c>
      <c r="F1556" s="66">
        <v>0.11</v>
      </c>
      <c r="G1556" s="66">
        <v>0.068</v>
      </c>
      <c r="H1556" s="66" t="s">
        <v>286</v>
      </c>
      <c r="I1556" s="82">
        <f t="shared" si="1"/>
        <v>0.6176470588</v>
      </c>
      <c r="J1556" s="82">
        <f t="shared" si="2"/>
        <v>0.6181818182</v>
      </c>
    </row>
    <row r="1557">
      <c r="A1557" s="83">
        <v>44769.0</v>
      </c>
      <c r="B1557" s="66">
        <v>2370.0</v>
      </c>
      <c r="C1557" s="66">
        <v>1.0</v>
      </c>
      <c r="D1557" s="66" t="s">
        <v>228</v>
      </c>
      <c r="E1557" s="66">
        <v>0.0</v>
      </c>
      <c r="F1557" s="66">
        <v>1.036</v>
      </c>
      <c r="G1557" s="66">
        <v>0.61</v>
      </c>
      <c r="H1557" s="66" t="s">
        <v>286</v>
      </c>
      <c r="I1557" s="82">
        <f t="shared" si="1"/>
        <v>0.6983606557</v>
      </c>
      <c r="J1557" s="82">
        <f t="shared" si="2"/>
        <v>0.5888030888</v>
      </c>
    </row>
    <row r="1558">
      <c r="A1558" s="83">
        <v>44769.0</v>
      </c>
      <c r="B1558" s="66">
        <v>2370.0</v>
      </c>
      <c r="C1558" s="66">
        <v>1.0</v>
      </c>
      <c r="D1558" s="66" t="s">
        <v>227</v>
      </c>
      <c r="E1558" s="66">
        <v>0.0</v>
      </c>
      <c r="F1558" s="66">
        <v>0.111</v>
      </c>
      <c r="G1558" s="66">
        <v>0.064</v>
      </c>
      <c r="H1558" s="66" t="s">
        <v>286</v>
      </c>
      <c r="I1558" s="82">
        <f t="shared" si="1"/>
        <v>0.734375</v>
      </c>
      <c r="J1558" s="82">
        <f t="shared" si="2"/>
        <v>0.5765765766</v>
      </c>
    </row>
    <row r="1559">
      <c r="A1559" s="83">
        <v>44769.0</v>
      </c>
      <c r="B1559" s="66">
        <v>2370.0</v>
      </c>
      <c r="C1559" s="66">
        <v>2.0</v>
      </c>
      <c r="D1559" s="66" t="s">
        <v>228</v>
      </c>
      <c r="E1559" s="66">
        <v>0.0</v>
      </c>
      <c r="F1559" s="66">
        <v>0.701</v>
      </c>
      <c r="G1559" s="66">
        <v>0.409</v>
      </c>
      <c r="H1559" s="66" t="s">
        <v>286</v>
      </c>
      <c r="I1559" s="82">
        <f t="shared" si="1"/>
        <v>0.7139364303</v>
      </c>
      <c r="J1559" s="82">
        <f t="shared" si="2"/>
        <v>0.5834522111</v>
      </c>
    </row>
    <row r="1560">
      <c r="A1560" s="83">
        <v>44769.0</v>
      </c>
      <c r="B1560" s="66">
        <v>2370.0</v>
      </c>
      <c r="C1560" s="66">
        <v>2.0</v>
      </c>
      <c r="D1560" s="66" t="s">
        <v>227</v>
      </c>
      <c r="E1560" s="66">
        <v>0.0</v>
      </c>
      <c r="F1560" s="66">
        <v>0.103</v>
      </c>
      <c r="G1560" s="66">
        <v>0.056</v>
      </c>
      <c r="H1560" s="66" t="s">
        <v>286</v>
      </c>
      <c r="I1560" s="82">
        <f t="shared" si="1"/>
        <v>0.8392857143</v>
      </c>
      <c r="J1560" s="82">
        <f t="shared" si="2"/>
        <v>0.5436893204</v>
      </c>
    </row>
    <row r="1561">
      <c r="A1561" s="83">
        <v>44769.0</v>
      </c>
      <c r="B1561" s="66">
        <v>2371.0</v>
      </c>
      <c r="C1561" s="66">
        <v>1.0</v>
      </c>
      <c r="D1561" s="66" t="s">
        <v>228</v>
      </c>
      <c r="E1561" s="66">
        <v>0.0</v>
      </c>
      <c r="F1561" s="66">
        <v>2.456</v>
      </c>
      <c r="G1561" s="66">
        <v>1.421</v>
      </c>
      <c r="H1561" s="66" t="s">
        <v>286</v>
      </c>
      <c r="I1561" s="82">
        <f t="shared" si="1"/>
        <v>0.7283603096</v>
      </c>
      <c r="J1561" s="82">
        <f t="shared" si="2"/>
        <v>0.5785830619</v>
      </c>
    </row>
    <row r="1562">
      <c r="A1562" s="83">
        <v>44769.0</v>
      </c>
      <c r="B1562" s="66">
        <v>2371.0</v>
      </c>
      <c r="C1562" s="66">
        <v>1.0</v>
      </c>
      <c r="D1562" s="66" t="s">
        <v>227</v>
      </c>
      <c r="E1562" s="66">
        <v>0.0</v>
      </c>
      <c r="F1562" s="66">
        <v>0.497</v>
      </c>
      <c r="G1562" s="66">
        <v>0.281</v>
      </c>
      <c r="H1562" s="66" t="s">
        <v>286</v>
      </c>
      <c r="I1562" s="82">
        <f t="shared" si="1"/>
        <v>0.768683274</v>
      </c>
      <c r="J1562" s="82">
        <f t="shared" si="2"/>
        <v>0.5653923541</v>
      </c>
    </row>
    <row r="1563">
      <c r="A1563" s="83">
        <v>44769.0</v>
      </c>
      <c r="B1563" s="66">
        <v>2371.0</v>
      </c>
      <c r="C1563" s="66">
        <v>2.0</v>
      </c>
      <c r="D1563" s="66" t="s">
        <v>228</v>
      </c>
      <c r="E1563" s="66">
        <v>0.0</v>
      </c>
      <c r="F1563" s="66">
        <v>0.793</v>
      </c>
      <c r="G1563" s="66">
        <v>0.465</v>
      </c>
      <c r="H1563" s="66" t="s">
        <v>286</v>
      </c>
      <c r="I1563" s="82">
        <f t="shared" si="1"/>
        <v>0.7053763441</v>
      </c>
      <c r="J1563" s="82">
        <f t="shared" si="2"/>
        <v>0.5863808323</v>
      </c>
    </row>
    <row r="1564">
      <c r="A1564" s="83">
        <v>44769.0</v>
      </c>
      <c r="B1564" s="66">
        <v>2371.0</v>
      </c>
      <c r="C1564" s="66">
        <v>2.0</v>
      </c>
      <c r="D1564" s="66" t="s">
        <v>227</v>
      </c>
      <c r="E1564" s="66">
        <v>0.0</v>
      </c>
      <c r="F1564" s="66">
        <v>0.068</v>
      </c>
      <c r="G1564" s="66">
        <v>0.039</v>
      </c>
      <c r="H1564" s="66" t="s">
        <v>286</v>
      </c>
      <c r="I1564" s="82">
        <f t="shared" si="1"/>
        <v>0.7435897436</v>
      </c>
      <c r="J1564" s="82">
        <f t="shared" si="2"/>
        <v>0.5735294118</v>
      </c>
    </row>
    <row r="1565">
      <c r="A1565" s="83">
        <v>44769.0</v>
      </c>
      <c r="B1565" s="66">
        <v>2372.0</v>
      </c>
      <c r="C1565" s="66">
        <v>1.0</v>
      </c>
      <c r="D1565" s="66" t="s">
        <v>228</v>
      </c>
      <c r="E1565" s="66">
        <v>0.0</v>
      </c>
      <c r="F1565" s="66">
        <v>2.13</v>
      </c>
      <c r="G1565" s="66">
        <v>1.256</v>
      </c>
      <c r="H1565" s="66" t="s">
        <v>286</v>
      </c>
      <c r="I1565" s="82">
        <f t="shared" si="1"/>
        <v>0.6958598726</v>
      </c>
      <c r="J1565" s="82">
        <f t="shared" si="2"/>
        <v>0.5896713615</v>
      </c>
    </row>
    <row r="1566">
      <c r="A1566" s="83">
        <v>44769.0</v>
      </c>
      <c r="B1566" s="66">
        <v>2372.0</v>
      </c>
      <c r="C1566" s="66">
        <v>1.0</v>
      </c>
      <c r="D1566" s="66" t="s">
        <v>227</v>
      </c>
      <c r="E1566" s="66">
        <v>0.0</v>
      </c>
      <c r="F1566" s="66">
        <v>0.42</v>
      </c>
      <c r="G1566" s="66">
        <v>0.256</v>
      </c>
      <c r="H1566" s="66" t="s">
        <v>286</v>
      </c>
      <c r="I1566" s="82">
        <f t="shared" si="1"/>
        <v>0.640625</v>
      </c>
      <c r="J1566" s="82">
        <f t="shared" si="2"/>
        <v>0.6095238095</v>
      </c>
    </row>
    <row r="1567">
      <c r="A1567" s="83">
        <v>44769.0</v>
      </c>
      <c r="B1567" s="66">
        <v>2372.0</v>
      </c>
      <c r="C1567" s="66">
        <v>2.0</v>
      </c>
      <c r="D1567" s="66" t="s">
        <v>228</v>
      </c>
      <c r="E1567" s="66">
        <v>0.0</v>
      </c>
      <c r="F1567" s="66">
        <v>1.345</v>
      </c>
      <c r="G1567" s="66">
        <v>0.756</v>
      </c>
      <c r="H1567" s="66" t="s">
        <v>286</v>
      </c>
      <c r="I1567" s="82">
        <f t="shared" si="1"/>
        <v>0.7791005291</v>
      </c>
      <c r="J1567" s="82">
        <f t="shared" si="2"/>
        <v>0.5620817844</v>
      </c>
    </row>
    <row r="1568">
      <c r="A1568" s="83">
        <v>44769.0</v>
      </c>
      <c r="B1568" s="66">
        <v>2372.0</v>
      </c>
      <c r="C1568" s="66">
        <v>2.0</v>
      </c>
      <c r="D1568" s="66" t="s">
        <v>227</v>
      </c>
      <c r="E1568" s="66">
        <v>0.0</v>
      </c>
      <c r="F1568" s="66">
        <v>0.188</v>
      </c>
      <c r="G1568" s="108">
        <v>0.072</v>
      </c>
      <c r="H1568" s="66" t="s">
        <v>289</v>
      </c>
      <c r="I1568" s="82">
        <f t="shared" si="1"/>
        <v>1.611111111</v>
      </c>
      <c r="J1568" s="82">
        <f t="shared" si="2"/>
        <v>0.3829787234</v>
      </c>
    </row>
    <row r="1569">
      <c r="A1569" s="83">
        <v>44769.0</v>
      </c>
      <c r="B1569" s="66">
        <v>2375.0</v>
      </c>
      <c r="C1569" s="66">
        <v>1.0</v>
      </c>
      <c r="D1569" s="66" t="s">
        <v>228</v>
      </c>
      <c r="E1569" s="66">
        <v>0.0</v>
      </c>
      <c r="F1569" s="66">
        <v>2.628</v>
      </c>
      <c r="G1569" s="66">
        <v>1.492</v>
      </c>
      <c r="H1569" s="66" t="s">
        <v>286</v>
      </c>
      <c r="I1569" s="82">
        <f t="shared" si="1"/>
        <v>0.7613941019</v>
      </c>
      <c r="J1569" s="82">
        <f t="shared" si="2"/>
        <v>0.5677321157</v>
      </c>
    </row>
    <row r="1570">
      <c r="A1570" s="83">
        <v>44769.0</v>
      </c>
      <c r="B1570" s="66">
        <v>2375.0</v>
      </c>
      <c r="C1570" s="66">
        <v>1.0</v>
      </c>
      <c r="D1570" s="66" t="s">
        <v>227</v>
      </c>
      <c r="E1570" s="66">
        <v>0.0</v>
      </c>
      <c r="F1570" s="66">
        <v>0.848</v>
      </c>
      <c r="G1570" s="66">
        <v>0.49</v>
      </c>
      <c r="H1570" s="66" t="s">
        <v>286</v>
      </c>
      <c r="I1570" s="82">
        <f t="shared" si="1"/>
        <v>0.7306122449</v>
      </c>
      <c r="J1570" s="82">
        <f t="shared" si="2"/>
        <v>0.5778301887</v>
      </c>
    </row>
    <row r="1571">
      <c r="A1571" s="83">
        <v>44769.0</v>
      </c>
      <c r="B1571" s="66">
        <v>2375.0</v>
      </c>
      <c r="C1571" s="66">
        <v>2.0</v>
      </c>
      <c r="D1571" s="66" t="s">
        <v>228</v>
      </c>
      <c r="E1571" s="66">
        <v>0.0</v>
      </c>
      <c r="F1571" s="66">
        <v>2.217</v>
      </c>
      <c r="G1571" s="66">
        <v>1.27</v>
      </c>
      <c r="H1571" s="66" t="s">
        <v>286</v>
      </c>
      <c r="I1571" s="82">
        <f t="shared" si="1"/>
        <v>0.7456692913</v>
      </c>
      <c r="J1571" s="82">
        <f t="shared" si="2"/>
        <v>0.5728461885</v>
      </c>
    </row>
    <row r="1572">
      <c r="A1572" s="83">
        <v>44769.0</v>
      </c>
      <c r="B1572" s="66">
        <v>2375.0</v>
      </c>
      <c r="C1572" s="66">
        <v>2.0</v>
      </c>
      <c r="D1572" s="66" t="s">
        <v>227</v>
      </c>
      <c r="E1572" s="66">
        <v>0.0</v>
      </c>
      <c r="F1572" s="66">
        <v>0.763</v>
      </c>
      <c r="G1572" s="66">
        <v>0.443</v>
      </c>
      <c r="H1572" s="66" t="s">
        <v>286</v>
      </c>
      <c r="I1572" s="82">
        <f t="shared" si="1"/>
        <v>0.7223476298</v>
      </c>
      <c r="J1572" s="82">
        <f t="shared" si="2"/>
        <v>0.5806028834</v>
      </c>
    </row>
    <row r="1573">
      <c r="A1573" s="83">
        <v>44769.0</v>
      </c>
      <c r="B1573" s="66">
        <v>2376.0</v>
      </c>
      <c r="C1573" s="66">
        <v>1.0</v>
      </c>
      <c r="D1573" s="66" t="s">
        <v>228</v>
      </c>
      <c r="E1573" s="66">
        <v>1.0</v>
      </c>
      <c r="F1573" s="66">
        <v>2.216</v>
      </c>
      <c r="G1573" s="66">
        <v>1.407</v>
      </c>
      <c r="H1573" s="66" t="s">
        <v>287</v>
      </c>
      <c r="I1573" s="82">
        <f t="shared" si="1"/>
        <v>0.5749822317</v>
      </c>
      <c r="J1573" s="82">
        <f t="shared" si="2"/>
        <v>0.6349277978</v>
      </c>
    </row>
    <row r="1574">
      <c r="A1574" s="83">
        <v>44769.0</v>
      </c>
      <c r="B1574" s="66">
        <v>2376.0</v>
      </c>
      <c r="C1574" s="66">
        <v>1.0</v>
      </c>
      <c r="D1574" s="66" t="s">
        <v>227</v>
      </c>
      <c r="E1574" s="66">
        <v>1.0</v>
      </c>
      <c r="F1574" s="66">
        <v>0.297</v>
      </c>
      <c r="G1574" s="66">
        <v>0.183</v>
      </c>
      <c r="H1574" s="66" t="s">
        <v>287</v>
      </c>
      <c r="I1574" s="82">
        <f t="shared" si="1"/>
        <v>0.6229508197</v>
      </c>
      <c r="J1574" s="82">
        <f t="shared" si="2"/>
        <v>0.6161616162</v>
      </c>
    </row>
    <row r="1575">
      <c r="A1575" s="83">
        <v>44769.0</v>
      </c>
      <c r="B1575" s="66">
        <v>2376.0</v>
      </c>
      <c r="C1575" s="66">
        <v>2.0</v>
      </c>
      <c r="D1575" s="66" t="s">
        <v>228</v>
      </c>
      <c r="E1575" s="66">
        <v>1.0</v>
      </c>
      <c r="F1575" s="66">
        <v>1.691</v>
      </c>
      <c r="G1575" s="66">
        <v>1.063</v>
      </c>
      <c r="H1575" s="66" t="s">
        <v>287</v>
      </c>
      <c r="I1575" s="82">
        <f t="shared" si="1"/>
        <v>0.590780809</v>
      </c>
      <c r="J1575" s="82">
        <f t="shared" si="2"/>
        <v>0.6286221171</v>
      </c>
    </row>
    <row r="1576">
      <c r="A1576" s="83">
        <v>44769.0</v>
      </c>
      <c r="B1576" s="66">
        <v>2376.0</v>
      </c>
      <c r="C1576" s="66">
        <v>2.0</v>
      </c>
      <c r="D1576" s="66" t="s">
        <v>227</v>
      </c>
      <c r="E1576" s="66">
        <v>1.0</v>
      </c>
      <c r="F1576" s="66">
        <v>0.231</v>
      </c>
      <c r="G1576" s="66">
        <v>0.143</v>
      </c>
      <c r="H1576" s="66" t="s">
        <v>287</v>
      </c>
      <c r="I1576" s="82">
        <f t="shared" si="1"/>
        <v>0.6153846154</v>
      </c>
      <c r="J1576" s="82">
        <f t="shared" si="2"/>
        <v>0.619047619</v>
      </c>
    </row>
    <row r="1577">
      <c r="A1577" s="83">
        <v>44769.0</v>
      </c>
      <c r="B1577" s="66">
        <v>2377.0</v>
      </c>
      <c r="C1577" s="66">
        <v>1.0</v>
      </c>
      <c r="D1577" s="66" t="s">
        <v>228</v>
      </c>
      <c r="E1577" s="66">
        <v>0.0</v>
      </c>
      <c r="F1577" s="66">
        <v>0.994</v>
      </c>
      <c r="G1577" s="66">
        <v>0.592</v>
      </c>
      <c r="H1577" s="66" t="s">
        <v>287</v>
      </c>
      <c r="I1577" s="82">
        <f t="shared" si="1"/>
        <v>0.6790540541</v>
      </c>
      <c r="J1577" s="82">
        <f t="shared" si="2"/>
        <v>0.5955734406</v>
      </c>
    </row>
    <row r="1578">
      <c r="A1578" s="83">
        <v>44769.0</v>
      </c>
      <c r="B1578" s="66">
        <v>2377.0</v>
      </c>
      <c r="C1578" s="66">
        <v>1.0</v>
      </c>
      <c r="D1578" s="66" t="s">
        <v>227</v>
      </c>
      <c r="E1578" s="66">
        <v>0.0</v>
      </c>
      <c r="F1578" s="66">
        <v>0.188</v>
      </c>
      <c r="G1578" s="66">
        <v>0.105</v>
      </c>
      <c r="H1578" s="66" t="s">
        <v>287</v>
      </c>
      <c r="I1578" s="82">
        <f t="shared" si="1"/>
        <v>0.7904761905</v>
      </c>
      <c r="J1578" s="82">
        <f t="shared" si="2"/>
        <v>0.5585106383</v>
      </c>
    </row>
    <row r="1579">
      <c r="A1579" s="83">
        <v>44769.0</v>
      </c>
      <c r="B1579" s="66">
        <v>2377.0</v>
      </c>
      <c r="C1579" s="66">
        <v>1.0</v>
      </c>
      <c r="D1579" s="66" t="s">
        <v>228</v>
      </c>
      <c r="E1579" s="66">
        <v>1.0</v>
      </c>
      <c r="F1579" s="66">
        <v>2.584</v>
      </c>
      <c r="G1579" s="66">
        <v>1.66</v>
      </c>
      <c r="H1579" s="66" t="s">
        <v>287</v>
      </c>
      <c r="I1579" s="82">
        <f t="shared" si="1"/>
        <v>0.556626506</v>
      </c>
      <c r="J1579" s="82">
        <f t="shared" si="2"/>
        <v>0.6424148607</v>
      </c>
    </row>
    <row r="1580">
      <c r="A1580" s="83">
        <v>44769.0</v>
      </c>
      <c r="B1580" s="66">
        <v>2377.0</v>
      </c>
      <c r="C1580" s="66">
        <v>1.0</v>
      </c>
      <c r="D1580" s="66" t="s">
        <v>227</v>
      </c>
      <c r="E1580" s="66">
        <v>1.0</v>
      </c>
      <c r="F1580" s="66">
        <v>0.574</v>
      </c>
      <c r="G1580" s="66">
        <v>0.328</v>
      </c>
      <c r="H1580" s="66" t="s">
        <v>287</v>
      </c>
      <c r="I1580" s="82">
        <f t="shared" si="1"/>
        <v>0.75</v>
      </c>
      <c r="J1580" s="82">
        <f t="shared" si="2"/>
        <v>0.5714285714</v>
      </c>
    </row>
    <row r="1581">
      <c r="A1581" s="83">
        <v>44769.0</v>
      </c>
      <c r="B1581" s="66">
        <v>2377.0</v>
      </c>
      <c r="C1581" s="66">
        <v>2.0</v>
      </c>
      <c r="D1581" s="66" t="s">
        <v>228</v>
      </c>
      <c r="E1581" s="66">
        <v>1.0</v>
      </c>
      <c r="F1581" s="66">
        <v>1.012</v>
      </c>
      <c r="G1581" s="66">
        <v>0.649</v>
      </c>
      <c r="H1581" s="66" t="s">
        <v>287</v>
      </c>
      <c r="I1581" s="82">
        <f t="shared" si="1"/>
        <v>0.5593220339</v>
      </c>
      <c r="J1581" s="82">
        <f t="shared" si="2"/>
        <v>0.6413043478</v>
      </c>
    </row>
    <row r="1582">
      <c r="A1582" s="83">
        <v>44769.0</v>
      </c>
      <c r="B1582" s="66">
        <v>2377.0</v>
      </c>
      <c r="C1582" s="66">
        <v>2.0</v>
      </c>
      <c r="D1582" s="66" t="s">
        <v>227</v>
      </c>
      <c r="E1582" s="66">
        <v>1.0</v>
      </c>
      <c r="F1582" s="66">
        <v>0.323</v>
      </c>
      <c r="G1582" s="66">
        <v>0.192</v>
      </c>
      <c r="H1582" s="66" t="s">
        <v>287</v>
      </c>
      <c r="I1582" s="82">
        <f t="shared" si="1"/>
        <v>0.6822916667</v>
      </c>
      <c r="J1582" s="82">
        <f t="shared" si="2"/>
        <v>0.5944272446</v>
      </c>
    </row>
    <row r="1583">
      <c r="A1583" s="83">
        <v>44769.0</v>
      </c>
      <c r="B1583" s="66">
        <v>2378.0</v>
      </c>
      <c r="C1583" s="66">
        <v>1.0</v>
      </c>
      <c r="D1583" s="66" t="s">
        <v>288</v>
      </c>
      <c r="E1583" s="66">
        <v>0.0</v>
      </c>
      <c r="F1583" s="66">
        <v>2.063</v>
      </c>
      <c r="G1583" s="66">
        <v>1.186</v>
      </c>
      <c r="H1583" s="66" t="s">
        <v>286</v>
      </c>
      <c r="I1583" s="82">
        <f t="shared" si="1"/>
        <v>0.739460371</v>
      </c>
      <c r="J1583" s="82">
        <f t="shared" si="2"/>
        <v>0.5748909355</v>
      </c>
    </row>
    <row r="1584">
      <c r="A1584" s="83">
        <v>44769.0</v>
      </c>
      <c r="B1584" s="66">
        <v>2378.0</v>
      </c>
      <c r="C1584" s="66">
        <v>1.0</v>
      </c>
      <c r="D1584" s="66" t="s">
        <v>227</v>
      </c>
      <c r="E1584" s="66">
        <v>0.0</v>
      </c>
      <c r="F1584" s="66">
        <v>0.289</v>
      </c>
      <c r="G1584" s="66">
        <v>0.175</v>
      </c>
      <c r="H1584" s="66" t="s">
        <v>286</v>
      </c>
      <c r="I1584" s="82">
        <f t="shared" si="1"/>
        <v>0.6514285714</v>
      </c>
      <c r="J1584" s="82">
        <f t="shared" si="2"/>
        <v>0.6055363322</v>
      </c>
    </row>
    <row r="1585">
      <c r="A1585" s="83">
        <v>44769.0</v>
      </c>
      <c r="B1585" s="66">
        <v>2378.0</v>
      </c>
      <c r="C1585" s="66">
        <v>2.0</v>
      </c>
      <c r="D1585" s="66" t="s">
        <v>228</v>
      </c>
      <c r="E1585" s="66">
        <v>0.0</v>
      </c>
      <c r="F1585" s="66">
        <v>0.656</v>
      </c>
      <c r="G1585" s="66">
        <v>0.366</v>
      </c>
      <c r="H1585" s="66" t="s">
        <v>286</v>
      </c>
      <c r="I1585" s="82">
        <f t="shared" si="1"/>
        <v>0.7923497268</v>
      </c>
      <c r="J1585" s="82">
        <f t="shared" si="2"/>
        <v>0.5579268293</v>
      </c>
    </row>
    <row r="1586">
      <c r="A1586" s="83">
        <v>44769.0</v>
      </c>
      <c r="B1586" s="66">
        <v>2378.0</v>
      </c>
      <c r="C1586" s="66">
        <v>2.0</v>
      </c>
      <c r="D1586" s="66" t="s">
        <v>227</v>
      </c>
      <c r="E1586" s="66">
        <v>0.0</v>
      </c>
      <c r="F1586" s="66">
        <v>0.081</v>
      </c>
      <c r="G1586" s="66">
        <v>0.047</v>
      </c>
      <c r="H1586" s="66" t="s">
        <v>286</v>
      </c>
      <c r="I1586" s="82">
        <f t="shared" si="1"/>
        <v>0.7234042553</v>
      </c>
      <c r="J1586" s="82">
        <f t="shared" si="2"/>
        <v>0.5802469136</v>
      </c>
    </row>
    <row r="1587">
      <c r="A1587" s="83">
        <v>44769.0</v>
      </c>
      <c r="B1587" s="66">
        <v>2379.0</v>
      </c>
      <c r="C1587" s="66">
        <v>1.0</v>
      </c>
      <c r="D1587" s="66" t="s">
        <v>228</v>
      </c>
      <c r="E1587" s="66">
        <v>0.0</v>
      </c>
      <c r="F1587" s="66">
        <v>0.911</v>
      </c>
      <c r="G1587" s="66">
        <v>0.526</v>
      </c>
      <c r="H1587" s="66" t="s">
        <v>286</v>
      </c>
      <c r="I1587" s="82">
        <f t="shared" si="1"/>
        <v>0.7319391635</v>
      </c>
      <c r="J1587" s="82">
        <f t="shared" si="2"/>
        <v>0.5773874863</v>
      </c>
    </row>
    <row r="1588">
      <c r="A1588" s="83">
        <v>44769.0</v>
      </c>
      <c r="B1588" s="66">
        <v>2379.0</v>
      </c>
      <c r="C1588" s="66">
        <v>1.0</v>
      </c>
      <c r="D1588" s="66" t="s">
        <v>227</v>
      </c>
      <c r="E1588" s="66">
        <v>0.0</v>
      </c>
      <c r="F1588" s="66">
        <v>0.068</v>
      </c>
      <c r="G1588" s="66">
        <v>0.039</v>
      </c>
      <c r="H1588" s="66" t="s">
        <v>286</v>
      </c>
      <c r="I1588" s="82">
        <f t="shared" si="1"/>
        <v>0.7435897436</v>
      </c>
      <c r="J1588" s="82">
        <f t="shared" si="2"/>
        <v>0.5735294118</v>
      </c>
    </row>
    <row r="1589">
      <c r="A1589" s="83">
        <v>44769.0</v>
      </c>
      <c r="B1589" s="66">
        <v>2379.0</v>
      </c>
      <c r="C1589" s="66">
        <v>2.0</v>
      </c>
      <c r="D1589" s="66" t="s">
        <v>228</v>
      </c>
      <c r="E1589" s="66">
        <v>0.0</v>
      </c>
      <c r="F1589" s="66">
        <v>1.147</v>
      </c>
      <c r="G1589" s="66">
        <v>0.681</v>
      </c>
      <c r="H1589" s="66" t="s">
        <v>286</v>
      </c>
      <c r="I1589" s="82">
        <f t="shared" si="1"/>
        <v>0.684287812</v>
      </c>
      <c r="J1589" s="82">
        <f t="shared" si="2"/>
        <v>0.593722755</v>
      </c>
    </row>
    <row r="1590">
      <c r="A1590" s="83">
        <v>44769.0</v>
      </c>
      <c r="B1590" s="66">
        <v>2379.0</v>
      </c>
      <c r="C1590" s="66">
        <v>2.0</v>
      </c>
      <c r="D1590" s="66" t="s">
        <v>227</v>
      </c>
      <c r="E1590" s="66">
        <v>0.0</v>
      </c>
      <c r="F1590" s="66">
        <v>0.104</v>
      </c>
      <c r="G1590" s="66">
        <v>0.039</v>
      </c>
      <c r="H1590" s="66" t="s">
        <v>286</v>
      </c>
      <c r="I1590" s="82">
        <f t="shared" si="1"/>
        <v>1.666666667</v>
      </c>
      <c r="J1590" s="82">
        <f t="shared" si="2"/>
        <v>0.375</v>
      </c>
    </row>
    <row r="1591">
      <c r="A1591" s="83">
        <v>44769.0</v>
      </c>
      <c r="B1591" s="66">
        <v>2380.0</v>
      </c>
      <c r="C1591" s="66">
        <v>1.0</v>
      </c>
      <c r="D1591" s="66" t="s">
        <v>228</v>
      </c>
      <c r="E1591" s="66">
        <v>1.0</v>
      </c>
      <c r="F1591" s="66">
        <v>0.591</v>
      </c>
      <c r="G1591" s="66">
        <v>0.378</v>
      </c>
    </row>
    <row r="1592">
      <c r="A1592" s="83">
        <v>44769.0</v>
      </c>
      <c r="B1592" s="66">
        <v>2380.0</v>
      </c>
      <c r="C1592" s="66">
        <v>1.0</v>
      </c>
      <c r="D1592" s="66" t="s">
        <v>228</v>
      </c>
      <c r="E1592" s="66">
        <v>0.0</v>
      </c>
      <c r="F1592" s="66">
        <v>1.782</v>
      </c>
      <c r="G1592" s="66">
        <v>1.082</v>
      </c>
      <c r="H1592" s="66" t="s">
        <v>287</v>
      </c>
      <c r="I1592" s="82">
        <f t="shared" ref="I1592:I1611" si="3">((F1592-G1592)/G1592)</f>
        <v>0.6469500924</v>
      </c>
      <c r="J1592" s="82">
        <f t="shared" ref="J1592:J1611" si="4">G1592/F1592</f>
        <v>0.6071829405</v>
      </c>
    </row>
    <row r="1593">
      <c r="A1593" s="83">
        <v>44769.0</v>
      </c>
      <c r="B1593" s="66">
        <v>2380.0</v>
      </c>
      <c r="C1593" s="66">
        <v>1.0</v>
      </c>
      <c r="D1593" s="66" t="s">
        <v>227</v>
      </c>
      <c r="E1593" s="66">
        <v>0.0</v>
      </c>
      <c r="F1593" s="66">
        <v>0.418</v>
      </c>
      <c r="G1593" s="66">
        <v>0.242</v>
      </c>
      <c r="H1593" s="66" t="s">
        <v>287</v>
      </c>
      <c r="I1593" s="82">
        <f t="shared" si="3"/>
        <v>0.7272727273</v>
      </c>
      <c r="J1593" s="82">
        <f t="shared" si="4"/>
        <v>0.5789473684</v>
      </c>
    </row>
    <row r="1594">
      <c r="A1594" s="83">
        <v>44769.0</v>
      </c>
      <c r="B1594" s="66">
        <v>2380.0</v>
      </c>
      <c r="C1594" s="66">
        <v>2.0</v>
      </c>
      <c r="D1594" s="66" t="s">
        <v>228</v>
      </c>
      <c r="F1594" s="66">
        <v>1.277</v>
      </c>
      <c r="G1594" s="66">
        <v>0.827</v>
      </c>
      <c r="H1594" s="66" t="s">
        <v>287</v>
      </c>
      <c r="I1594" s="82">
        <f t="shared" si="3"/>
        <v>0.5441354293</v>
      </c>
      <c r="J1594" s="82">
        <f t="shared" si="4"/>
        <v>0.6476115897</v>
      </c>
    </row>
    <row r="1595">
      <c r="A1595" s="83">
        <v>44769.0</v>
      </c>
      <c r="B1595" s="66">
        <v>2380.0</v>
      </c>
      <c r="C1595" s="66">
        <v>2.0</v>
      </c>
      <c r="D1595" s="66" t="s">
        <v>227</v>
      </c>
      <c r="F1595" s="66">
        <v>0.404</v>
      </c>
      <c r="G1595" s="66">
        <v>0.247</v>
      </c>
      <c r="H1595" s="66" t="s">
        <v>287</v>
      </c>
      <c r="I1595" s="82">
        <f t="shared" si="3"/>
        <v>0.6356275304</v>
      </c>
      <c r="J1595" s="82">
        <f t="shared" si="4"/>
        <v>0.6113861386</v>
      </c>
    </row>
    <row r="1596">
      <c r="A1596" s="83">
        <v>44769.0</v>
      </c>
      <c r="B1596" s="66">
        <v>2381.0</v>
      </c>
      <c r="C1596" s="66">
        <v>1.0</v>
      </c>
      <c r="D1596" s="66" t="s">
        <v>228</v>
      </c>
      <c r="E1596" s="66">
        <v>0.0</v>
      </c>
      <c r="F1596" s="66">
        <v>1.522</v>
      </c>
      <c r="G1596" s="66">
        <v>0.865</v>
      </c>
      <c r="H1596" s="66" t="s">
        <v>286</v>
      </c>
      <c r="I1596" s="82">
        <f t="shared" si="3"/>
        <v>0.7595375723</v>
      </c>
      <c r="J1596" s="82">
        <f t="shared" si="4"/>
        <v>0.5683311432</v>
      </c>
    </row>
    <row r="1597">
      <c r="A1597" s="83">
        <v>44769.0</v>
      </c>
      <c r="B1597" s="66">
        <v>2381.0</v>
      </c>
      <c r="C1597" s="66">
        <v>1.0</v>
      </c>
      <c r="D1597" s="66" t="s">
        <v>227</v>
      </c>
      <c r="E1597" s="66">
        <v>0.0</v>
      </c>
      <c r="F1597" s="66">
        <v>0.287</v>
      </c>
      <c r="G1597" s="66">
        <v>0.168</v>
      </c>
      <c r="H1597" s="66" t="s">
        <v>286</v>
      </c>
      <c r="I1597" s="82">
        <f t="shared" si="3"/>
        <v>0.7083333333</v>
      </c>
      <c r="J1597" s="82">
        <f t="shared" si="4"/>
        <v>0.5853658537</v>
      </c>
    </row>
    <row r="1598">
      <c r="A1598" s="83">
        <v>44769.0</v>
      </c>
      <c r="B1598" s="66">
        <v>2381.0</v>
      </c>
      <c r="C1598" s="66">
        <v>1.0</v>
      </c>
      <c r="D1598" s="66" t="s">
        <v>228</v>
      </c>
      <c r="E1598" s="66">
        <v>0.0</v>
      </c>
      <c r="F1598" s="66">
        <v>1.434</v>
      </c>
      <c r="G1598" s="66">
        <v>0.851</v>
      </c>
      <c r="H1598" s="66" t="s">
        <v>286</v>
      </c>
      <c r="I1598" s="82">
        <f t="shared" si="3"/>
        <v>0.6850763807</v>
      </c>
      <c r="J1598" s="82">
        <f t="shared" si="4"/>
        <v>0.5934449093</v>
      </c>
    </row>
    <row r="1599">
      <c r="A1599" s="83">
        <v>44769.0</v>
      </c>
      <c r="B1599" s="66">
        <v>2381.0</v>
      </c>
      <c r="C1599" s="66">
        <v>1.0</v>
      </c>
      <c r="D1599" s="66" t="s">
        <v>227</v>
      </c>
      <c r="E1599" s="66">
        <v>0.0</v>
      </c>
      <c r="F1599" s="66">
        <v>0.177</v>
      </c>
      <c r="G1599" s="66">
        <v>0.107</v>
      </c>
      <c r="H1599" s="66" t="s">
        <v>286</v>
      </c>
      <c r="I1599" s="82">
        <f t="shared" si="3"/>
        <v>0.6542056075</v>
      </c>
      <c r="J1599" s="82">
        <f t="shared" si="4"/>
        <v>0.604519774</v>
      </c>
    </row>
    <row r="1600">
      <c r="A1600" s="83">
        <v>44769.0</v>
      </c>
      <c r="B1600" s="66">
        <v>2381.0</v>
      </c>
      <c r="C1600" s="66">
        <v>2.0</v>
      </c>
      <c r="D1600" s="66" t="s">
        <v>228</v>
      </c>
      <c r="E1600" s="66">
        <v>0.0</v>
      </c>
      <c r="F1600" s="66">
        <v>2.111</v>
      </c>
      <c r="G1600" s="66">
        <v>1.2</v>
      </c>
      <c r="H1600" s="66" t="s">
        <v>286</v>
      </c>
      <c r="I1600" s="82">
        <f t="shared" si="3"/>
        <v>0.7591666667</v>
      </c>
      <c r="J1600" s="82">
        <f t="shared" si="4"/>
        <v>0.5684509711</v>
      </c>
    </row>
    <row r="1601">
      <c r="A1601" s="83">
        <v>44769.0</v>
      </c>
      <c r="B1601" s="66">
        <v>2381.0</v>
      </c>
      <c r="C1601" s="66">
        <v>2.0</v>
      </c>
      <c r="D1601" s="66" t="s">
        <v>227</v>
      </c>
      <c r="E1601" s="66">
        <v>0.0</v>
      </c>
      <c r="F1601" s="66">
        <v>0.193</v>
      </c>
      <c r="G1601" s="66">
        <v>0.115</v>
      </c>
      <c r="H1601" s="66" t="s">
        <v>286</v>
      </c>
      <c r="I1601" s="82">
        <f t="shared" si="3"/>
        <v>0.6782608696</v>
      </c>
      <c r="J1601" s="82">
        <f t="shared" si="4"/>
        <v>0.5958549223</v>
      </c>
    </row>
    <row r="1602">
      <c r="A1602" s="83">
        <v>44769.0</v>
      </c>
      <c r="B1602" s="66">
        <v>2382.0</v>
      </c>
      <c r="C1602" s="66">
        <v>1.0</v>
      </c>
      <c r="D1602" s="66" t="s">
        <v>288</v>
      </c>
      <c r="E1602" s="66">
        <v>0.0</v>
      </c>
      <c r="F1602" s="66">
        <v>2.663</v>
      </c>
      <c r="G1602" s="66">
        <v>1.615</v>
      </c>
      <c r="H1602" s="66" t="s">
        <v>286</v>
      </c>
      <c r="I1602" s="82">
        <f t="shared" si="3"/>
        <v>0.6489164087</v>
      </c>
      <c r="J1602" s="82">
        <f t="shared" si="4"/>
        <v>0.606458881</v>
      </c>
    </row>
    <row r="1603">
      <c r="A1603" s="83">
        <v>44769.0</v>
      </c>
      <c r="B1603" s="66">
        <v>2382.0</v>
      </c>
      <c r="C1603" s="66">
        <v>1.0</v>
      </c>
      <c r="D1603" s="66" t="s">
        <v>227</v>
      </c>
      <c r="E1603" s="66">
        <v>0.0</v>
      </c>
      <c r="F1603" s="66">
        <v>0.237</v>
      </c>
      <c r="G1603" s="66">
        <v>0.143</v>
      </c>
      <c r="H1603" s="66" t="s">
        <v>286</v>
      </c>
      <c r="I1603" s="82">
        <f t="shared" si="3"/>
        <v>0.6573426573</v>
      </c>
      <c r="J1603" s="82">
        <f t="shared" si="4"/>
        <v>0.6033755274</v>
      </c>
    </row>
    <row r="1604">
      <c r="A1604" s="83">
        <v>44769.0</v>
      </c>
      <c r="B1604" s="66">
        <v>2382.0</v>
      </c>
      <c r="C1604" s="66">
        <v>2.0</v>
      </c>
      <c r="D1604" s="66" t="s">
        <v>228</v>
      </c>
      <c r="E1604" s="66">
        <v>0.0</v>
      </c>
      <c r="F1604" s="66">
        <v>1.573</v>
      </c>
      <c r="G1604" s="66">
        <v>0.943</v>
      </c>
      <c r="H1604" s="66" t="s">
        <v>286</v>
      </c>
      <c r="I1604" s="82">
        <f t="shared" si="3"/>
        <v>0.6680805938</v>
      </c>
      <c r="J1604" s="82">
        <f t="shared" si="4"/>
        <v>0.5994914177</v>
      </c>
    </row>
    <row r="1605">
      <c r="A1605" s="83">
        <v>44769.0</v>
      </c>
      <c r="B1605" s="66">
        <v>2382.0</v>
      </c>
      <c r="C1605" s="66">
        <v>2.0</v>
      </c>
      <c r="D1605" s="66" t="s">
        <v>227</v>
      </c>
      <c r="E1605" s="66">
        <v>0.0</v>
      </c>
      <c r="F1605" s="66">
        <v>0.082</v>
      </c>
      <c r="G1605" s="66">
        <v>0.05</v>
      </c>
      <c r="H1605" s="66" t="s">
        <v>286</v>
      </c>
      <c r="I1605" s="82">
        <f t="shared" si="3"/>
        <v>0.64</v>
      </c>
      <c r="J1605" s="82">
        <f t="shared" si="4"/>
        <v>0.6097560976</v>
      </c>
    </row>
    <row r="1606">
      <c r="A1606" s="83">
        <v>44769.0</v>
      </c>
      <c r="B1606" s="66">
        <v>2383.0</v>
      </c>
      <c r="C1606" s="66">
        <v>2.0</v>
      </c>
      <c r="D1606" s="66" t="s">
        <v>228</v>
      </c>
      <c r="E1606" s="66">
        <v>0.0</v>
      </c>
      <c r="F1606" s="66">
        <v>0.684</v>
      </c>
      <c r="G1606" s="66">
        <v>0.398</v>
      </c>
      <c r="H1606" s="66" t="s">
        <v>286</v>
      </c>
      <c r="I1606" s="82">
        <f t="shared" si="3"/>
        <v>0.7185929648</v>
      </c>
      <c r="J1606" s="82">
        <f t="shared" si="4"/>
        <v>0.581871345</v>
      </c>
    </row>
    <row r="1607">
      <c r="A1607" s="83">
        <v>44769.0</v>
      </c>
      <c r="B1607" s="66">
        <v>2383.0</v>
      </c>
      <c r="C1607" s="66">
        <v>2.0</v>
      </c>
      <c r="D1607" s="66" t="s">
        <v>227</v>
      </c>
      <c r="E1607" s="66">
        <v>0.0</v>
      </c>
      <c r="F1607" s="66">
        <v>0.091</v>
      </c>
      <c r="G1607" s="66">
        <v>0.053</v>
      </c>
      <c r="H1607" s="66" t="s">
        <v>286</v>
      </c>
      <c r="I1607" s="82">
        <f t="shared" si="3"/>
        <v>0.7169811321</v>
      </c>
      <c r="J1607" s="82">
        <f t="shared" si="4"/>
        <v>0.5824175824</v>
      </c>
    </row>
    <row r="1608">
      <c r="A1608" s="83">
        <v>44769.0</v>
      </c>
      <c r="B1608" s="66">
        <v>2384.0</v>
      </c>
      <c r="C1608" s="66">
        <v>1.0</v>
      </c>
      <c r="D1608" s="66" t="s">
        <v>288</v>
      </c>
      <c r="E1608" s="66">
        <v>0.0</v>
      </c>
      <c r="F1608" s="66">
        <v>1.196</v>
      </c>
      <c r="G1608" s="66">
        <v>0.705</v>
      </c>
      <c r="H1608" s="66" t="s">
        <v>286</v>
      </c>
      <c r="I1608" s="82">
        <f t="shared" si="3"/>
        <v>0.6964539007</v>
      </c>
      <c r="J1608" s="82">
        <f t="shared" si="4"/>
        <v>0.5894648829</v>
      </c>
    </row>
    <row r="1609">
      <c r="A1609" s="83">
        <v>44769.0</v>
      </c>
      <c r="B1609" s="66">
        <v>2384.0</v>
      </c>
      <c r="C1609" s="66">
        <v>1.0</v>
      </c>
      <c r="D1609" s="66" t="s">
        <v>227</v>
      </c>
      <c r="E1609" s="66">
        <v>0.0</v>
      </c>
      <c r="F1609" s="66">
        <v>0.146</v>
      </c>
      <c r="G1609" s="66">
        <v>0.088</v>
      </c>
      <c r="H1609" s="66" t="s">
        <v>286</v>
      </c>
      <c r="I1609" s="82">
        <f t="shared" si="3"/>
        <v>0.6590909091</v>
      </c>
      <c r="J1609" s="82">
        <f t="shared" si="4"/>
        <v>0.602739726</v>
      </c>
    </row>
    <row r="1610">
      <c r="A1610" s="83">
        <v>44769.0</v>
      </c>
      <c r="B1610" s="66">
        <v>2384.0</v>
      </c>
      <c r="C1610" s="66">
        <v>2.0</v>
      </c>
      <c r="D1610" s="66" t="s">
        <v>228</v>
      </c>
      <c r="E1610" s="66">
        <v>0.0</v>
      </c>
      <c r="F1610" s="66">
        <v>0.826</v>
      </c>
      <c r="G1610" s="66">
        <v>0.49</v>
      </c>
      <c r="H1610" s="66" t="s">
        <v>286</v>
      </c>
      <c r="I1610" s="82">
        <f t="shared" si="3"/>
        <v>0.6857142857</v>
      </c>
      <c r="J1610" s="82">
        <f t="shared" si="4"/>
        <v>0.593220339</v>
      </c>
    </row>
    <row r="1611">
      <c r="A1611" s="83">
        <v>44769.0</v>
      </c>
      <c r="B1611" s="66">
        <v>2384.0</v>
      </c>
      <c r="C1611" s="66">
        <v>2.0</v>
      </c>
      <c r="D1611" s="66" t="s">
        <v>227</v>
      </c>
      <c r="E1611" s="66">
        <v>0.0</v>
      </c>
      <c r="F1611" s="66">
        <v>0.105</v>
      </c>
      <c r="G1611" s="66">
        <v>0.065</v>
      </c>
      <c r="H1611" s="66" t="s">
        <v>286</v>
      </c>
      <c r="I1611" s="82">
        <f t="shared" si="3"/>
        <v>0.6153846154</v>
      </c>
      <c r="J1611" s="82">
        <f t="shared" si="4"/>
        <v>0.619047619</v>
      </c>
    </row>
    <row r="1612">
      <c r="A1612" s="83">
        <v>44770.0</v>
      </c>
      <c r="B1612" s="66">
        <v>2380.0</v>
      </c>
      <c r="C1612" s="66">
        <v>1.0</v>
      </c>
      <c r="D1612" s="66" t="s">
        <v>227</v>
      </c>
      <c r="E1612" s="66">
        <v>1.0</v>
      </c>
      <c r="F1612" s="66">
        <v>0.386</v>
      </c>
      <c r="G1612" s="66">
        <v>0.23</v>
      </c>
    </row>
    <row r="1613">
      <c r="A1613" s="83">
        <v>44816.0</v>
      </c>
      <c r="B1613" s="66">
        <v>2009.0</v>
      </c>
      <c r="C1613" s="66">
        <v>1.0</v>
      </c>
      <c r="D1613" s="66" t="s">
        <v>227</v>
      </c>
      <c r="E1613" s="66">
        <v>0.0</v>
      </c>
      <c r="F1613" s="66">
        <v>0.462</v>
      </c>
      <c r="G1613" s="66">
        <v>0.2654</v>
      </c>
      <c r="I1613" s="82">
        <f t="shared" ref="I1613:I1623" si="5">((F1613-G1613)/G1613)</f>
        <v>0.7407686511</v>
      </c>
      <c r="J1613" s="82">
        <f t="shared" ref="J1613:J2001" si="6">G1613/F1613</f>
        <v>0.5744588745</v>
      </c>
    </row>
    <row r="1614">
      <c r="A1614" s="83">
        <v>44816.0</v>
      </c>
      <c r="B1614" s="66">
        <v>2009.0</v>
      </c>
      <c r="C1614" s="66">
        <v>1.0</v>
      </c>
      <c r="D1614" s="66" t="s">
        <v>227</v>
      </c>
      <c r="E1614" s="66">
        <v>1.0</v>
      </c>
      <c r="F1614" s="66">
        <v>0.3995</v>
      </c>
      <c r="G1614" s="66">
        <v>0.2406</v>
      </c>
      <c r="I1614" s="82">
        <f t="shared" si="5"/>
        <v>0.6604322527</v>
      </c>
      <c r="J1614" s="82">
        <f t="shared" si="6"/>
        <v>0.602252816</v>
      </c>
    </row>
    <row r="1615">
      <c r="A1615" s="83">
        <v>44816.0</v>
      </c>
      <c r="B1615" s="66">
        <v>2009.0</v>
      </c>
      <c r="C1615" s="66">
        <v>1.0</v>
      </c>
      <c r="D1615" s="66" t="s">
        <v>228</v>
      </c>
      <c r="E1615" s="66">
        <v>0.0</v>
      </c>
      <c r="F1615" s="66">
        <v>1.0665</v>
      </c>
      <c r="G1615" s="66">
        <v>0.7236</v>
      </c>
      <c r="I1615" s="82">
        <f t="shared" si="5"/>
        <v>0.473880597</v>
      </c>
      <c r="J1615" s="82">
        <f t="shared" si="6"/>
        <v>0.6784810127</v>
      </c>
    </row>
    <row r="1616">
      <c r="A1616" s="83">
        <v>44816.0</v>
      </c>
      <c r="B1616" s="66">
        <v>2009.0</v>
      </c>
      <c r="C1616" s="66">
        <v>2.0</v>
      </c>
      <c r="D1616" s="66" t="s">
        <v>227</v>
      </c>
      <c r="E1616" s="66">
        <v>1.0</v>
      </c>
      <c r="F1616" s="66">
        <v>0.2733</v>
      </c>
      <c r="G1616" s="66">
        <v>0.1324</v>
      </c>
      <c r="I1616" s="82">
        <f t="shared" si="5"/>
        <v>1.064199396</v>
      </c>
      <c r="J1616" s="82">
        <f t="shared" si="6"/>
        <v>0.4844493231</v>
      </c>
    </row>
    <row r="1617">
      <c r="A1617" s="83">
        <v>44816.0</v>
      </c>
      <c r="B1617" s="66">
        <v>2009.0</v>
      </c>
      <c r="C1617" s="66">
        <v>2.0</v>
      </c>
      <c r="D1617" s="66" t="s">
        <v>227</v>
      </c>
      <c r="E1617" s="66">
        <v>0.0</v>
      </c>
      <c r="F1617" s="66">
        <v>0.3321</v>
      </c>
      <c r="G1617" s="66">
        <v>0.1831</v>
      </c>
      <c r="I1617" s="82">
        <f t="shared" si="5"/>
        <v>0.8137629711</v>
      </c>
      <c r="J1617" s="82">
        <f t="shared" si="6"/>
        <v>0.5513399578</v>
      </c>
    </row>
    <row r="1618">
      <c r="A1618" s="83">
        <v>44816.0</v>
      </c>
      <c r="B1618" s="66">
        <v>2009.0</v>
      </c>
      <c r="C1618" s="66">
        <v>2.0</v>
      </c>
      <c r="D1618" s="66" t="s">
        <v>228</v>
      </c>
      <c r="E1618" s="66">
        <v>0.0</v>
      </c>
      <c r="F1618" s="66">
        <v>0.9481</v>
      </c>
      <c r="G1618" s="66">
        <v>0.5728</v>
      </c>
      <c r="I1618" s="82">
        <f t="shared" si="5"/>
        <v>0.655202514</v>
      </c>
      <c r="J1618" s="82">
        <f t="shared" si="6"/>
        <v>0.6041556798</v>
      </c>
    </row>
    <row r="1619">
      <c r="A1619" s="83">
        <v>44816.0</v>
      </c>
      <c r="B1619" s="66">
        <v>2010.0</v>
      </c>
      <c r="C1619" s="66">
        <v>1.0</v>
      </c>
      <c r="D1619" s="66" t="s">
        <v>228</v>
      </c>
      <c r="E1619" s="66">
        <v>0.0</v>
      </c>
      <c r="F1619" s="66">
        <v>0.6151</v>
      </c>
      <c r="G1619" s="66">
        <v>0.3069</v>
      </c>
      <c r="I1619" s="82">
        <f t="shared" si="5"/>
        <v>1.004235907</v>
      </c>
      <c r="J1619" s="82">
        <f t="shared" si="6"/>
        <v>0.4989432613</v>
      </c>
    </row>
    <row r="1620">
      <c r="A1620" s="83">
        <v>44816.0</v>
      </c>
      <c r="B1620" s="66">
        <v>2010.0</v>
      </c>
      <c r="C1620" s="66">
        <v>1.0</v>
      </c>
      <c r="D1620" s="66" t="s">
        <v>227</v>
      </c>
      <c r="E1620" s="66">
        <v>0.0</v>
      </c>
      <c r="F1620" s="66">
        <v>0.4071</v>
      </c>
      <c r="G1620" s="66">
        <v>0.1986</v>
      </c>
      <c r="H1620" s="66" t="s">
        <v>283</v>
      </c>
      <c r="I1620" s="82">
        <f t="shared" si="5"/>
        <v>1.049848943</v>
      </c>
      <c r="J1620" s="82">
        <f t="shared" si="6"/>
        <v>0.4878408254</v>
      </c>
    </row>
    <row r="1621">
      <c r="A1621" s="83">
        <v>44816.0</v>
      </c>
      <c r="B1621" s="66">
        <v>2010.0</v>
      </c>
      <c r="C1621" s="66">
        <v>2.0</v>
      </c>
      <c r="D1621" s="66" t="s">
        <v>228</v>
      </c>
      <c r="E1621" s="66">
        <v>0.0</v>
      </c>
      <c r="F1621" s="66">
        <v>0.8191</v>
      </c>
      <c r="G1621" s="66">
        <v>0.4187</v>
      </c>
      <c r="I1621" s="82">
        <f t="shared" si="5"/>
        <v>0.9562932888</v>
      </c>
      <c r="J1621" s="82">
        <f t="shared" si="6"/>
        <v>0.5111707972</v>
      </c>
    </row>
    <row r="1622">
      <c r="A1622" s="83">
        <v>44816.0</v>
      </c>
      <c r="B1622" s="66">
        <v>2010.0</v>
      </c>
      <c r="C1622" s="66">
        <v>2.0</v>
      </c>
      <c r="D1622" s="66" t="s">
        <v>227</v>
      </c>
      <c r="E1622" s="66">
        <v>0.0</v>
      </c>
      <c r="F1622" s="66">
        <v>0.5685</v>
      </c>
      <c r="G1622" s="66">
        <v>0.2808</v>
      </c>
      <c r="H1622" s="66" t="s">
        <v>284</v>
      </c>
      <c r="I1622" s="82">
        <f t="shared" si="5"/>
        <v>1.02457265</v>
      </c>
      <c r="J1622" s="82">
        <f t="shared" si="6"/>
        <v>0.4939313984</v>
      </c>
    </row>
    <row r="1623">
      <c r="A1623" s="83">
        <v>44816.0</v>
      </c>
      <c r="B1623" s="66">
        <v>2010.0</v>
      </c>
      <c r="C1623" s="66">
        <v>3.0</v>
      </c>
      <c r="D1623" s="66" t="s">
        <v>228</v>
      </c>
      <c r="E1623" s="66">
        <v>0.0</v>
      </c>
      <c r="F1623" s="66">
        <v>0.7274</v>
      </c>
      <c r="G1623" s="66">
        <v>0.3826</v>
      </c>
      <c r="I1623" s="82">
        <f t="shared" si="5"/>
        <v>0.9012023001</v>
      </c>
      <c r="J1623" s="82">
        <f t="shared" si="6"/>
        <v>0.525982953</v>
      </c>
    </row>
    <row r="1624">
      <c r="A1624" s="83">
        <v>44816.0</v>
      </c>
      <c r="B1624" s="66">
        <v>2010.0</v>
      </c>
      <c r="C1624" s="66">
        <v>3.0</v>
      </c>
      <c r="D1624" s="66" t="s">
        <v>227</v>
      </c>
      <c r="E1624" s="66">
        <v>1.0</v>
      </c>
      <c r="F1624" s="66">
        <v>0.4348</v>
      </c>
      <c r="G1624" s="66">
        <v>0.2206</v>
      </c>
      <c r="I1624" s="82">
        <f>(F1624-G1624)/G1624</f>
        <v>0.970988214</v>
      </c>
      <c r="J1624" s="82">
        <f t="shared" si="6"/>
        <v>0.5073597056</v>
      </c>
    </row>
    <row r="1625">
      <c r="A1625" s="83">
        <v>44816.0</v>
      </c>
      <c r="B1625" s="66">
        <v>2010.0</v>
      </c>
      <c r="C1625" s="66">
        <v>3.0</v>
      </c>
      <c r="D1625" s="66" t="s">
        <v>227</v>
      </c>
      <c r="E1625" s="66">
        <v>0.0</v>
      </c>
      <c r="F1625" s="66">
        <v>0.4351</v>
      </c>
      <c r="G1625" s="66">
        <v>0.2243</v>
      </c>
      <c r="I1625" s="82">
        <f>((F1625-G1625)/G1625)</f>
        <v>0.9398127508</v>
      </c>
      <c r="J1625" s="82">
        <f t="shared" si="6"/>
        <v>0.515513675</v>
      </c>
    </row>
    <row r="1626">
      <c r="A1626" s="83">
        <v>44816.0</v>
      </c>
      <c r="B1626" s="66">
        <v>2020.0</v>
      </c>
      <c r="C1626" s="66">
        <v>1.0</v>
      </c>
      <c r="D1626" s="66" t="s">
        <v>227</v>
      </c>
      <c r="E1626" s="66">
        <v>1.0</v>
      </c>
      <c r="F1626" s="66">
        <v>0.621</v>
      </c>
      <c r="G1626" s="66">
        <v>0.3373</v>
      </c>
      <c r="I1626" s="82">
        <f>(F1626-G1626)/G1625</f>
        <v>1.264823897</v>
      </c>
      <c r="J1626" s="82">
        <f t="shared" si="6"/>
        <v>0.5431561997</v>
      </c>
    </row>
    <row r="1627">
      <c r="A1627" s="83">
        <v>44816.0</v>
      </c>
      <c r="B1627" s="66">
        <v>2020.0</v>
      </c>
      <c r="C1627" s="66">
        <v>1.0</v>
      </c>
      <c r="D1627" s="66" t="s">
        <v>227</v>
      </c>
      <c r="E1627" s="66">
        <v>0.0</v>
      </c>
      <c r="F1627" s="66">
        <v>0.2131</v>
      </c>
      <c r="G1627" s="66">
        <v>0.112</v>
      </c>
      <c r="I1627" s="82">
        <f>(F1627-G1627)/G1627</f>
        <v>0.9026785714</v>
      </c>
      <c r="J1627" s="82">
        <f t="shared" si="6"/>
        <v>0.5255748475</v>
      </c>
    </row>
    <row r="1628">
      <c r="A1628" s="83">
        <v>44816.0</v>
      </c>
      <c r="B1628" s="66">
        <v>2020.0</v>
      </c>
      <c r="C1628" s="66">
        <v>1.0</v>
      </c>
      <c r="D1628" s="66" t="s">
        <v>228</v>
      </c>
      <c r="E1628" s="66">
        <v>0.0</v>
      </c>
      <c r="F1628" s="66">
        <v>0.0658</v>
      </c>
      <c r="G1628" s="66">
        <v>0.0339</v>
      </c>
      <c r="I1628" s="82">
        <f t="shared" ref="I1628:I1672" si="7">((F1628-G1628)/G1628)</f>
        <v>0.9410029499</v>
      </c>
      <c r="J1628" s="82">
        <f t="shared" si="6"/>
        <v>0.5151975684</v>
      </c>
    </row>
    <row r="1629">
      <c r="A1629" s="83">
        <v>44816.0</v>
      </c>
      <c r="B1629" s="66">
        <v>2020.0</v>
      </c>
      <c r="C1629" s="66">
        <v>2.0</v>
      </c>
      <c r="D1629" s="66" t="s">
        <v>228</v>
      </c>
      <c r="E1629" s="66">
        <v>0.0</v>
      </c>
      <c r="F1629" s="66">
        <v>0.3059</v>
      </c>
      <c r="G1629" s="66">
        <v>0.1804</v>
      </c>
      <c r="I1629" s="82">
        <f t="shared" si="7"/>
        <v>0.6956762749</v>
      </c>
      <c r="J1629" s="82">
        <f t="shared" si="6"/>
        <v>0.5897352076</v>
      </c>
    </row>
    <row r="1630">
      <c r="A1630" s="83">
        <v>44816.0</v>
      </c>
      <c r="B1630" s="66">
        <v>2020.0</v>
      </c>
      <c r="C1630" s="66">
        <v>2.0</v>
      </c>
      <c r="D1630" s="66" t="s">
        <v>227</v>
      </c>
      <c r="E1630" s="66">
        <v>0.0</v>
      </c>
      <c r="F1630" s="66">
        <v>0.4222</v>
      </c>
      <c r="G1630" s="66">
        <v>0.2302</v>
      </c>
      <c r="I1630" s="82">
        <f t="shared" si="7"/>
        <v>0.8340573414</v>
      </c>
      <c r="J1630" s="82">
        <f t="shared" si="6"/>
        <v>0.5452392231</v>
      </c>
    </row>
    <row r="1631">
      <c r="A1631" s="83">
        <v>44816.0</v>
      </c>
      <c r="B1631" s="66">
        <v>2020.0</v>
      </c>
      <c r="C1631" s="66">
        <v>2.0</v>
      </c>
      <c r="D1631" s="66" t="s">
        <v>227</v>
      </c>
      <c r="E1631" s="66">
        <v>1.0</v>
      </c>
      <c r="F1631" s="66">
        <v>0.8182</v>
      </c>
      <c r="G1631" s="66">
        <v>0.452</v>
      </c>
      <c r="I1631" s="82">
        <f t="shared" si="7"/>
        <v>0.8101769912</v>
      </c>
      <c r="J1631" s="82">
        <f t="shared" si="6"/>
        <v>0.5524321682</v>
      </c>
    </row>
    <row r="1632">
      <c r="A1632" s="83">
        <v>44816.0</v>
      </c>
      <c r="B1632" s="66">
        <v>2020.0</v>
      </c>
      <c r="C1632" s="66">
        <v>3.0</v>
      </c>
      <c r="D1632" s="66" t="s">
        <v>227</v>
      </c>
      <c r="E1632" s="66">
        <v>0.0</v>
      </c>
      <c r="F1632" s="66">
        <v>0.2744</v>
      </c>
      <c r="G1632" s="66">
        <v>0.1542</v>
      </c>
      <c r="I1632" s="82">
        <f t="shared" si="7"/>
        <v>0.7795071336</v>
      </c>
      <c r="J1632" s="82">
        <f t="shared" si="6"/>
        <v>0.5619533528</v>
      </c>
    </row>
    <row r="1633">
      <c r="A1633" s="83">
        <v>44816.0</v>
      </c>
      <c r="B1633" s="66">
        <v>2020.0</v>
      </c>
      <c r="C1633" s="66">
        <v>3.0</v>
      </c>
      <c r="D1633" s="66" t="s">
        <v>228</v>
      </c>
      <c r="E1633" s="66">
        <v>0.0</v>
      </c>
      <c r="F1633" s="66">
        <v>0.4905</v>
      </c>
      <c r="G1633" s="66">
        <v>0.2877</v>
      </c>
      <c r="I1633" s="82">
        <f t="shared" si="7"/>
        <v>0.7049009385</v>
      </c>
      <c r="J1633" s="82">
        <f t="shared" si="6"/>
        <v>0.5865443425</v>
      </c>
    </row>
    <row r="1634">
      <c r="A1634" s="83">
        <v>44816.0</v>
      </c>
      <c r="B1634" s="66">
        <v>2020.0</v>
      </c>
      <c r="C1634" s="66">
        <v>3.0</v>
      </c>
      <c r="D1634" s="66" t="s">
        <v>227</v>
      </c>
      <c r="E1634" s="66">
        <v>1.0</v>
      </c>
      <c r="F1634" s="66">
        <v>0.5278</v>
      </c>
      <c r="G1634" s="66">
        <v>0.2931</v>
      </c>
      <c r="I1634" s="82">
        <f t="shared" si="7"/>
        <v>0.8007505971</v>
      </c>
      <c r="J1634" s="82">
        <f t="shared" si="6"/>
        <v>0.5553239864</v>
      </c>
    </row>
    <row r="1635">
      <c r="A1635" s="83">
        <v>44816.0</v>
      </c>
      <c r="B1635" s="66">
        <v>2020.0</v>
      </c>
      <c r="C1635" s="66">
        <v>4.0</v>
      </c>
      <c r="D1635" s="66" t="s">
        <v>228</v>
      </c>
      <c r="E1635" s="66">
        <v>0.0</v>
      </c>
      <c r="F1635" s="66">
        <v>0.2418</v>
      </c>
      <c r="G1635" s="66">
        <v>0.1379</v>
      </c>
      <c r="I1635" s="82">
        <f t="shared" si="7"/>
        <v>0.753444525</v>
      </c>
      <c r="J1635" s="82">
        <f t="shared" si="6"/>
        <v>0.570306038</v>
      </c>
    </row>
    <row r="1636">
      <c r="A1636" s="83">
        <v>44816.0</v>
      </c>
      <c r="B1636" s="66">
        <v>2020.0</v>
      </c>
      <c r="C1636" s="66">
        <v>4.0</v>
      </c>
      <c r="D1636" s="66" t="s">
        <v>227</v>
      </c>
      <c r="E1636" s="66">
        <v>0.0</v>
      </c>
      <c r="F1636" s="66">
        <v>0.6462</v>
      </c>
      <c r="G1636" s="66">
        <v>0.3619</v>
      </c>
      <c r="I1636" s="82">
        <f t="shared" si="7"/>
        <v>0.785576126</v>
      </c>
      <c r="J1636" s="82">
        <f t="shared" si="6"/>
        <v>0.5600433302</v>
      </c>
    </row>
    <row r="1637">
      <c r="A1637" s="83">
        <v>44816.0</v>
      </c>
      <c r="B1637" s="66">
        <v>2020.0</v>
      </c>
      <c r="C1637" s="66">
        <v>4.0</v>
      </c>
      <c r="D1637" s="66" t="s">
        <v>227</v>
      </c>
      <c r="E1637" s="66">
        <v>1.0</v>
      </c>
      <c r="F1637" s="66">
        <v>1.0051</v>
      </c>
      <c r="G1637" s="66">
        <v>0.5209</v>
      </c>
      <c r="I1637" s="82">
        <f t="shared" si="7"/>
        <v>0.9295450182</v>
      </c>
      <c r="J1637" s="82">
        <f t="shared" si="6"/>
        <v>0.5182568899</v>
      </c>
    </row>
    <row r="1638">
      <c r="A1638" s="83">
        <v>44816.0</v>
      </c>
      <c r="B1638" s="66">
        <v>2021.0</v>
      </c>
      <c r="C1638" s="66">
        <v>1.0</v>
      </c>
      <c r="D1638" s="66" t="s">
        <v>227</v>
      </c>
      <c r="E1638" s="66">
        <v>0.0</v>
      </c>
      <c r="F1638" s="66">
        <v>0.3169</v>
      </c>
      <c r="G1638" s="66">
        <v>0.169</v>
      </c>
      <c r="H1638" s="66" t="s">
        <v>293</v>
      </c>
      <c r="I1638" s="82">
        <f t="shared" si="7"/>
        <v>0.875147929</v>
      </c>
      <c r="J1638" s="82">
        <f t="shared" si="6"/>
        <v>0.5332912591</v>
      </c>
    </row>
    <row r="1639">
      <c r="A1639" s="83">
        <v>44816.0</v>
      </c>
      <c r="B1639" s="66">
        <v>2021.0</v>
      </c>
      <c r="C1639" s="66">
        <v>1.0</v>
      </c>
      <c r="D1639" s="66" t="s">
        <v>228</v>
      </c>
      <c r="E1639" s="66">
        <v>0.0</v>
      </c>
      <c r="F1639" s="66">
        <v>0.3379</v>
      </c>
      <c r="G1639" s="66">
        <v>0.1882</v>
      </c>
      <c r="I1639" s="82">
        <f t="shared" si="7"/>
        <v>0.7954303932</v>
      </c>
      <c r="J1639" s="82">
        <f t="shared" si="6"/>
        <v>0.5569695176</v>
      </c>
    </row>
    <row r="1640">
      <c r="A1640" s="83">
        <v>44816.0</v>
      </c>
      <c r="B1640" s="66">
        <v>2021.0</v>
      </c>
      <c r="C1640" s="66">
        <v>2.0</v>
      </c>
      <c r="D1640" s="66" t="s">
        <v>227</v>
      </c>
      <c r="E1640" s="66">
        <v>1.0</v>
      </c>
      <c r="F1640" s="66">
        <v>0.2865</v>
      </c>
      <c r="G1640" s="66">
        <v>0.1513</v>
      </c>
      <c r="I1640" s="82">
        <f t="shared" si="7"/>
        <v>0.8935888962</v>
      </c>
      <c r="J1640" s="82">
        <f t="shared" si="6"/>
        <v>0.5280977312</v>
      </c>
    </row>
    <row r="1641">
      <c r="A1641" s="83">
        <v>44816.0</v>
      </c>
      <c r="B1641" s="66">
        <v>2021.0</v>
      </c>
      <c r="C1641" s="66">
        <v>2.0</v>
      </c>
      <c r="D1641" s="66" t="s">
        <v>228</v>
      </c>
      <c r="E1641" s="66">
        <v>0.0</v>
      </c>
      <c r="F1641" s="66">
        <v>0.4722</v>
      </c>
      <c r="G1641" s="66">
        <v>0.2721</v>
      </c>
      <c r="I1641" s="82">
        <f t="shared" si="7"/>
        <v>0.7353914002</v>
      </c>
      <c r="J1641" s="82">
        <f t="shared" si="6"/>
        <v>0.5762388818</v>
      </c>
    </row>
    <row r="1642">
      <c r="A1642" s="83">
        <v>44816.0</v>
      </c>
      <c r="B1642" s="66">
        <v>2021.0</v>
      </c>
      <c r="C1642" s="66">
        <v>2.0</v>
      </c>
      <c r="D1642" s="66" t="s">
        <v>227</v>
      </c>
      <c r="E1642" s="66">
        <v>0.0</v>
      </c>
      <c r="F1642" s="66">
        <v>0.112</v>
      </c>
      <c r="G1642" s="66">
        <v>0.0713</v>
      </c>
      <c r="I1642" s="82">
        <f t="shared" si="7"/>
        <v>0.5708274895</v>
      </c>
      <c r="J1642" s="82">
        <f t="shared" si="6"/>
        <v>0.6366071429</v>
      </c>
    </row>
    <row r="1643">
      <c r="A1643" s="83">
        <v>44816.0</v>
      </c>
      <c r="B1643" s="66">
        <v>2021.0</v>
      </c>
      <c r="C1643" s="66">
        <v>3.0</v>
      </c>
      <c r="D1643" s="66" t="s">
        <v>228</v>
      </c>
      <c r="E1643" s="66">
        <v>0.0</v>
      </c>
      <c r="F1643" s="66">
        <v>5.1286</v>
      </c>
      <c r="G1643" s="66">
        <v>3.2606</v>
      </c>
      <c r="H1643" s="66" t="s">
        <v>294</v>
      </c>
      <c r="I1643" s="82">
        <f t="shared" si="7"/>
        <v>0.5729006931</v>
      </c>
      <c r="J1643" s="82">
        <f t="shared" si="6"/>
        <v>0.6357680459</v>
      </c>
    </row>
    <row r="1644">
      <c r="A1644" s="83">
        <v>44816.0</v>
      </c>
      <c r="B1644" s="66">
        <v>2021.0</v>
      </c>
      <c r="C1644" s="66">
        <v>3.0</v>
      </c>
      <c r="D1644" s="66" t="s">
        <v>227</v>
      </c>
      <c r="E1644" s="66">
        <v>0.0</v>
      </c>
      <c r="F1644" s="66">
        <v>0.1077</v>
      </c>
      <c r="G1644" s="66">
        <v>0.0688</v>
      </c>
      <c r="I1644" s="82">
        <f t="shared" si="7"/>
        <v>0.5654069767</v>
      </c>
      <c r="J1644" s="82">
        <f t="shared" si="6"/>
        <v>0.6388115135</v>
      </c>
    </row>
    <row r="1645">
      <c r="A1645" s="83">
        <v>44816.0</v>
      </c>
      <c r="B1645" s="66">
        <v>2021.0</v>
      </c>
      <c r="C1645" s="66">
        <v>3.0</v>
      </c>
      <c r="D1645" s="66" t="s">
        <v>228</v>
      </c>
      <c r="E1645" s="66">
        <v>0.0</v>
      </c>
      <c r="F1645" s="66">
        <v>0.4058</v>
      </c>
      <c r="G1645" s="66">
        <v>0.2262</v>
      </c>
      <c r="I1645" s="82">
        <f t="shared" si="7"/>
        <v>0.7939876216</v>
      </c>
      <c r="J1645" s="82">
        <f t="shared" si="6"/>
        <v>0.557417447</v>
      </c>
    </row>
    <row r="1646">
      <c r="A1646" s="83">
        <v>44816.0</v>
      </c>
      <c r="B1646" s="66">
        <v>2021.0</v>
      </c>
      <c r="C1646" s="66">
        <v>3.0</v>
      </c>
      <c r="D1646" s="66" t="s">
        <v>227</v>
      </c>
      <c r="E1646" s="66">
        <v>1.0</v>
      </c>
      <c r="F1646" s="66">
        <v>0.1583</v>
      </c>
      <c r="G1646" s="66">
        <v>0.0816</v>
      </c>
      <c r="I1646" s="82">
        <f t="shared" si="7"/>
        <v>0.9399509804</v>
      </c>
      <c r="J1646" s="82">
        <f t="shared" si="6"/>
        <v>0.5154769425</v>
      </c>
    </row>
    <row r="1647">
      <c r="A1647" s="83">
        <v>44816.0</v>
      </c>
      <c r="B1647" s="66">
        <v>2022.0</v>
      </c>
      <c r="C1647" s="66">
        <v>1.0</v>
      </c>
      <c r="D1647" s="66" t="s">
        <v>228</v>
      </c>
      <c r="E1647" s="66">
        <v>1.0</v>
      </c>
      <c r="F1647" s="66">
        <v>0.3828</v>
      </c>
      <c r="G1647" s="66">
        <v>0.2054</v>
      </c>
      <c r="I1647" s="82">
        <f t="shared" si="7"/>
        <v>0.8636806232</v>
      </c>
      <c r="J1647" s="82">
        <f t="shared" si="6"/>
        <v>0.5365726228</v>
      </c>
    </row>
    <row r="1648">
      <c r="A1648" s="83">
        <v>44816.0</v>
      </c>
      <c r="B1648" s="66">
        <v>2022.0</v>
      </c>
      <c r="C1648" s="66">
        <v>1.0</v>
      </c>
      <c r="D1648" s="66" t="s">
        <v>227</v>
      </c>
      <c r="E1648" s="66">
        <v>0.0</v>
      </c>
      <c r="F1648" s="66">
        <v>0.1867</v>
      </c>
      <c r="G1648" s="66">
        <v>0.1074</v>
      </c>
      <c r="I1648" s="82">
        <f t="shared" si="7"/>
        <v>0.7383612663</v>
      </c>
      <c r="J1648" s="82">
        <f t="shared" si="6"/>
        <v>0.5752544189</v>
      </c>
    </row>
    <row r="1649">
      <c r="A1649" s="83">
        <v>44816.0</v>
      </c>
      <c r="B1649" s="66">
        <v>2022.0</v>
      </c>
      <c r="C1649" s="66">
        <v>1.0</v>
      </c>
      <c r="D1649" s="66" t="s">
        <v>227</v>
      </c>
      <c r="E1649" s="66">
        <v>1.0</v>
      </c>
      <c r="F1649" s="66">
        <v>0.4315</v>
      </c>
      <c r="G1649" s="66">
        <v>0.2371</v>
      </c>
      <c r="I1649" s="82">
        <f t="shared" si="7"/>
        <v>0.8199072121</v>
      </c>
      <c r="J1649" s="82">
        <f t="shared" si="6"/>
        <v>0.5494785632</v>
      </c>
    </row>
    <row r="1650">
      <c r="A1650" s="83">
        <v>44816.0</v>
      </c>
      <c r="B1650" s="66">
        <v>2022.0</v>
      </c>
      <c r="C1650" s="66">
        <v>1.0</v>
      </c>
      <c r="D1650" s="66" t="s">
        <v>228</v>
      </c>
      <c r="E1650" s="66">
        <v>0.0</v>
      </c>
      <c r="F1650" s="66">
        <v>1.3075</v>
      </c>
      <c r="G1650" s="66">
        <v>0.784</v>
      </c>
      <c r="I1650" s="82">
        <f t="shared" si="7"/>
        <v>0.6677295918</v>
      </c>
      <c r="J1650" s="82">
        <f t="shared" si="6"/>
        <v>0.5996175908</v>
      </c>
    </row>
    <row r="1651">
      <c r="A1651" s="83">
        <v>44816.0</v>
      </c>
      <c r="B1651" s="66">
        <v>2023.0</v>
      </c>
      <c r="C1651" s="66">
        <v>1.0</v>
      </c>
      <c r="D1651" s="66" t="s">
        <v>228</v>
      </c>
      <c r="E1651" s="66">
        <v>0.0</v>
      </c>
      <c r="F1651" s="66">
        <v>1.0336</v>
      </c>
      <c r="G1651" s="66">
        <v>0.6664</v>
      </c>
      <c r="I1651" s="82">
        <f t="shared" si="7"/>
        <v>0.5510204082</v>
      </c>
      <c r="J1651" s="82">
        <f t="shared" si="6"/>
        <v>0.6447368421</v>
      </c>
    </row>
    <row r="1652">
      <c r="A1652" s="83">
        <v>44816.0</v>
      </c>
      <c r="B1652" s="66">
        <v>2023.0</v>
      </c>
      <c r="C1652" s="66">
        <v>1.0</v>
      </c>
      <c r="D1652" s="66" t="s">
        <v>227</v>
      </c>
      <c r="E1652" s="66">
        <v>0.0</v>
      </c>
      <c r="F1652" s="66">
        <v>0.6833</v>
      </c>
      <c r="G1652" s="66">
        <v>0.457</v>
      </c>
      <c r="I1652" s="82">
        <f t="shared" si="7"/>
        <v>0.4951859956</v>
      </c>
      <c r="J1652" s="82">
        <f t="shared" si="6"/>
        <v>0.6688131128</v>
      </c>
    </row>
    <row r="1653">
      <c r="A1653" s="83">
        <v>44816.0</v>
      </c>
      <c r="B1653" s="66">
        <v>2023.0</v>
      </c>
      <c r="C1653" s="66">
        <v>1.0</v>
      </c>
      <c r="D1653" s="66" t="s">
        <v>227</v>
      </c>
      <c r="E1653" s="66">
        <v>1.0</v>
      </c>
      <c r="F1653" s="66">
        <v>0.5275</v>
      </c>
      <c r="G1653" s="66">
        <v>0.2978</v>
      </c>
      <c r="I1653" s="82">
        <f t="shared" si="7"/>
        <v>0.7713230356</v>
      </c>
      <c r="J1653" s="82">
        <f t="shared" si="6"/>
        <v>0.564549763</v>
      </c>
    </row>
    <row r="1654">
      <c r="A1654" s="83">
        <v>44816.0</v>
      </c>
      <c r="B1654" s="66">
        <v>2023.0</v>
      </c>
      <c r="C1654" s="66">
        <v>1.0</v>
      </c>
      <c r="D1654" s="66" t="s">
        <v>227</v>
      </c>
      <c r="E1654" s="66">
        <v>0.0</v>
      </c>
      <c r="F1654" s="66">
        <v>0.3106</v>
      </c>
      <c r="G1654" s="66">
        <v>0.1623</v>
      </c>
      <c r="I1654" s="82">
        <f t="shared" si="7"/>
        <v>0.9137399877</v>
      </c>
      <c r="J1654" s="82">
        <f t="shared" si="6"/>
        <v>0.5225370251</v>
      </c>
    </row>
    <row r="1655">
      <c r="A1655" s="83">
        <v>44816.0</v>
      </c>
      <c r="B1655" s="66">
        <v>2023.0</v>
      </c>
      <c r="C1655" s="66">
        <v>1.0</v>
      </c>
      <c r="D1655" s="66" t="s">
        <v>228</v>
      </c>
      <c r="E1655" s="66">
        <v>0.0</v>
      </c>
      <c r="F1655" s="66">
        <v>1.8037</v>
      </c>
      <c r="G1655" s="66">
        <v>1.1384</v>
      </c>
      <c r="I1655" s="82">
        <f t="shared" si="7"/>
        <v>0.5844167252</v>
      </c>
      <c r="J1655" s="82">
        <f t="shared" si="6"/>
        <v>0.6311470865</v>
      </c>
    </row>
    <row r="1656">
      <c r="A1656" s="83">
        <v>44816.0</v>
      </c>
      <c r="B1656" s="66">
        <v>2023.0</v>
      </c>
      <c r="C1656" s="66">
        <v>1.0</v>
      </c>
      <c r="D1656" s="66" t="s">
        <v>295</v>
      </c>
      <c r="E1656" s="66">
        <v>1.0</v>
      </c>
      <c r="F1656" s="66">
        <v>0.201</v>
      </c>
      <c r="G1656" s="66">
        <v>0.1013</v>
      </c>
      <c r="H1656" s="66" t="s">
        <v>296</v>
      </c>
      <c r="I1656" s="82">
        <f t="shared" si="7"/>
        <v>0.9842053307</v>
      </c>
      <c r="J1656" s="82">
        <f t="shared" si="6"/>
        <v>0.5039800995</v>
      </c>
    </row>
    <row r="1657">
      <c r="A1657" s="83">
        <v>44816.0</v>
      </c>
      <c r="B1657" s="66">
        <v>2023.0</v>
      </c>
      <c r="C1657" s="66">
        <v>1.0</v>
      </c>
      <c r="D1657" s="66" t="s">
        <v>227</v>
      </c>
      <c r="E1657" s="66">
        <v>1.0</v>
      </c>
      <c r="F1657" s="66">
        <v>0.4819</v>
      </c>
      <c r="G1657" s="66">
        <v>0.2506</v>
      </c>
      <c r="I1657" s="82">
        <f t="shared" si="7"/>
        <v>0.9229848364</v>
      </c>
      <c r="J1657" s="82">
        <f t="shared" si="6"/>
        <v>0.5200249014</v>
      </c>
    </row>
    <row r="1658">
      <c r="A1658" s="83">
        <v>44816.0</v>
      </c>
      <c r="B1658" s="66">
        <v>2023.0</v>
      </c>
      <c r="C1658" s="66">
        <v>2.0</v>
      </c>
      <c r="D1658" s="66" t="s">
        <v>227</v>
      </c>
      <c r="E1658" s="66">
        <v>0.0</v>
      </c>
      <c r="F1658" s="66">
        <v>0.378</v>
      </c>
      <c r="G1658" s="66">
        <v>0.2201</v>
      </c>
      <c r="I1658" s="82">
        <f t="shared" si="7"/>
        <v>0.7174011813</v>
      </c>
      <c r="J1658" s="82">
        <f t="shared" si="6"/>
        <v>0.5822751323</v>
      </c>
    </row>
    <row r="1659">
      <c r="A1659" s="83">
        <v>44816.0</v>
      </c>
      <c r="B1659" s="66">
        <v>2023.0</v>
      </c>
      <c r="C1659" s="66">
        <v>2.0</v>
      </c>
      <c r="D1659" s="66" t="s">
        <v>228</v>
      </c>
      <c r="E1659" s="66">
        <v>0.0</v>
      </c>
      <c r="F1659" s="66">
        <v>0.3423</v>
      </c>
      <c r="G1659" s="66">
        <v>0.1958</v>
      </c>
      <c r="I1659" s="82">
        <f t="shared" si="7"/>
        <v>0.7482124617</v>
      </c>
      <c r="J1659" s="82">
        <f t="shared" si="6"/>
        <v>0.5720128542</v>
      </c>
    </row>
    <row r="1660">
      <c r="A1660" s="83">
        <v>44816.0</v>
      </c>
      <c r="B1660" s="66">
        <v>2023.0</v>
      </c>
      <c r="C1660" s="66">
        <v>2.0</v>
      </c>
      <c r="D1660" s="66" t="s">
        <v>227</v>
      </c>
      <c r="E1660" s="66">
        <v>1.0</v>
      </c>
      <c r="F1660" s="66">
        <v>0.4407</v>
      </c>
      <c r="G1660" s="66">
        <v>0.2442</v>
      </c>
      <c r="I1660" s="82">
        <f t="shared" si="7"/>
        <v>0.8046683047</v>
      </c>
      <c r="J1660" s="82">
        <f t="shared" si="6"/>
        <v>0.5541184479</v>
      </c>
    </row>
    <row r="1661">
      <c r="A1661" s="83">
        <v>44816.0</v>
      </c>
      <c r="B1661" s="66">
        <v>2023.0</v>
      </c>
      <c r="C1661" s="66">
        <v>2.0</v>
      </c>
      <c r="D1661" s="66" t="s">
        <v>228</v>
      </c>
      <c r="E1661" s="66">
        <v>0.0</v>
      </c>
      <c r="F1661" s="66">
        <v>0.465</v>
      </c>
      <c r="G1661" s="66">
        <v>0.27</v>
      </c>
      <c r="I1661" s="82">
        <f t="shared" si="7"/>
        <v>0.7222222222</v>
      </c>
      <c r="J1661" s="82">
        <f t="shared" si="6"/>
        <v>0.5806451613</v>
      </c>
    </row>
    <row r="1662">
      <c r="A1662" s="83">
        <v>44816.0</v>
      </c>
      <c r="B1662" s="66">
        <v>2023.0</v>
      </c>
      <c r="C1662" s="66">
        <v>2.0</v>
      </c>
      <c r="D1662" s="66" t="s">
        <v>228</v>
      </c>
      <c r="E1662" s="66">
        <v>1.0</v>
      </c>
      <c r="F1662" s="66">
        <v>1.343</v>
      </c>
      <c r="G1662" s="66">
        <v>0.7907</v>
      </c>
      <c r="I1662" s="82">
        <f t="shared" si="7"/>
        <v>0.6984950044</v>
      </c>
      <c r="J1662" s="82">
        <f t="shared" si="6"/>
        <v>0.5887565153</v>
      </c>
    </row>
    <row r="1663">
      <c r="A1663" s="83">
        <v>44816.0</v>
      </c>
      <c r="B1663" s="66">
        <v>2023.0</v>
      </c>
      <c r="C1663" s="66">
        <v>2.0</v>
      </c>
      <c r="D1663" s="66" t="s">
        <v>227</v>
      </c>
      <c r="E1663" s="66">
        <v>1.0</v>
      </c>
      <c r="F1663" s="66">
        <v>0.1979</v>
      </c>
      <c r="G1663" s="66">
        <v>0.103</v>
      </c>
      <c r="I1663" s="82">
        <f t="shared" si="7"/>
        <v>0.9213592233</v>
      </c>
      <c r="J1663" s="82">
        <f t="shared" si="6"/>
        <v>0.5204648813</v>
      </c>
    </row>
    <row r="1664">
      <c r="A1664" s="83">
        <v>44816.0</v>
      </c>
      <c r="B1664" s="66">
        <v>2023.0</v>
      </c>
      <c r="C1664" s="66">
        <v>2.0</v>
      </c>
      <c r="D1664" s="66" t="s">
        <v>227</v>
      </c>
      <c r="E1664" s="66">
        <v>0.0</v>
      </c>
      <c r="F1664" s="66">
        <v>0.1232</v>
      </c>
      <c r="G1664" s="66">
        <v>0.0666</v>
      </c>
      <c r="I1664" s="82">
        <f t="shared" si="7"/>
        <v>0.8498498498</v>
      </c>
      <c r="J1664" s="82">
        <f t="shared" si="6"/>
        <v>0.5405844156</v>
      </c>
    </row>
    <row r="1665">
      <c r="A1665" s="83">
        <v>44816.0</v>
      </c>
      <c r="B1665" s="66">
        <v>2023.0</v>
      </c>
      <c r="C1665" s="66">
        <v>3.0</v>
      </c>
      <c r="D1665" s="66" t="s">
        <v>227</v>
      </c>
      <c r="E1665" s="66">
        <v>1.0</v>
      </c>
      <c r="F1665" s="66">
        <v>0.1985</v>
      </c>
      <c r="G1665" s="66">
        <v>0.1123</v>
      </c>
      <c r="I1665" s="82">
        <f t="shared" si="7"/>
        <v>0.767586821</v>
      </c>
      <c r="J1665" s="82">
        <f t="shared" si="6"/>
        <v>0.565743073</v>
      </c>
    </row>
    <row r="1666">
      <c r="A1666" s="83">
        <v>44816.0</v>
      </c>
      <c r="B1666" s="66">
        <v>2023.0</v>
      </c>
      <c r="C1666" s="66">
        <v>3.0</v>
      </c>
      <c r="D1666" s="66" t="s">
        <v>228</v>
      </c>
      <c r="E1666" s="66">
        <v>0.0</v>
      </c>
      <c r="F1666" s="66">
        <v>1.2036</v>
      </c>
      <c r="G1666" s="66">
        <v>0.8344</v>
      </c>
      <c r="I1666" s="82">
        <f t="shared" si="7"/>
        <v>0.4424736337</v>
      </c>
      <c r="J1666" s="82">
        <f t="shared" si="6"/>
        <v>0.6932535726</v>
      </c>
    </row>
    <row r="1667">
      <c r="A1667" s="83">
        <v>44816.0</v>
      </c>
      <c r="B1667" s="66">
        <v>2023.0</v>
      </c>
      <c r="C1667" s="66">
        <v>3.0</v>
      </c>
      <c r="D1667" s="66" t="s">
        <v>227</v>
      </c>
      <c r="E1667" s="66">
        <v>0.0</v>
      </c>
      <c r="F1667" s="66">
        <v>0.2006</v>
      </c>
      <c r="G1667" s="66">
        <v>0.1136</v>
      </c>
      <c r="I1667" s="82">
        <f t="shared" si="7"/>
        <v>0.7658450704</v>
      </c>
      <c r="J1667" s="82">
        <f t="shared" si="6"/>
        <v>0.5663010967</v>
      </c>
    </row>
    <row r="1668">
      <c r="A1668" s="83">
        <v>44816.0</v>
      </c>
      <c r="B1668" s="66">
        <v>2023.0</v>
      </c>
      <c r="C1668" s="66">
        <v>3.0</v>
      </c>
      <c r="D1668" s="66" t="s">
        <v>297</v>
      </c>
      <c r="E1668" s="66">
        <v>1.0</v>
      </c>
      <c r="F1668" s="66">
        <v>1.1419</v>
      </c>
      <c r="G1668" s="66">
        <v>0.7152</v>
      </c>
      <c r="I1668" s="82">
        <f t="shared" si="7"/>
        <v>0.5966163311</v>
      </c>
      <c r="J1668" s="82">
        <f t="shared" si="6"/>
        <v>0.6263245468</v>
      </c>
    </row>
    <row r="1669">
      <c r="A1669" s="83">
        <v>44816.0</v>
      </c>
      <c r="B1669" s="66">
        <v>2024.0</v>
      </c>
      <c r="C1669" s="66">
        <v>1.0</v>
      </c>
      <c r="D1669" s="66" t="s">
        <v>227</v>
      </c>
      <c r="E1669" s="66">
        <v>0.0</v>
      </c>
      <c r="F1669" s="66">
        <v>0.2397</v>
      </c>
      <c r="G1669" s="66">
        <v>0.1221</v>
      </c>
      <c r="I1669" s="82">
        <f t="shared" si="7"/>
        <v>0.9631449631</v>
      </c>
      <c r="J1669" s="82">
        <f t="shared" si="6"/>
        <v>0.5093867334</v>
      </c>
    </row>
    <row r="1670">
      <c r="A1670" s="83">
        <v>44816.0</v>
      </c>
      <c r="B1670" s="66">
        <v>2024.0</v>
      </c>
      <c r="C1670" s="66">
        <v>1.0</v>
      </c>
      <c r="D1670" s="66" t="s">
        <v>228</v>
      </c>
      <c r="E1670" s="66">
        <v>0.0</v>
      </c>
      <c r="F1670" s="66">
        <v>0.7548</v>
      </c>
      <c r="G1670" s="66">
        <v>0.4208</v>
      </c>
      <c r="I1670" s="82">
        <f t="shared" si="7"/>
        <v>0.7937262357</v>
      </c>
      <c r="J1670" s="82">
        <f t="shared" si="6"/>
        <v>0.5574986751</v>
      </c>
    </row>
    <row r="1671">
      <c r="A1671" s="83">
        <v>44816.0</v>
      </c>
      <c r="B1671" s="66">
        <v>2024.0</v>
      </c>
      <c r="C1671" s="66">
        <v>2.0</v>
      </c>
      <c r="D1671" s="66" t="s">
        <v>227</v>
      </c>
      <c r="E1671" s="66">
        <v>0.0</v>
      </c>
      <c r="F1671" s="66">
        <v>0.278</v>
      </c>
      <c r="G1671" s="66">
        <v>0.1386</v>
      </c>
      <c r="I1671" s="82">
        <f t="shared" si="7"/>
        <v>1.005772006</v>
      </c>
      <c r="J1671" s="82">
        <f t="shared" si="6"/>
        <v>0.4985611511</v>
      </c>
    </row>
    <row r="1672">
      <c r="A1672" s="83">
        <v>44816.0</v>
      </c>
      <c r="B1672" s="66">
        <v>2024.0</v>
      </c>
      <c r="C1672" s="66">
        <v>2.0</v>
      </c>
      <c r="D1672" s="66" t="s">
        <v>228</v>
      </c>
      <c r="E1672" s="66">
        <v>0.0</v>
      </c>
      <c r="F1672" s="66">
        <v>1.2233</v>
      </c>
      <c r="G1672" s="66">
        <v>0.7252</v>
      </c>
      <c r="I1672" s="82">
        <f t="shared" si="7"/>
        <v>0.6868450083</v>
      </c>
      <c r="J1672" s="82">
        <f t="shared" si="6"/>
        <v>0.5928226927</v>
      </c>
    </row>
    <row r="1673">
      <c r="A1673" s="83">
        <v>44816.0</v>
      </c>
      <c r="B1673" s="66">
        <v>2025.0</v>
      </c>
      <c r="C1673" s="66">
        <v>1.0</v>
      </c>
      <c r="D1673" s="66" t="s">
        <v>227</v>
      </c>
      <c r="E1673" s="66">
        <v>1.0</v>
      </c>
      <c r="F1673" s="66">
        <v>0.653</v>
      </c>
      <c r="G1673" s="66">
        <v>0.3777</v>
      </c>
      <c r="I1673" s="82">
        <f>(F1673-G1673)/G1673</f>
        <v>0.7288853588</v>
      </c>
      <c r="J1673" s="82">
        <f t="shared" si="6"/>
        <v>0.5784073507</v>
      </c>
    </row>
    <row r="1674">
      <c r="A1674" s="83">
        <v>44816.0</v>
      </c>
      <c r="B1674" s="66">
        <v>2025.0</v>
      </c>
      <c r="C1674" s="66">
        <v>1.0</v>
      </c>
      <c r="D1674" s="66" t="s">
        <v>227</v>
      </c>
      <c r="E1674" s="66">
        <v>0.0</v>
      </c>
      <c r="F1674" s="66">
        <v>0.4471</v>
      </c>
      <c r="G1674" s="66">
        <v>0.2743</v>
      </c>
      <c r="I1674" s="82">
        <f t="shared" ref="I1674:I1712" si="8">((F1674-G1674)/G1674)</f>
        <v>0.6299671892</v>
      </c>
      <c r="J1674" s="82">
        <f t="shared" si="6"/>
        <v>0.613509282</v>
      </c>
    </row>
    <row r="1675">
      <c r="A1675" s="83">
        <v>44816.0</v>
      </c>
      <c r="B1675" s="66">
        <v>2025.0</v>
      </c>
      <c r="C1675" s="66">
        <v>1.0</v>
      </c>
      <c r="D1675" s="66" t="s">
        <v>228</v>
      </c>
      <c r="E1675" s="66">
        <v>0.0</v>
      </c>
      <c r="F1675" s="66">
        <v>0.889</v>
      </c>
      <c r="G1675" s="66">
        <v>0.535</v>
      </c>
      <c r="I1675" s="82">
        <f t="shared" si="8"/>
        <v>0.661682243</v>
      </c>
      <c r="J1675" s="82">
        <f t="shared" si="6"/>
        <v>0.601799775</v>
      </c>
    </row>
    <row r="1676">
      <c r="A1676" s="83">
        <v>44816.0</v>
      </c>
      <c r="B1676" s="66">
        <v>2025.0</v>
      </c>
      <c r="C1676" s="66">
        <v>2.0</v>
      </c>
      <c r="D1676" s="66" t="s">
        <v>227</v>
      </c>
      <c r="E1676" s="66">
        <v>1.0</v>
      </c>
      <c r="F1676" s="66">
        <v>0.3683</v>
      </c>
      <c r="G1676" s="66">
        <v>0.2106</v>
      </c>
      <c r="I1676" s="82">
        <f t="shared" si="8"/>
        <v>0.7488129155</v>
      </c>
      <c r="J1676" s="82">
        <f t="shared" si="6"/>
        <v>0.571816454</v>
      </c>
    </row>
    <row r="1677">
      <c r="A1677" s="83">
        <v>44816.0</v>
      </c>
      <c r="B1677" s="66">
        <v>2025.0</v>
      </c>
      <c r="C1677" s="66">
        <v>2.0</v>
      </c>
      <c r="D1677" s="66" t="s">
        <v>227</v>
      </c>
      <c r="E1677" s="66">
        <v>0.0</v>
      </c>
      <c r="F1677" s="66">
        <v>0.1288</v>
      </c>
      <c r="G1677" s="66">
        <v>0.0865</v>
      </c>
      <c r="I1677" s="82">
        <f t="shared" si="8"/>
        <v>0.489017341</v>
      </c>
      <c r="J1677" s="82">
        <f t="shared" si="6"/>
        <v>0.6715838509</v>
      </c>
    </row>
    <row r="1678">
      <c r="A1678" s="83">
        <v>44816.0</v>
      </c>
      <c r="B1678" s="66">
        <v>2025.0</v>
      </c>
      <c r="C1678" s="66">
        <v>2.0</v>
      </c>
      <c r="D1678" s="66" t="s">
        <v>228</v>
      </c>
      <c r="E1678" s="66">
        <v>0.0</v>
      </c>
      <c r="F1678" s="66">
        <v>0.8628</v>
      </c>
      <c r="G1678" s="66">
        <v>0.5727</v>
      </c>
      <c r="I1678" s="82">
        <f t="shared" si="8"/>
        <v>0.5065479309</v>
      </c>
      <c r="J1678" s="82">
        <f t="shared" si="6"/>
        <v>0.6637691238</v>
      </c>
    </row>
    <row r="1679">
      <c r="A1679" s="83">
        <v>44816.0</v>
      </c>
      <c r="B1679" s="66">
        <v>2025.0</v>
      </c>
      <c r="C1679" s="66">
        <v>3.0</v>
      </c>
      <c r="D1679" s="66" t="s">
        <v>227</v>
      </c>
      <c r="E1679" s="66">
        <v>0.0</v>
      </c>
      <c r="F1679" s="66">
        <v>0.0545</v>
      </c>
      <c r="G1679" s="66">
        <v>0.0284</v>
      </c>
      <c r="I1679" s="82">
        <f t="shared" si="8"/>
        <v>0.9190140845</v>
      </c>
      <c r="J1679" s="82">
        <f t="shared" si="6"/>
        <v>0.5211009174</v>
      </c>
    </row>
    <row r="1680">
      <c r="A1680" s="83">
        <v>44816.0</v>
      </c>
      <c r="B1680" s="66">
        <v>2025.0</v>
      </c>
      <c r="C1680" s="66">
        <v>3.0</v>
      </c>
      <c r="D1680" s="66" t="s">
        <v>228</v>
      </c>
      <c r="E1680" s="66">
        <v>0.0</v>
      </c>
      <c r="F1680" s="66">
        <v>0.5657</v>
      </c>
      <c r="G1680" s="66">
        <v>0.3346</v>
      </c>
      <c r="I1680" s="82">
        <f t="shared" si="8"/>
        <v>0.6906754334</v>
      </c>
      <c r="J1680" s="82">
        <f t="shared" si="6"/>
        <v>0.5914795828</v>
      </c>
    </row>
    <row r="1681">
      <c r="A1681" s="83">
        <v>44816.0</v>
      </c>
      <c r="B1681" s="66">
        <v>2025.0</v>
      </c>
      <c r="C1681" s="66">
        <v>3.0</v>
      </c>
      <c r="D1681" s="66" t="s">
        <v>227</v>
      </c>
      <c r="E1681" s="66">
        <v>1.0</v>
      </c>
      <c r="F1681" s="66">
        <v>0.0692</v>
      </c>
      <c r="G1681" s="66">
        <v>0.0275</v>
      </c>
      <c r="I1681" s="82">
        <f t="shared" si="8"/>
        <v>1.516363636</v>
      </c>
      <c r="J1681" s="82">
        <f t="shared" si="6"/>
        <v>0.3973988439</v>
      </c>
    </row>
    <row r="1682">
      <c r="A1682" s="83">
        <v>44816.0</v>
      </c>
      <c r="B1682" s="66">
        <v>2025.0</v>
      </c>
      <c r="C1682" s="66">
        <v>4.0</v>
      </c>
      <c r="D1682" s="66" t="s">
        <v>227</v>
      </c>
      <c r="E1682" s="66">
        <v>0.0</v>
      </c>
      <c r="F1682" s="66">
        <v>0.3584</v>
      </c>
      <c r="G1682" s="66">
        <v>0.1982</v>
      </c>
      <c r="I1682" s="82">
        <f t="shared" si="8"/>
        <v>0.8082744702</v>
      </c>
      <c r="J1682" s="82">
        <f t="shared" si="6"/>
        <v>0.5530133929</v>
      </c>
    </row>
    <row r="1683">
      <c r="A1683" s="83">
        <v>44816.0</v>
      </c>
      <c r="B1683" s="66">
        <v>2025.0</v>
      </c>
      <c r="C1683" s="66">
        <v>4.0</v>
      </c>
      <c r="D1683" s="66" t="s">
        <v>228</v>
      </c>
      <c r="E1683" s="66">
        <v>0.0</v>
      </c>
      <c r="F1683" s="66">
        <v>1.6804</v>
      </c>
      <c r="G1683" s="66">
        <v>0.9747</v>
      </c>
      <c r="I1683" s="82">
        <f t="shared" si="8"/>
        <v>0.7240176465</v>
      </c>
      <c r="J1683" s="82">
        <f t="shared" si="6"/>
        <v>0.5800404666</v>
      </c>
    </row>
    <row r="1684">
      <c r="A1684" s="83">
        <v>44816.0</v>
      </c>
      <c r="B1684" s="66">
        <v>2025.0</v>
      </c>
      <c r="C1684" s="66">
        <v>4.0</v>
      </c>
      <c r="D1684" s="66" t="s">
        <v>227</v>
      </c>
      <c r="E1684" s="66">
        <v>1.0</v>
      </c>
      <c r="F1684" s="66">
        <v>0.2496</v>
      </c>
      <c r="G1684" s="66">
        <v>0.1315</v>
      </c>
      <c r="I1684" s="82">
        <f t="shared" si="8"/>
        <v>0.8980988593</v>
      </c>
      <c r="J1684" s="82">
        <f t="shared" si="6"/>
        <v>0.5268429487</v>
      </c>
    </row>
    <row r="1685">
      <c r="A1685" s="83">
        <v>44816.0</v>
      </c>
      <c r="B1685" s="66">
        <v>2026.0</v>
      </c>
      <c r="C1685" s="66">
        <v>1.0</v>
      </c>
      <c r="D1685" s="66" t="s">
        <v>228</v>
      </c>
      <c r="E1685" s="66">
        <v>0.0</v>
      </c>
      <c r="F1685" s="66">
        <v>1.5522</v>
      </c>
      <c r="G1685" s="66">
        <v>0.8882</v>
      </c>
      <c r="I1685" s="82">
        <f t="shared" si="8"/>
        <v>0.747579374</v>
      </c>
      <c r="J1685" s="82">
        <f t="shared" si="6"/>
        <v>0.5722200747</v>
      </c>
    </row>
    <row r="1686">
      <c r="A1686" s="83">
        <v>44816.0</v>
      </c>
      <c r="B1686" s="66">
        <v>2026.0</v>
      </c>
      <c r="C1686" s="66">
        <v>1.0</v>
      </c>
      <c r="D1686" s="66" t="s">
        <v>227</v>
      </c>
      <c r="E1686" s="66">
        <v>1.0</v>
      </c>
      <c r="F1686" s="66">
        <v>0.8808</v>
      </c>
      <c r="G1686" s="66">
        <v>0.479</v>
      </c>
      <c r="I1686" s="82">
        <f t="shared" si="8"/>
        <v>0.8388308977</v>
      </c>
      <c r="J1686" s="82">
        <f t="shared" si="6"/>
        <v>0.5438237965</v>
      </c>
    </row>
    <row r="1687">
      <c r="A1687" s="83">
        <v>44816.0</v>
      </c>
      <c r="B1687" s="66">
        <v>2026.0</v>
      </c>
      <c r="C1687" s="66">
        <v>1.0</v>
      </c>
      <c r="D1687" s="66" t="s">
        <v>227</v>
      </c>
      <c r="E1687" s="66">
        <v>0.0</v>
      </c>
      <c r="F1687" s="66">
        <v>0.8462</v>
      </c>
      <c r="G1687" s="66">
        <v>0.4771</v>
      </c>
      <c r="I1687" s="82">
        <f t="shared" si="8"/>
        <v>0.7736323622</v>
      </c>
      <c r="J1687" s="82">
        <f t="shared" si="6"/>
        <v>0.563814701</v>
      </c>
    </row>
    <row r="1688">
      <c r="A1688" s="83">
        <v>44816.0</v>
      </c>
      <c r="B1688" s="66">
        <v>2026.0</v>
      </c>
      <c r="C1688" s="66">
        <v>2.0</v>
      </c>
      <c r="D1688" s="66" t="s">
        <v>228</v>
      </c>
      <c r="E1688" s="66">
        <v>0.0</v>
      </c>
      <c r="F1688" s="66">
        <v>0.6413</v>
      </c>
      <c r="G1688" s="66">
        <v>0.3737</v>
      </c>
      <c r="I1688" s="82">
        <f t="shared" si="8"/>
        <v>0.7160824191</v>
      </c>
      <c r="J1688" s="82">
        <f t="shared" si="6"/>
        <v>0.5827225947</v>
      </c>
    </row>
    <row r="1689">
      <c r="A1689" s="83">
        <v>44816.0</v>
      </c>
      <c r="B1689" s="66">
        <v>2026.0</v>
      </c>
      <c r="C1689" s="66">
        <v>2.0</v>
      </c>
      <c r="D1689" s="66" t="s">
        <v>227</v>
      </c>
      <c r="E1689" s="66">
        <v>1.0</v>
      </c>
      <c r="F1689" s="66">
        <v>0.5573</v>
      </c>
      <c r="G1689" s="66">
        <v>0.2885</v>
      </c>
      <c r="I1689" s="82">
        <f t="shared" si="8"/>
        <v>0.9317157712</v>
      </c>
      <c r="J1689" s="82">
        <f t="shared" si="6"/>
        <v>0.5176745021</v>
      </c>
    </row>
    <row r="1690">
      <c r="A1690" s="83">
        <v>44816.0</v>
      </c>
      <c r="B1690" s="66">
        <v>2026.0</v>
      </c>
      <c r="C1690" s="66">
        <v>2.0</v>
      </c>
      <c r="D1690" s="66" t="s">
        <v>227</v>
      </c>
      <c r="E1690" s="66">
        <v>0.0</v>
      </c>
      <c r="F1690" s="66">
        <v>0.5336</v>
      </c>
      <c r="G1690" s="66">
        <v>0.3106</v>
      </c>
      <c r="I1690" s="82">
        <f t="shared" si="8"/>
        <v>0.7179652286</v>
      </c>
      <c r="J1690" s="82">
        <f t="shared" si="6"/>
        <v>0.582083958</v>
      </c>
    </row>
    <row r="1691">
      <c r="A1691" s="83">
        <v>44816.0</v>
      </c>
      <c r="B1691" s="66">
        <v>2027.0</v>
      </c>
      <c r="C1691" s="66">
        <v>1.0</v>
      </c>
      <c r="D1691" s="66" t="s">
        <v>227</v>
      </c>
      <c r="E1691" s="66">
        <v>1.0</v>
      </c>
      <c r="F1691" s="66">
        <v>1.0206</v>
      </c>
      <c r="G1691" s="66">
        <v>0.5737</v>
      </c>
      <c r="I1691" s="82">
        <f t="shared" si="8"/>
        <v>0.7789785602</v>
      </c>
      <c r="J1691" s="82">
        <f t="shared" si="6"/>
        <v>0.5621203214</v>
      </c>
    </row>
    <row r="1692">
      <c r="A1692" s="83">
        <v>44816.0</v>
      </c>
      <c r="B1692" s="66">
        <v>2027.0</v>
      </c>
      <c r="C1692" s="66">
        <v>1.0</v>
      </c>
      <c r="D1692" s="66" t="s">
        <v>228</v>
      </c>
      <c r="E1692" s="66">
        <v>0.0</v>
      </c>
      <c r="F1692" s="66">
        <v>0.2992</v>
      </c>
      <c r="G1692" s="66">
        <v>0.1847</v>
      </c>
      <c r="I1692" s="82">
        <f t="shared" si="8"/>
        <v>0.6199242014</v>
      </c>
      <c r="J1692" s="82">
        <f t="shared" si="6"/>
        <v>0.6173128342</v>
      </c>
    </row>
    <row r="1693">
      <c r="A1693" s="83">
        <v>44816.0</v>
      </c>
      <c r="B1693" s="66">
        <v>2027.0</v>
      </c>
      <c r="C1693" s="66">
        <v>1.0</v>
      </c>
      <c r="D1693" s="66" t="s">
        <v>227</v>
      </c>
      <c r="E1693" s="66">
        <v>0.0</v>
      </c>
      <c r="F1693" s="66">
        <v>0.4621</v>
      </c>
      <c r="G1693" s="66">
        <v>0.2749</v>
      </c>
      <c r="I1693" s="82">
        <f t="shared" si="8"/>
        <v>0.6809749</v>
      </c>
      <c r="J1693" s="82">
        <f t="shared" si="6"/>
        <v>0.5948928803</v>
      </c>
    </row>
    <row r="1694">
      <c r="A1694" s="83">
        <v>44816.0</v>
      </c>
      <c r="B1694" s="66">
        <v>2027.0</v>
      </c>
      <c r="C1694" s="66">
        <v>2.0</v>
      </c>
      <c r="D1694" s="66" t="s">
        <v>228</v>
      </c>
      <c r="E1694" s="66">
        <v>0.0</v>
      </c>
      <c r="F1694" s="66">
        <v>0.3092</v>
      </c>
      <c r="G1694" s="66">
        <v>0.1601</v>
      </c>
      <c r="I1694" s="82">
        <f t="shared" si="8"/>
        <v>0.9312929419</v>
      </c>
      <c r="J1694" s="82">
        <f t="shared" si="6"/>
        <v>0.5177878396</v>
      </c>
    </row>
    <row r="1695">
      <c r="A1695" s="83">
        <v>44816.0</v>
      </c>
      <c r="B1695" s="66">
        <v>2027.0</v>
      </c>
      <c r="C1695" s="66">
        <v>2.0</v>
      </c>
      <c r="D1695" s="66" t="s">
        <v>227</v>
      </c>
      <c r="E1695" s="66">
        <v>0.0</v>
      </c>
      <c r="F1695" s="66">
        <v>0.6477</v>
      </c>
      <c r="G1695" s="66">
        <v>0.3434</v>
      </c>
      <c r="I1695" s="82">
        <f t="shared" si="8"/>
        <v>0.8861386139</v>
      </c>
      <c r="J1695" s="82">
        <f t="shared" si="6"/>
        <v>0.530183727</v>
      </c>
    </row>
    <row r="1696">
      <c r="A1696" s="83">
        <v>44816.0</v>
      </c>
      <c r="B1696" s="66">
        <v>2027.0</v>
      </c>
      <c r="C1696" s="66">
        <v>2.0</v>
      </c>
      <c r="D1696" s="66" t="s">
        <v>227</v>
      </c>
      <c r="E1696" s="66">
        <v>1.0</v>
      </c>
      <c r="F1696" s="66">
        <v>0.1034</v>
      </c>
      <c r="G1696" s="66">
        <v>0.0512</v>
      </c>
      <c r="I1696" s="82">
        <f t="shared" si="8"/>
        <v>1.01953125</v>
      </c>
      <c r="J1696" s="82">
        <f t="shared" si="6"/>
        <v>0.4951644101</v>
      </c>
    </row>
    <row r="1697">
      <c r="A1697" s="83">
        <v>44816.0</v>
      </c>
      <c r="B1697" s="66">
        <v>2027.0</v>
      </c>
      <c r="C1697" s="66">
        <v>3.0</v>
      </c>
      <c r="D1697" s="66" t="s">
        <v>227</v>
      </c>
      <c r="E1697" s="66">
        <v>1.0</v>
      </c>
      <c r="F1697" s="66">
        <v>0.1478</v>
      </c>
      <c r="G1697" s="66">
        <v>0.0875</v>
      </c>
      <c r="I1697" s="82">
        <f t="shared" si="8"/>
        <v>0.6891428571</v>
      </c>
      <c r="J1697" s="82">
        <f t="shared" si="6"/>
        <v>0.5920162382</v>
      </c>
    </row>
    <row r="1698">
      <c r="A1698" s="83">
        <v>44816.0</v>
      </c>
      <c r="B1698" s="66">
        <v>2027.0</v>
      </c>
      <c r="C1698" s="66">
        <v>3.0</v>
      </c>
      <c r="D1698" s="66" t="s">
        <v>227</v>
      </c>
      <c r="E1698" s="66">
        <v>0.0</v>
      </c>
      <c r="F1698" s="66">
        <v>0.1118</v>
      </c>
      <c r="G1698" s="66">
        <v>0.0711</v>
      </c>
      <c r="I1698" s="82">
        <f t="shared" si="8"/>
        <v>0.5724331927</v>
      </c>
      <c r="J1698" s="82">
        <f t="shared" si="6"/>
        <v>0.6359570662</v>
      </c>
    </row>
    <row r="1699">
      <c r="A1699" s="83">
        <v>44816.0</v>
      </c>
      <c r="B1699" s="66">
        <v>2027.0</v>
      </c>
      <c r="C1699" s="66">
        <v>3.0</v>
      </c>
      <c r="D1699" s="66" t="s">
        <v>228</v>
      </c>
      <c r="E1699" s="66">
        <v>0.0</v>
      </c>
      <c r="F1699" s="66">
        <v>0.3211</v>
      </c>
      <c r="G1699" s="66">
        <v>0.2583</v>
      </c>
      <c r="I1699" s="82">
        <f t="shared" si="8"/>
        <v>0.2431281456</v>
      </c>
      <c r="J1699" s="82">
        <f t="shared" si="6"/>
        <v>0.8044222983</v>
      </c>
    </row>
    <row r="1700">
      <c r="A1700" s="83">
        <v>44816.0</v>
      </c>
      <c r="B1700" s="66">
        <v>2028.0</v>
      </c>
      <c r="C1700" s="66">
        <v>1.0</v>
      </c>
      <c r="D1700" s="66" t="s">
        <v>227</v>
      </c>
      <c r="E1700" s="66">
        <v>1.0</v>
      </c>
      <c r="F1700" s="66">
        <v>0.5752</v>
      </c>
      <c r="G1700" s="66">
        <v>0.3514</v>
      </c>
      <c r="I1700" s="82">
        <f t="shared" si="8"/>
        <v>0.6368810472</v>
      </c>
      <c r="J1700" s="82">
        <f t="shared" si="6"/>
        <v>0.6109179416</v>
      </c>
    </row>
    <row r="1701">
      <c r="A1701" s="83">
        <v>44816.0</v>
      </c>
      <c r="B1701" s="66">
        <v>2028.0</v>
      </c>
      <c r="C1701" s="66">
        <v>1.0</v>
      </c>
      <c r="D1701" s="66" t="s">
        <v>227</v>
      </c>
      <c r="E1701" s="66">
        <v>0.0</v>
      </c>
      <c r="F1701" s="66">
        <v>1.1209</v>
      </c>
      <c r="G1701" s="66">
        <v>0.6708</v>
      </c>
      <c r="I1701" s="82">
        <f t="shared" si="8"/>
        <v>0.6709898629</v>
      </c>
      <c r="J1701" s="82">
        <f t="shared" si="6"/>
        <v>0.598447676</v>
      </c>
    </row>
    <row r="1702">
      <c r="A1702" s="83">
        <v>44816.0</v>
      </c>
      <c r="B1702" s="66">
        <v>2028.0</v>
      </c>
      <c r="C1702" s="66">
        <v>1.0</v>
      </c>
      <c r="D1702" s="66" t="s">
        <v>228</v>
      </c>
      <c r="E1702" s="66">
        <v>0.0</v>
      </c>
      <c r="F1702" s="66">
        <v>0.9241</v>
      </c>
      <c r="G1702" s="66">
        <v>0.5972</v>
      </c>
      <c r="I1702" s="82">
        <f t="shared" si="8"/>
        <v>0.5473878098</v>
      </c>
      <c r="J1702" s="82">
        <f t="shared" si="6"/>
        <v>0.6462504058</v>
      </c>
    </row>
    <row r="1703">
      <c r="A1703" s="83">
        <v>44816.0</v>
      </c>
      <c r="B1703" s="66">
        <v>2028.0</v>
      </c>
      <c r="C1703" s="66">
        <v>2.0</v>
      </c>
      <c r="D1703" s="66" t="s">
        <v>228</v>
      </c>
      <c r="E1703" s="66">
        <v>0.0</v>
      </c>
      <c r="F1703" s="66">
        <v>0.1719</v>
      </c>
      <c r="G1703" s="66">
        <v>0.105</v>
      </c>
      <c r="I1703" s="82">
        <f t="shared" si="8"/>
        <v>0.6371428571</v>
      </c>
      <c r="J1703" s="82">
        <f t="shared" si="6"/>
        <v>0.6108202443</v>
      </c>
    </row>
    <row r="1704">
      <c r="A1704" s="83">
        <v>44816.0</v>
      </c>
      <c r="B1704" s="66">
        <v>2028.0</v>
      </c>
      <c r="C1704" s="66">
        <v>2.0</v>
      </c>
      <c r="D1704" s="66" t="s">
        <v>227</v>
      </c>
      <c r="E1704" s="66">
        <v>1.0</v>
      </c>
      <c r="F1704" s="66">
        <v>0.6253</v>
      </c>
      <c r="G1704" s="66">
        <v>0.3691</v>
      </c>
      <c r="I1704" s="82">
        <f t="shared" si="8"/>
        <v>0.6941208345</v>
      </c>
      <c r="J1704" s="82">
        <f t="shared" si="6"/>
        <v>0.5902766672</v>
      </c>
    </row>
    <row r="1705">
      <c r="A1705" s="83">
        <v>44816.0</v>
      </c>
      <c r="B1705" s="66">
        <v>2028.0</v>
      </c>
      <c r="C1705" s="66">
        <v>2.0</v>
      </c>
      <c r="D1705" s="66" t="s">
        <v>227</v>
      </c>
      <c r="E1705" s="66">
        <v>0.0</v>
      </c>
      <c r="F1705" s="66">
        <v>0.4346</v>
      </c>
      <c r="G1705" s="66">
        <v>0.2534</v>
      </c>
      <c r="I1705" s="82">
        <f t="shared" si="8"/>
        <v>0.7150749803</v>
      </c>
      <c r="J1705" s="82">
        <f t="shared" si="6"/>
        <v>0.5830648873</v>
      </c>
    </row>
    <row r="1706">
      <c r="A1706" s="83">
        <v>44816.0</v>
      </c>
      <c r="B1706" s="66">
        <v>2028.0</v>
      </c>
      <c r="C1706" s="66">
        <v>3.0</v>
      </c>
      <c r="D1706" s="66" t="s">
        <v>228</v>
      </c>
      <c r="E1706" s="66">
        <v>0.0</v>
      </c>
      <c r="F1706" s="66">
        <v>0.359</v>
      </c>
      <c r="G1706" s="66">
        <v>0.2224</v>
      </c>
      <c r="I1706" s="82">
        <f t="shared" si="8"/>
        <v>0.6142086331</v>
      </c>
      <c r="J1706" s="82">
        <f t="shared" si="6"/>
        <v>0.6194986072</v>
      </c>
    </row>
    <row r="1707">
      <c r="A1707" s="83">
        <v>44816.0</v>
      </c>
      <c r="B1707" s="66">
        <v>2028.0</v>
      </c>
      <c r="C1707" s="66">
        <v>3.0</v>
      </c>
      <c r="D1707" s="66" t="s">
        <v>227</v>
      </c>
      <c r="E1707" s="66">
        <v>0.0</v>
      </c>
      <c r="F1707" s="66">
        <v>0.5408</v>
      </c>
      <c r="G1707" s="66">
        <v>0.3456</v>
      </c>
      <c r="I1707" s="82">
        <f t="shared" si="8"/>
        <v>0.5648148148</v>
      </c>
      <c r="J1707" s="82">
        <f t="shared" si="6"/>
        <v>0.6390532544</v>
      </c>
    </row>
    <row r="1708">
      <c r="A1708" s="83">
        <v>44816.0</v>
      </c>
      <c r="B1708" s="66">
        <v>2028.0</v>
      </c>
      <c r="C1708" s="66">
        <v>3.0</v>
      </c>
      <c r="D1708" s="66" t="s">
        <v>227</v>
      </c>
      <c r="E1708" s="66">
        <v>1.0</v>
      </c>
      <c r="F1708" s="66">
        <v>0.908</v>
      </c>
      <c r="G1708" s="66">
        <v>0.5423</v>
      </c>
      <c r="I1708" s="82">
        <f t="shared" si="8"/>
        <v>0.6743499908</v>
      </c>
      <c r="J1708" s="82">
        <f t="shared" si="6"/>
        <v>0.597246696</v>
      </c>
    </row>
    <row r="1709">
      <c r="A1709" s="83">
        <v>44816.0</v>
      </c>
      <c r="B1709" s="66">
        <v>2029.0</v>
      </c>
      <c r="C1709" s="66">
        <v>1.0</v>
      </c>
      <c r="D1709" s="66" t="s">
        <v>227</v>
      </c>
      <c r="E1709" s="66">
        <v>1.0</v>
      </c>
      <c r="F1709" s="66">
        <v>0.3619</v>
      </c>
      <c r="G1709" s="66">
        <v>0.2668</v>
      </c>
      <c r="I1709" s="82">
        <f t="shared" si="8"/>
        <v>0.3564467766</v>
      </c>
      <c r="J1709" s="82">
        <f t="shared" si="6"/>
        <v>0.7372202266</v>
      </c>
    </row>
    <row r="1710">
      <c r="A1710" s="83">
        <v>44816.0</v>
      </c>
      <c r="B1710" s="66">
        <v>2029.0</v>
      </c>
      <c r="C1710" s="66">
        <v>1.0</v>
      </c>
      <c r="D1710" s="66" t="s">
        <v>227</v>
      </c>
      <c r="E1710" s="66">
        <v>0.0</v>
      </c>
      <c r="F1710" s="66">
        <v>0.1146</v>
      </c>
      <c r="G1710" s="66">
        <v>0.0555</v>
      </c>
      <c r="I1710" s="82">
        <f t="shared" si="8"/>
        <v>1.064864865</v>
      </c>
      <c r="J1710" s="82">
        <f t="shared" si="6"/>
        <v>0.4842931937</v>
      </c>
    </row>
    <row r="1711">
      <c r="A1711" s="83">
        <v>44816.0</v>
      </c>
      <c r="B1711" s="66">
        <v>2029.0</v>
      </c>
      <c r="C1711" s="66">
        <v>1.0</v>
      </c>
      <c r="D1711" s="66" t="s">
        <v>228</v>
      </c>
      <c r="E1711" s="66">
        <v>1.0</v>
      </c>
      <c r="F1711" s="66">
        <v>1.0756</v>
      </c>
      <c r="G1711" s="66">
        <v>0.6878</v>
      </c>
      <c r="I1711" s="82">
        <f t="shared" si="8"/>
        <v>0.5638266938</v>
      </c>
      <c r="J1711" s="82">
        <f t="shared" si="6"/>
        <v>0.6394570472</v>
      </c>
    </row>
    <row r="1712">
      <c r="A1712" s="83">
        <v>44816.0</v>
      </c>
      <c r="B1712" s="66">
        <v>2029.0</v>
      </c>
      <c r="C1712" s="66">
        <v>1.0</v>
      </c>
      <c r="D1712" s="66" t="s">
        <v>228</v>
      </c>
      <c r="E1712" s="66">
        <v>0.0</v>
      </c>
      <c r="F1712" s="66">
        <v>2.373</v>
      </c>
      <c r="G1712" s="66">
        <v>1.4555</v>
      </c>
      <c r="I1712" s="82">
        <f t="shared" si="8"/>
        <v>0.6303675713</v>
      </c>
      <c r="J1712" s="82">
        <f t="shared" si="6"/>
        <v>0.6133586178</v>
      </c>
    </row>
    <row r="1713">
      <c r="A1713" s="83">
        <v>44816.0</v>
      </c>
      <c r="B1713" s="66">
        <v>2029.0</v>
      </c>
      <c r="C1713" s="66">
        <v>2.0</v>
      </c>
      <c r="D1713" s="66" t="s">
        <v>228</v>
      </c>
      <c r="E1713" s="66">
        <v>1.0</v>
      </c>
      <c r="F1713" s="66">
        <v>1.2382</v>
      </c>
      <c r="G1713" s="66">
        <v>0.8808</v>
      </c>
      <c r="I1713" s="82">
        <f>(F1713-G1713)/G1713</f>
        <v>0.4057674841</v>
      </c>
      <c r="J1713" s="82">
        <f t="shared" si="6"/>
        <v>0.711355193</v>
      </c>
    </row>
    <row r="1714">
      <c r="A1714" s="83">
        <v>44816.0</v>
      </c>
      <c r="B1714" s="66">
        <v>2029.0</v>
      </c>
      <c r="D1714" s="66" t="s">
        <v>227</v>
      </c>
      <c r="E1714" s="66">
        <v>1.0</v>
      </c>
      <c r="F1714" s="66">
        <v>0.5298</v>
      </c>
      <c r="G1714" s="66">
        <v>0.2919</v>
      </c>
      <c r="H1714" s="66" t="s">
        <v>298</v>
      </c>
      <c r="I1714" s="82">
        <f>((F1714-G1714)/G1714)</f>
        <v>0.8150051387</v>
      </c>
      <c r="J1714" s="82">
        <f t="shared" si="6"/>
        <v>0.5509626274</v>
      </c>
    </row>
    <row r="1715">
      <c r="A1715" s="83">
        <v>44816.0</v>
      </c>
      <c r="B1715" s="66">
        <v>2030.0</v>
      </c>
      <c r="C1715" s="66">
        <v>1.0</v>
      </c>
      <c r="D1715" s="66" t="s">
        <v>227</v>
      </c>
      <c r="E1715" s="66">
        <v>1.0</v>
      </c>
      <c r="F1715" s="66">
        <v>0.3415</v>
      </c>
      <c r="G1715" s="66">
        <v>0.1742</v>
      </c>
      <c r="I1715" s="82">
        <f>(F1715-G1715)/G1715</f>
        <v>0.9603903559</v>
      </c>
      <c r="J1715" s="82">
        <f t="shared" si="6"/>
        <v>0.510102489</v>
      </c>
    </row>
    <row r="1716">
      <c r="A1716" s="83">
        <v>44816.0</v>
      </c>
      <c r="B1716" s="66">
        <v>2030.0</v>
      </c>
      <c r="C1716" s="66">
        <v>1.0</v>
      </c>
      <c r="D1716" s="66" t="s">
        <v>228</v>
      </c>
      <c r="E1716" s="66">
        <v>1.0</v>
      </c>
      <c r="F1716" s="66">
        <v>0.5276</v>
      </c>
      <c r="G1716" s="66">
        <v>0.2974</v>
      </c>
      <c r="I1716" s="82">
        <f t="shared" ref="I1716:I1721" si="9">((F1716-G1716)/G1716)</f>
        <v>0.7740416947</v>
      </c>
      <c r="J1716" s="82">
        <f t="shared" si="6"/>
        <v>0.5636846096</v>
      </c>
    </row>
    <row r="1717">
      <c r="A1717" s="83">
        <v>44816.0</v>
      </c>
      <c r="B1717" s="66">
        <v>2030.0</v>
      </c>
      <c r="C1717" s="66">
        <v>1.0</v>
      </c>
      <c r="D1717" s="66" t="s">
        <v>227</v>
      </c>
      <c r="E1717" s="66">
        <v>0.0</v>
      </c>
      <c r="F1717" s="66">
        <v>0.1335</v>
      </c>
      <c r="G1717" s="66">
        <v>0.0695</v>
      </c>
      <c r="I1717" s="82">
        <f t="shared" si="9"/>
        <v>0.9208633094</v>
      </c>
      <c r="J1717" s="82">
        <f t="shared" si="6"/>
        <v>0.5205992509</v>
      </c>
    </row>
    <row r="1718">
      <c r="A1718" s="83">
        <v>44816.0</v>
      </c>
      <c r="B1718" s="66">
        <v>2030.0</v>
      </c>
      <c r="C1718" s="66">
        <v>1.0</v>
      </c>
      <c r="D1718" s="66" t="s">
        <v>228</v>
      </c>
      <c r="E1718" s="66">
        <v>0.0</v>
      </c>
      <c r="F1718" s="66">
        <v>0.6526</v>
      </c>
      <c r="G1718" s="66">
        <v>0.4055</v>
      </c>
      <c r="I1718" s="82">
        <f t="shared" si="9"/>
        <v>0.6093711467</v>
      </c>
      <c r="J1718" s="82">
        <f t="shared" si="6"/>
        <v>0.621360711</v>
      </c>
    </row>
    <row r="1719">
      <c r="A1719" s="83">
        <v>44816.0</v>
      </c>
      <c r="B1719" s="66">
        <v>2030.0</v>
      </c>
      <c r="C1719" s="66">
        <v>2.0</v>
      </c>
      <c r="D1719" s="66" t="s">
        <v>227</v>
      </c>
      <c r="E1719" s="66">
        <v>0.0</v>
      </c>
      <c r="F1719" s="66">
        <v>0.1098</v>
      </c>
      <c r="G1719" s="66">
        <v>0.0539</v>
      </c>
      <c r="I1719" s="82">
        <f t="shared" si="9"/>
        <v>1.037105751</v>
      </c>
      <c r="J1719" s="82">
        <f t="shared" si="6"/>
        <v>0.4908925319</v>
      </c>
    </row>
    <row r="1720">
      <c r="A1720" s="83">
        <v>44816.0</v>
      </c>
      <c r="B1720" s="66">
        <v>2030.0</v>
      </c>
      <c r="C1720" s="66">
        <v>2.0</v>
      </c>
      <c r="D1720" s="66" t="s">
        <v>227</v>
      </c>
      <c r="E1720" s="66">
        <v>1.0</v>
      </c>
      <c r="F1720" s="66">
        <v>0.7401</v>
      </c>
      <c r="G1720" s="66">
        <v>0.4011</v>
      </c>
      <c r="I1720" s="82">
        <f t="shared" si="9"/>
        <v>0.8451757666</v>
      </c>
      <c r="J1720" s="82">
        <f t="shared" si="6"/>
        <v>0.54195379</v>
      </c>
    </row>
    <row r="1721">
      <c r="A1721" s="83">
        <v>44816.0</v>
      </c>
      <c r="B1721" s="66">
        <v>2030.0</v>
      </c>
      <c r="C1721" s="66">
        <v>2.0</v>
      </c>
      <c r="D1721" s="66" t="s">
        <v>228</v>
      </c>
      <c r="E1721" s="66">
        <v>0.0</v>
      </c>
      <c r="F1721" s="66">
        <v>0.9161</v>
      </c>
      <c r="G1721" s="66">
        <v>0.512</v>
      </c>
      <c r="H1721" s="66" t="s">
        <v>285</v>
      </c>
      <c r="I1721" s="82">
        <f t="shared" si="9"/>
        <v>0.7892578125</v>
      </c>
      <c r="J1721" s="82">
        <f t="shared" si="6"/>
        <v>0.5588909508</v>
      </c>
    </row>
    <row r="1722">
      <c r="A1722" s="83">
        <v>44816.0</v>
      </c>
      <c r="B1722" s="66">
        <v>2030.0</v>
      </c>
      <c r="C1722" s="66">
        <v>3.0</v>
      </c>
      <c r="D1722" s="66" t="s">
        <v>227</v>
      </c>
      <c r="E1722" s="66">
        <v>1.0</v>
      </c>
      <c r="F1722" s="66">
        <v>0.094</v>
      </c>
      <c r="G1722" s="66">
        <v>0.0469</v>
      </c>
      <c r="I1722" s="82">
        <f t="shared" ref="I1722:I1723" si="10">(F1722-G1722)/G1722</f>
        <v>1.004264392</v>
      </c>
      <c r="J1722" s="82">
        <f t="shared" si="6"/>
        <v>0.4989361702</v>
      </c>
    </row>
    <row r="1723">
      <c r="A1723" s="83">
        <v>44816.0</v>
      </c>
      <c r="B1723" s="66">
        <v>2030.0</v>
      </c>
      <c r="C1723" s="66">
        <v>3.0</v>
      </c>
      <c r="D1723" s="66" t="s">
        <v>228</v>
      </c>
      <c r="E1723" s="66">
        <v>1.0</v>
      </c>
      <c r="F1723" s="66">
        <v>0.5632</v>
      </c>
      <c r="G1723" s="66">
        <v>0.33</v>
      </c>
      <c r="I1723" s="82">
        <f t="shared" si="10"/>
        <v>0.7066666667</v>
      </c>
      <c r="J1723" s="82">
        <f t="shared" si="6"/>
        <v>0.5859375</v>
      </c>
    </row>
    <row r="1724">
      <c r="A1724" s="83">
        <v>44816.0</v>
      </c>
      <c r="B1724" s="66">
        <v>2030.0</v>
      </c>
      <c r="C1724" s="66">
        <v>3.0</v>
      </c>
      <c r="D1724" s="66" t="s">
        <v>227</v>
      </c>
      <c r="E1724" s="66">
        <v>0.0</v>
      </c>
      <c r="F1724" s="66">
        <v>0.0602</v>
      </c>
      <c r="G1724" s="66">
        <v>0.0329</v>
      </c>
      <c r="I1724" s="82">
        <f t="shared" ref="I1724:I2001" si="11">((F1724-G1724)/G1724)</f>
        <v>0.829787234</v>
      </c>
      <c r="J1724" s="82">
        <f t="shared" si="6"/>
        <v>0.5465116279</v>
      </c>
    </row>
    <row r="1725">
      <c r="A1725" s="83">
        <v>44816.0</v>
      </c>
      <c r="B1725" s="66">
        <v>2030.0</v>
      </c>
      <c r="C1725" s="66">
        <v>3.0</v>
      </c>
      <c r="D1725" s="66" t="s">
        <v>228</v>
      </c>
      <c r="E1725" s="66">
        <v>0.0</v>
      </c>
      <c r="F1725" s="66">
        <v>0.0375</v>
      </c>
      <c r="G1725" s="66">
        <v>0.0198</v>
      </c>
      <c r="I1725" s="82">
        <f t="shared" si="11"/>
        <v>0.8939393939</v>
      </c>
      <c r="J1725" s="82">
        <f t="shared" si="6"/>
        <v>0.528</v>
      </c>
    </row>
    <row r="1726">
      <c r="A1726" s="83">
        <v>44816.0</v>
      </c>
      <c r="B1726" s="66">
        <v>2031.0</v>
      </c>
      <c r="C1726" s="66">
        <v>1.0</v>
      </c>
      <c r="D1726" s="66" t="s">
        <v>227</v>
      </c>
      <c r="E1726" s="66">
        <v>1.0</v>
      </c>
      <c r="F1726" s="66">
        <v>0.3741</v>
      </c>
      <c r="G1726" s="66">
        <v>0.1934</v>
      </c>
      <c r="I1726" s="82">
        <f t="shared" si="11"/>
        <v>0.9343329886</v>
      </c>
      <c r="J1726" s="82">
        <f t="shared" si="6"/>
        <v>0.5169740711</v>
      </c>
    </row>
    <row r="1727">
      <c r="A1727" s="83">
        <v>44816.0</v>
      </c>
      <c r="B1727" s="66">
        <v>2031.0</v>
      </c>
      <c r="C1727" s="66">
        <v>1.0</v>
      </c>
      <c r="D1727" s="66" t="s">
        <v>227</v>
      </c>
      <c r="E1727" s="66">
        <v>0.0</v>
      </c>
      <c r="F1727" s="66">
        <v>0.1596</v>
      </c>
      <c r="G1727" s="66">
        <v>0.0845</v>
      </c>
      <c r="I1727" s="82">
        <f t="shared" si="11"/>
        <v>0.8887573964</v>
      </c>
      <c r="J1727" s="82">
        <f t="shared" si="6"/>
        <v>0.5294486216</v>
      </c>
    </row>
    <row r="1728">
      <c r="A1728" s="83">
        <v>44816.0</v>
      </c>
      <c r="B1728" s="66">
        <v>2031.0</v>
      </c>
      <c r="C1728" s="66">
        <v>1.0</v>
      </c>
      <c r="D1728" s="66" t="s">
        <v>228</v>
      </c>
      <c r="E1728" s="66">
        <v>0.0</v>
      </c>
      <c r="F1728" s="66">
        <v>0.1323</v>
      </c>
      <c r="G1728" s="66">
        <v>0.0711</v>
      </c>
      <c r="I1728" s="82">
        <f t="shared" si="11"/>
        <v>0.8607594937</v>
      </c>
      <c r="J1728" s="82">
        <f t="shared" si="6"/>
        <v>0.537414966</v>
      </c>
    </row>
    <row r="1729">
      <c r="A1729" s="83">
        <v>44816.0</v>
      </c>
      <c r="B1729" s="66">
        <v>2031.0</v>
      </c>
      <c r="C1729" s="66">
        <v>2.0</v>
      </c>
      <c r="D1729" s="66" t="s">
        <v>227</v>
      </c>
      <c r="E1729" s="66">
        <v>1.0</v>
      </c>
      <c r="F1729" s="66">
        <v>0.9805</v>
      </c>
      <c r="G1729" s="66">
        <v>0.5321</v>
      </c>
      <c r="I1729" s="82">
        <f t="shared" si="11"/>
        <v>0.8426987408</v>
      </c>
      <c r="J1729" s="82">
        <f t="shared" si="6"/>
        <v>0.5426823049</v>
      </c>
    </row>
    <row r="1730">
      <c r="A1730" s="83">
        <v>44816.0</v>
      </c>
      <c r="B1730" s="66">
        <v>2031.0</v>
      </c>
      <c r="C1730" s="66">
        <v>2.0</v>
      </c>
      <c r="D1730" s="66" t="s">
        <v>228</v>
      </c>
      <c r="E1730" s="66">
        <v>0.0</v>
      </c>
      <c r="F1730" s="66">
        <v>0.4033</v>
      </c>
      <c r="G1730" s="66">
        <v>0.2263</v>
      </c>
      <c r="I1730" s="82">
        <f t="shared" si="11"/>
        <v>0.7821475917</v>
      </c>
      <c r="J1730" s="82">
        <f t="shared" si="6"/>
        <v>0.5611207538</v>
      </c>
    </row>
    <row r="1731">
      <c r="A1731" s="83">
        <v>44816.0</v>
      </c>
      <c r="B1731" s="66">
        <v>2031.0</v>
      </c>
      <c r="C1731" s="66">
        <v>2.0</v>
      </c>
      <c r="D1731" s="66" t="s">
        <v>227</v>
      </c>
      <c r="E1731" s="66">
        <v>0.0</v>
      </c>
      <c r="F1731" s="66">
        <v>0.3693</v>
      </c>
      <c r="G1731" s="66">
        <v>0.2133</v>
      </c>
      <c r="I1731" s="82">
        <f t="shared" si="11"/>
        <v>0.7313642757</v>
      </c>
      <c r="J1731" s="82">
        <f t="shared" si="6"/>
        <v>0.5775792039</v>
      </c>
    </row>
    <row r="1732">
      <c r="A1732" s="83">
        <v>44816.0</v>
      </c>
      <c r="B1732" s="66">
        <v>2090.0</v>
      </c>
      <c r="C1732" s="66">
        <v>1.0</v>
      </c>
      <c r="D1732" s="66" t="s">
        <v>228</v>
      </c>
      <c r="E1732" s="66">
        <v>0.0</v>
      </c>
      <c r="F1732" s="66">
        <v>0.8144</v>
      </c>
      <c r="G1732" s="66">
        <v>0.4626</v>
      </c>
      <c r="I1732" s="82">
        <f t="shared" si="11"/>
        <v>0.7604842196</v>
      </c>
      <c r="J1732" s="82">
        <f t="shared" si="6"/>
        <v>0.5680255403</v>
      </c>
    </row>
    <row r="1733">
      <c r="A1733" s="83">
        <v>44816.0</v>
      </c>
      <c r="B1733" s="66">
        <v>2301.0</v>
      </c>
      <c r="C1733" s="66">
        <v>1.0</v>
      </c>
      <c r="D1733" s="66" t="s">
        <v>227</v>
      </c>
      <c r="E1733" s="66">
        <v>1.0</v>
      </c>
      <c r="F1733" s="66">
        <v>0.2809</v>
      </c>
      <c r="G1733" s="66">
        <v>0.138</v>
      </c>
      <c r="I1733" s="82">
        <f t="shared" si="11"/>
        <v>1.035507246</v>
      </c>
      <c r="J1733" s="82">
        <f t="shared" si="6"/>
        <v>0.4912780349</v>
      </c>
    </row>
    <row r="1734">
      <c r="A1734" s="83">
        <v>44816.0</v>
      </c>
      <c r="B1734" s="66">
        <v>2301.0</v>
      </c>
      <c r="C1734" s="66">
        <v>1.0</v>
      </c>
      <c r="D1734" s="66" t="s">
        <v>228</v>
      </c>
      <c r="E1734" s="66">
        <v>1.0</v>
      </c>
      <c r="F1734" s="66">
        <v>0.9765</v>
      </c>
      <c r="G1734" s="66">
        <v>0.6483</v>
      </c>
      <c r="I1734" s="82">
        <f t="shared" si="11"/>
        <v>0.5062471078</v>
      </c>
      <c r="J1734" s="82">
        <f t="shared" si="6"/>
        <v>0.6639016897</v>
      </c>
    </row>
    <row r="1735">
      <c r="A1735" s="83">
        <v>44816.0</v>
      </c>
      <c r="B1735" s="66">
        <v>2331.0</v>
      </c>
      <c r="C1735" s="66">
        <v>1.0</v>
      </c>
      <c r="D1735" s="66" t="s">
        <v>228</v>
      </c>
      <c r="E1735" s="66">
        <v>0.0</v>
      </c>
      <c r="F1735" s="66">
        <v>0.9347</v>
      </c>
      <c r="G1735" s="66">
        <v>0.6054</v>
      </c>
      <c r="I1735" s="82">
        <f t="shared" si="11"/>
        <v>0.5439378923</v>
      </c>
      <c r="J1735" s="82">
        <f t="shared" si="6"/>
        <v>0.6476944474</v>
      </c>
    </row>
    <row r="1736">
      <c r="A1736" s="83">
        <v>44816.0</v>
      </c>
      <c r="B1736" s="66">
        <v>2331.0</v>
      </c>
      <c r="C1736" s="66">
        <v>1.0</v>
      </c>
      <c r="D1736" s="66" t="s">
        <v>228</v>
      </c>
      <c r="E1736" s="66">
        <v>1.0</v>
      </c>
      <c r="F1736" s="66">
        <v>0.8497</v>
      </c>
      <c r="G1736" s="66">
        <v>0.5459</v>
      </c>
      <c r="I1736" s="82">
        <f t="shared" si="11"/>
        <v>0.5565121817</v>
      </c>
      <c r="J1736" s="82">
        <f t="shared" si="6"/>
        <v>0.6424620454</v>
      </c>
    </row>
    <row r="1737">
      <c r="A1737" s="83">
        <v>44816.0</v>
      </c>
      <c r="B1737" s="66">
        <v>2331.0</v>
      </c>
      <c r="C1737" s="66">
        <v>1.0</v>
      </c>
      <c r="D1737" s="66" t="s">
        <v>227</v>
      </c>
      <c r="E1737" s="66">
        <v>1.0</v>
      </c>
      <c r="F1737" s="66">
        <v>0.2703</v>
      </c>
      <c r="G1737" s="66">
        <v>0.1581</v>
      </c>
      <c r="I1737" s="82">
        <f t="shared" si="11"/>
        <v>0.7096774194</v>
      </c>
      <c r="J1737" s="82">
        <f t="shared" si="6"/>
        <v>0.5849056604</v>
      </c>
    </row>
    <row r="1738">
      <c r="A1738" s="83">
        <v>44816.0</v>
      </c>
      <c r="B1738" s="66">
        <v>2331.0</v>
      </c>
      <c r="C1738" s="66">
        <v>1.0</v>
      </c>
      <c r="D1738" s="66" t="s">
        <v>227</v>
      </c>
      <c r="E1738" s="66">
        <v>0.0</v>
      </c>
      <c r="F1738" s="66">
        <v>0.1039</v>
      </c>
      <c r="G1738" s="66">
        <v>0.0681</v>
      </c>
      <c r="I1738" s="82">
        <f t="shared" si="11"/>
        <v>0.5256975037</v>
      </c>
      <c r="J1738" s="82">
        <f t="shared" si="6"/>
        <v>0.6554379211</v>
      </c>
    </row>
    <row r="1739">
      <c r="A1739" s="83">
        <v>44816.0</v>
      </c>
      <c r="B1739" s="66">
        <v>2331.0</v>
      </c>
      <c r="C1739" s="66">
        <v>2.0</v>
      </c>
      <c r="D1739" s="66" t="s">
        <v>228</v>
      </c>
      <c r="E1739" s="66">
        <v>0.0</v>
      </c>
      <c r="F1739" s="66">
        <v>0.4962</v>
      </c>
      <c r="G1739" s="66">
        <v>0.2914</v>
      </c>
      <c r="I1739" s="82">
        <f t="shared" si="11"/>
        <v>0.7028140014</v>
      </c>
      <c r="J1739" s="82">
        <f t="shared" si="6"/>
        <v>0.5872632003</v>
      </c>
    </row>
    <row r="1740">
      <c r="A1740" s="83">
        <v>44816.0</v>
      </c>
      <c r="B1740" s="66">
        <v>2331.0</v>
      </c>
      <c r="C1740" s="66">
        <v>2.0</v>
      </c>
      <c r="D1740" s="66" t="s">
        <v>228</v>
      </c>
      <c r="E1740" s="66">
        <v>1.0</v>
      </c>
      <c r="F1740" s="66">
        <v>1.4453</v>
      </c>
      <c r="G1740" s="66">
        <v>0.8726</v>
      </c>
      <c r="I1740" s="82">
        <f t="shared" si="11"/>
        <v>0.6563144625</v>
      </c>
      <c r="J1740" s="82">
        <f t="shared" si="6"/>
        <v>0.6037500865</v>
      </c>
    </row>
    <row r="1741">
      <c r="A1741" s="83">
        <v>44816.0</v>
      </c>
      <c r="B1741" s="66">
        <v>2331.0</v>
      </c>
      <c r="C1741" s="66">
        <v>2.0</v>
      </c>
      <c r="D1741" s="66" t="s">
        <v>227</v>
      </c>
      <c r="E1741" s="66">
        <v>0.0</v>
      </c>
      <c r="F1741" s="66">
        <v>0.1203</v>
      </c>
      <c r="G1741" s="66">
        <v>0.0598</v>
      </c>
      <c r="I1741" s="82">
        <f t="shared" si="11"/>
        <v>1.011705686</v>
      </c>
      <c r="J1741" s="82">
        <f t="shared" si="6"/>
        <v>0.4970906068</v>
      </c>
    </row>
    <row r="1742">
      <c r="A1742" s="83">
        <v>44816.0</v>
      </c>
      <c r="B1742" s="66">
        <v>2331.0</v>
      </c>
      <c r="C1742" s="66">
        <v>2.0</v>
      </c>
      <c r="D1742" s="66" t="s">
        <v>227</v>
      </c>
      <c r="E1742" s="66">
        <v>1.0</v>
      </c>
      <c r="F1742" s="66">
        <v>0.3475</v>
      </c>
      <c r="G1742" s="66">
        <v>0.1794</v>
      </c>
      <c r="I1742" s="82">
        <f t="shared" si="11"/>
        <v>0.9370122631</v>
      </c>
      <c r="J1742" s="82">
        <f t="shared" si="6"/>
        <v>0.5162589928</v>
      </c>
    </row>
    <row r="1743">
      <c r="A1743" s="83">
        <v>44816.0</v>
      </c>
      <c r="B1743" s="66">
        <v>2345.0</v>
      </c>
      <c r="C1743" s="66">
        <v>1.0</v>
      </c>
      <c r="D1743" s="66" t="s">
        <v>227</v>
      </c>
      <c r="E1743" s="66">
        <v>1.0</v>
      </c>
      <c r="F1743" s="66">
        <v>0.604</v>
      </c>
      <c r="G1743" s="66">
        <v>0.2665</v>
      </c>
      <c r="I1743" s="82">
        <f t="shared" si="11"/>
        <v>1.26641651</v>
      </c>
      <c r="J1743" s="82">
        <f t="shared" si="6"/>
        <v>0.4412251656</v>
      </c>
    </row>
    <row r="1744">
      <c r="A1744" s="83">
        <v>44816.0</v>
      </c>
      <c r="B1744" s="66">
        <v>2345.0</v>
      </c>
      <c r="C1744" s="66">
        <v>1.0</v>
      </c>
      <c r="D1744" s="66" t="s">
        <v>228</v>
      </c>
      <c r="E1744" s="66">
        <v>1.0</v>
      </c>
      <c r="F1744" s="66">
        <v>0.9623</v>
      </c>
      <c r="G1744" s="66">
        <v>0.5892</v>
      </c>
      <c r="I1744" s="82">
        <f t="shared" si="11"/>
        <v>0.6332315003</v>
      </c>
      <c r="J1744" s="82">
        <f t="shared" si="6"/>
        <v>0.6122830718</v>
      </c>
    </row>
    <row r="1745">
      <c r="A1745" s="83">
        <v>44816.0</v>
      </c>
      <c r="B1745" s="66">
        <v>2345.0</v>
      </c>
      <c r="C1745" s="66">
        <v>2.0</v>
      </c>
      <c r="D1745" s="66" t="s">
        <v>227</v>
      </c>
      <c r="E1745" s="66">
        <v>0.0</v>
      </c>
      <c r="F1745" s="66">
        <v>0.1677</v>
      </c>
      <c r="G1745" s="66">
        <v>0.0815</v>
      </c>
      <c r="I1745" s="82">
        <f t="shared" si="11"/>
        <v>1.057668712</v>
      </c>
      <c r="J1745" s="82">
        <f t="shared" si="6"/>
        <v>0.4859868813</v>
      </c>
    </row>
    <row r="1746">
      <c r="A1746" s="83">
        <v>44816.0</v>
      </c>
      <c r="B1746" s="66">
        <v>2345.0</v>
      </c>
      <c r="C1746" s="66">
        <v>2.0</v>
      </c>
      <c r="D1746" s="66" t="s">
        <v>228</v>
      </c>
      <c r="E1746" s="66">
        <v>1.0</v>
      </c>
      <c r="F1746" s="66">
        <v>0.7844</v>
      </c>
      <c r="G1746" s="66">
        <v>0.4759</v>
      </c>
      <c r="I1746" s="82">
        <f t="shared" si="11"/>
        <v>0.6482454297</v>
      </c>
      <c r="J1746" s="82">
        <f t="shared" si="6"/>
        <v>0.6067057624</v>
      </c>
    </row>
    <row r="1747">
      <c r="A1747" s="83">
        <v>44816.0</v>
      </c>
      <c r="B1747" s="66">
        <v>2345.0</v>
      </c>
      <c r="C1747" s="66">
        <v>3.0</v>
      </c>
      <c r="D1747" s="66" t="s">
        <v>227</v>
      </c>
      <c r="E1747" s="66">
        <v>1.0</v>
      </c>
      <c r="F1747" s="66">
        <v>0.5216</v>
      </c>
      <c r="G1747" s="66">
        <v>0.2291</v>
      </c>
      <c r="I1747" s="82">
        <f t="shared" si="11"/>
        <v>1.27673505</v>
      </c>
      <c r="J1747" s="82">
        <f t="shared" si="6"/>
        <v>0.4392254601</v>
      </c>
    </row>
    <row r="1748">
      <c r="A1748" s="83">
        <v>44816.0</v>
      </c>
      <c r="B1748" s="66">
        <v>2345.0</v>
      </c>
      <c r="C1748" s="66">
        <v>3.0</v>
      </c>
      <c r="D1748" s="66" t="s">
        <v>228</v>
      </c>
      <c r="E1748" s="66">
        <v>1.0</v>
      </c>
      <c r="F1748" s="66">
        <v>1.2334</v>
      </c>
      <c r="G1748" s="66">
        <v>0.7282</v>
      </c>
      <c r="I1748" s="82">
        <f t="shared" si="11"/>
        <v>0.6937654491</v>
      </c>
      <c r="J1748" s="82">
        <f t="shared" si="6"/>
        <v>0.5904005189</v>
      </c>
    </row>
    <row r="1749">
      <c r="A1749" s="83">
        <v>44816.0</v>
      </c>
      <c r="B1749" s="66">
        <v>2345.0</v>
      </c>
      <c r="C1749" s="66">
        <v>4.0</v>
      </c>
      <c r="D1749" s="66" t="s">
        <v>227</v>
      </c>
      <c r="E1749" s="66">
        <v>0.0</v>
      </c>
      <c r="F1749" s="66">
        <v>0.0777</v>
      </c>
      <c r="G1749" s="66">
        <v>0.0141</v>
      </c>
      <c r="I1749" s="82">
        <f t="shared" si="11"/>
        <v>4.510638298</v>
      </c>
      <c r="J1749" s="82">
        <f t="shared" si="6"/>
        <v>0.1814671815</v>
      </c>
    </row>
    <row r="1750">
      <c r="A1750" s="83">
        <v>44816.0</v>
      </c>
      <c r="B1750" s="66">
        <v>2345.0</v>
      </c>
      <c r="C1750" s="66">
        <v>4.0</v>
      </c>
      <c r="D1750" s="66" t="s">
        <v>227</v>
      </c>
      <c r="E1750" s="66">
        <v>1.0</v>
      </c>
      <c r="F1750" s="66">
        <v>0.3589</v>
      </c>
      <c r="G1750" s="66">
        <v>0.1695</v>
      </c>
      <c r="I1750" s="82">
        <f t="shared" si="11"/>
        <v>1.11740413</v>
      </c>
      <c r="J1750" s="82">
        <f t="shared" si="6"/>
        <v>0.4722764001</v>
      </c>
    </row>
    <row r="1751">
      <c r="A1751" s="83">
        <v>44816.0</v>
      </c>
      <c r="B1751" s="66">
        <v>2345.0</v>
      </c>
      <c r="C1751" s="66">
        <v>4.0</v>
      </c>
      <c r="D1751" s="66" t="s">
        <v>228</v>
      </c>
      <c r="E1751" s="66">
        <v>1.0</v>
      </c>
      <c r="F1751" s="66">
        <v>1.5513</v>
      </c>
      <c r="G1751" s="66">
        <v>0.8946</v>
      </c>
      <c r="I1751" s="82">
        <f t="shared" si="11"/>
        <v>0.7340710932</v>
      </c>
      <c r="J1751" s="82">
        <f t="shared" si="6"/>
        <v>0.5766776252</v>
      </c>
    </row>
    <row r="1752">
      <c r="A1752" s="83">
        <v>44816.0</v>
      </c>
      <c r="B1752" s="66">
        <v>2346.0</v>
      </c>
      <c r="C1752" s="66">
        <v>1.0</v>
      </c>
      <c r="D1752" s="66" t="s">
        <v>227</v>
      </c>
      <c r="E1752" s="66">
        <v>0.0</v>
      </c>
      <c r="F1752" s="66">
        <v>0.0864</v>
      </c>
      <c r="G1752" s="66">
        <v>0.0434</v>
      </c>
      <c r="I1752" s="82">
        <f t="shared" si="11"/>
        <v>0.9907834101</v>
      </c>
      <c r="J1752" s="82">
        <f t="shared" si="6"/>
        <v>0.5023148148</v>
      </c>
    </row>
    <row r="1753">
      <c r="A1753" s="83">
        <v>44816.0</v>
      </c>
      <c r="B1753" s="66">
        <v>2346.0</v>
      </c>
      <c r="C1753" s="66">
        <v>1.0</v>
      </c>
      <c r="D1753" s="66" t="s">
        <v>227</v>
      </c>
      <c r="E1753" s="66">
        <v>1.0</v>
      </c>
      <c r="F1753" s="66">
        <v>0.557</v>
      </c>
      <c r="G1753" s="66">
        <v>0.2875</v>
      </c>
      <c r="I1753" s="82">
        <f t="shared" si="11"/>
        <v>0.9373913043</v>
      </c>
      <c r="J1753" s="82">
        <f t="shared" si="6"/>
        <v>0.5161579892</v>
      </c>
    </row>
    <row r="1754">
      <c r="A1754" s="83">
        <v>44816.0</v>
      </c>
      <c r="B1754" s="66">
        <v>2346.0</v>
      </c>
      <c r="C1754" s="66">
        <v>1.0</v>
      </c>
      <c r="D1754" s="66" t="s">
        <v>228</v>
      </c>
      <c r="E1754" s="66">
        <v>0.0</v>
      </c>
      <c r="F1754" s="66">
        <v>0.2929</v>
      </c>
      <c r="G1754" s="66">
        <v>0.1499</v>
      </c>
      <c r="I1754" s="82">
        <f t="shared" si="11"/>
        <v>0.9539693129</v>
      </c>
      <c r="J1754" s="82">
        <f t="shared" si="6"/>
        <v>0.5117787641</v>
      </c>
    </row>
    <row r="1755">
      <c r="A1755" s="83">
        <v>44816.0</v>
      </c>
      <c r="B1755" s="66">
        <v>2346.0</v>
      </c>
      <c r="C1755" s="66">
        <v>2.0</v>
      </c>
      <c r="D1755" s="66" t="s">
        <v>227</v>
      </c>
      <c r="E1755" s="66">
        <v>1.0</v>
      </c>
      <c r="F1755" s="66">
        <v>0.174</v>
      </c>
      <c r="G1755" s="66">
        <v>0.0933</v>
      </c>
      <c r="I1755" s="82">
        <f t="shared" si="11"/>
        <v>0.8649517685</v>
      </c>
      <c r="J1755" s="82">
        <f t="shared" si="6"/>
        <v>0.5362068966</v>
      </c>
    </row>
    <row r="1756">
      <c r="A1756" s="83">
        <v>44816.0</v>
      </c>
      <c r="B1756" s="66">
        <v>2346.0</v>
      </c>
      <c r="C1756" s="66">
        <v>2.0</v>
      </c>
      <c r="D1756" s="66" t="s">
        <v>227</v>
      </c>
      <c r="E1756" s="66">
        <v>0.0</v>
      </c>
      <c r="F1756" s="66">
        <v>0.1446</v>
      </c>
      <c r="G1756" s="66">
        <v>0.0742</v>
      </c>
      <c r="I1756" s="82">
        <f t="shared" si="11"/>
        <v>0.948787062</v>
      </c>
      <c r="J1756" s="82">
        <f t="shared" si="6"/>
        <v>0.5131396957</v>
      </c>
    </row>
    <row r="1757">
      <c r="A1757" s="83">
        <v>44816.0</v>
      </c>
      <c r="B1757" s="66">
        <v>2346.0</v>
      </c>
      <c r="C1757" s="66">
        <v>2.0</v>
      </c>
      <c r="D1757" s="66" t="s">
        <v>228</v>
      </c>
      <c r="E1757" s="66">
        <v>0.0</v>
      </c>
      <c r="F1757" s="66">
        <v>0.65</v>
      </c>
      <c r="G1757" s="66">
        <v>0.3498</v>
      </c>
      <c r="I1757" s="82">
        <f t="shared" si="11"/>
        <v>0.8582046884</v>
      </c>
      <c r="J1757" s="82">
        <f t="shared" si="6"/>
        <v>0.5381538462</v>
      </c>
    </row>
    <row r="1758">
      <c r="A1758" s="83">
        <v>44816.0</v>
      </c>
      <c r="B1758" s="66">
        <v>2346.0</v>
      </c>
      <c r="C1758" s="66">
        <v>3.0</v>
      </c>
      <c r="D1758" s="66" t="s">
        <v>227</v>
      </c>
      <c r="E1758" s="66">
        <v>0.0</v>
      </c>
      <c r="F1758" s="66">
        <v>0.0888</v>
      </c>
      <c r="G1758" s="66">
        <v>0.0718</v>
      </c>
      <c r="I1758" s="82">
        <f t="shared" si="11"/>
        <v>0.2367688022</v>
      </c>
      <c r="J1758" s="82">
        <f t="shared" si="6"/>
        <v>0.8085585586</v>
      </c>
    </row>
    <row r="1759">
      <c r="A1759" s="83">
        <v>44816.0</v>
      </c>
      <c r="B1759" s="66">
        <v>2346.0</v>
      </c>
      <c r="C1759" s="66">
        <v>3.0</v>
      </c>
      <c r="D1759" s="66" t="s">
        <v>228</v>
      </c>
      <c r="E1759" s="66">
        <v>0.0</v>
      </c>
      <c r="F1759" s="66">
        <v>0.4596</v>
      </c>
      <c r="G1759" s="66">
        <v>0.3756</v>
      </c>
      <c r="I1759" s="82">
        <f t="shared" si="11"/>
        <v>0.2236421725</v>
      </c>
      <c r="J1759" s="82">
        <f t="shared" si="6"/>
        <v>0.817232376</v>
      </c>
    </row>
    <row r="1760">
      <c r="A1760" s="83">
        <v>44816.0</v>
      </c>
      <c r="B1760" s="66">
        <v>2346.0</v>
      </c>
      <c r="C1760" s="66">
        <v>3.0</v>
      </c>
      <c r="D1760" s="66" t="s">
        <v>227</v>
      </c>
      <c r="E1760" s="66">
        <v>1.0</v>
      </c>
      <c r="F1760" s="66">
        <v>0.1716</v>
      </c>
      <c r="G1760" s="66">
        <v>0.1288</v>
      </c>
      <c r="I1760" s="82">
        <f t="shared" si="11"/>
        <v>0.3322981366</v>
      </c>
      <c r="J1760" s="82">
        <f t="shared" si="6"/>
        <v>0.7505827506</v>
      </c>
    </row>
    <row r="1761">
      <c r="A1761" s="83">
        <v>44816.0</v>
      </c>
      <c r="B1761" s="66">
        <v>2347.0</v>
      </c>
      <c r="C1761" s="66">
        <v>1.0</v>
      </c>
      <c r="D1761" s="66" t="s">
        <v>227</v>
      </c>
      <c r="E1761" s="66">
        <v>1.0</v>
      </c>
      <c r="F1761" s="66">
        <v>0.451</v>
      </c>
      <c r="G1761" s="66">
        <v>0.2431</v>
      </c>
      <c r="I1761" s="82">
        <f t="shared" si="11"/>
        <v>0.8552036199</v>
      </c>
      <c r="J1761" s="82">
        <f t="shared" si="6"/>
        <v>0.5390243902</v>
      </c>
    </row>
    <row r="1762">
      <c r="A1762" s="83">
        <v>44816.0</v>
      </c>
      <c r="B1762" s="66">
        <v>2347.0</v>
      </c>
      <c r="C1762" s="66">
        <v>1.0</v>
      </c>
      <c r="D1762" s="66" t="s">
        <v>227</v>
      </c>
      <c r="E1762" s="66">
        <v>0.0</v>
      </c>
      <c r="F1762" s="66">
        <v>0.1527</v>
      </c>
      <c r="G1762" s="66">
        <v>0.0657</v>
      </c>
      <c r="I1762" s="82">
        <f t="shared" si="11"/>
        <v>1.324200913</v>
      </c>
      <c r="J1762" s="82">
        <f t="shared" si="6"/>
        <v>0.4302554028</v>
      </c>
    </row>
    <row r="1763">
      <c r="A1763" s="83">
        <v>44816.0</v>
      </c>
      <c r="B1763" s="66">
        <v>2347.0</v>
      </c>
      <c r="C1763" s="66">
        <v>1.0</v>
      </c>
      <c r="D1763" s="66" t="s">
        <v>228</v>
      </c>
      <c r="E1763" s="66">
        <v>0.0</v>
      </c>
      <c r="F1763" s="66">
        <v>0.8156</v>
      </c>
      <c r="G1763" s="66">
        <v>0.4407</v>
      </c>
      <c r="I1763" s="82">
        <f t="shared" si="11"/>
        <v>0.8506920808</v>
      </c>
      <c r="J1763" s="82">
        <f t="shared" si="6"/>
        <v>0.5403384012</v>
      </c>
    </row>
    <row r="1764">
      <c r="A1764" s="83">
        <v>44816.0</v>
      </c>
      <c r="B1764" s="66">
        <v>2347.0</v>
      </c>
      <c r="C1764" s="66">
        <v>1.0</v>
      </c>
      <c r="D1764" s="66" t="s">
        <v>227</v>
      </c>
      <c r="E1764" s="66">
        <v>1.0</v>
      </c>
      <c r="F1764" s="66">
        <v>0.3143</v>
      </c>
      <c r="G1764" s="66">
        <v>0.1644</v>
      </c>
      <c r="I1764" s="82">
        <f t="shared" si="11"/>
        <v>0.9118004866</v>
      </c>
      <c r="J1764" s="82">
        <f t="shared" si="6"/>
        <v>0.5230671333</v>
      </c>
    </row>
    <row r="1765">
      <c r="A1765" s="83">
        <v>44816.0</v>
      </c>
      <c r="B1765" s="66">
        <v>2347.0</v>
      </c>
      <c r="C1765" s="66">
        <v>1.0</v>
      </c>
      <c r="D1765" s="66" t="s">
        <v>227</v>
      </c>
      <c r="E1765" s="66">
        <v>0.0</v>
      </c>
      <c r="F1765" s="66">
        <v>0.145</v>
      </c>
      <c r="G1765" s="66">
        <v>0.0794</v>
      </c>
      <c r="I1765" s="82">
        <f t="shared" si="11"/>
        <v>0.8261964736</v>
      </c>
      <c r="J1765" s="82">
        <f t="shared" si="6"/>
        <v>0.5475862069</v>
      </c>
    </row>
    <row r="1766">
      <c r="A1766" s="83">
        <v>44816.0</v>
      </c>
      <c r="B1766" s="66">
        <v>2347.0</v>
      </c>
      <c r="C1766" s="66">
        <v>1.0</v>
      </c>
      <c r="D1766" s="66" t="s">
        <v>228</v>
      </c>
      <c r="E1766" s="66">
        <v>0.0</v>
      </c>
      <c r="F1766" s="66">
        <v>0.4842</v>
      </c>
      <c r="G1766" s="66">
        <v>0.2604</v>
      </c>
      <c r="I1766" s="82">
        <f t="shared" si="11"/>
        <v>0.8594470046</v>
      </c>
      <c r="J1766" s="82">
        <f t="shared" si="6"/>
        <v>0.5377942999</v>
      </c>
    </row>
    <row r="1767">
      <c r="A1767" s="83">
        <v>44816.0</v>
      </c>
      <c r="B1767" s="66">
        <v>2347.0</v>
      </c>
      <c r="C1767" s="66">
        <v>2.0</v>
      </c>
      <c r="D1767" s="66" t="s">
        <v>227</v>
      </c>
      <c r="E1767" s="66">
        <v>1.0</v>
      </c>
      <c r="F1767" s="66">
        <v>0.1942</v>
      </c>
      <c r="G1767" s="66">
        <v>0.1119</v>
      </c>
      <c r="I1767" s="82">
        <f t="shared" si="11"/>
        <v>0.7354781055</v>
      </c>
      <c r="J1767" s="82">
        <f t="shared" si="6"/>
        <v>0.5762100927</v>
      </c>
    </row>
    <row r="1768">
      <c r="A1768" s="83">
        <v>44816.0</v>
      </c>
      <c r="B1768" s="66">
        <v>2347.0</v>
      </c>
      <c r="C1768" s="66">
        <v>2.0</v>
      </c>
      <c r="D1768" s="66" t="s">
        <v>227</v>
      </c>
      <c r="E1768" s="66">
        <v>0.0</v>
      </c>
      <c r="F1768" s="66">
        <v>0.1283</v>
      </c>
      <c r="G1768" s="66">
        <v>0.0744</v>
      </c>
      <c r="I1768" s="82">
        <f t="shared" si="11"/>
        <v>0.7244623656</v>
      </c>
      <c r="J1768" s="82">
        <f t="shared" si="6"/>
        <v>0.5798908807</v>
      </c>
    </row>
    <row r="1769">
      <c r="A1769" s="83">
        <v>44816.0</v>
      </c>
      <c r="B1769" s="66">
        <v>2347.0</v>
      </c>
      <c r="C1769" s="66">
        <v>2.0</v>
      </c>
      <c r="D1769" s="66" t="s">
        <v>228</v>
      </c>
      <c r="E1769" s="66">
        <v>0.0</v>
      </c>
      <c r="F1769" s="66">
        <v>0.5159</v>
      </c>
      <c r="G1769" s="66">
        <v>0.2745</v>
      </c>
      <c r="I1769" s="82">
        <f t="shared" si="11"/>
        <v>0.879417122</v>
      </c>
      <c r="J1769" s="82">
        <f t="shared" si="6"/>
        <v>0.5320798604</v>
      </c>
    </row>
    <row r="1770">
      <c r="A1770" s="83">
        <v>44816.0</v>
      </c>
      <c r="B1770" s="66">
        <v>2347.0</v>
      </c>
      <c r="C1770" s="66">
        <v>3.0</v>
      </c>
      <c r="D1770" s="66" t="s">
        <v>227</v>
      </c>
      <c r="E1770" s="66">
        <v>0.0</v>
      </c>
      <c r="F1770" s="66">
        <v>0.0771</v>
      </c>
      <c r="G1770" s="66">
        <v>0.039</v>
      </c>
      <c r="I1770" s="82">
        <f t="shared" si="11"/>
        <v>0.9769230769</v>
      </c>
      <c r="J1770" s="82">
        <f t="shared" si="6"/>
        <v>0.5058365759</v>
      </c>
    </row>
    <row r="1771">
      <c r="A1771" s="83">
        <v>44816.0</v>
      </c>
      <c r="B1771" s="66">
        <v>2347.0</v>
      </c>
      <c r="C1771" s="66">
        <v>3.0</v>
      </c>
      <c r="D1771" s="66" t="s">
        <v>228</v>
      </c>
      <c r="E1771" s="66">
        <v>0.0</v>
      </c>
      <c r="F1771" s="66">
        <v>0.5044</v>
      </c>
      <c r="G1771" s="66">
        <v>0.2648</v>
      </c>
      <c r="I1771" s="82">
        <f t="shared" si="11"/>
        <v>0.9048338369</v>
      </c>
      <c r="J1771" s="82">
        <f t="shared" si="6"/>
        <v>0.5249801745</v>
      </c>
    </row>
    <row r="1772">
      <c r="A1772" s="83">
        <v>44816.0</v>
      </c>
      <c r="B1772" s="66">
        <v>2347.0</v>
      </c>
      <c r="C1772" s="66">
        <v>3.0</v>
      </c>
      <c r="D1772" s="66" t="s">
        <v>227</v>
      </c>
      <c r="E1772" s="66">
        <v>1.0</v>
      </c>
      <c r="F1772" s="66">
        <v>0.1668</v>
      </c>
      <c r="G1772" s="66">
        <v>0.0778</v>
      </c>
      <c r="I1772" s="82">
        <f t="shared" si="11"/>
        <v>1.143958869</v>
      </c>
      <c r="J1772" s="82">
        <f t="shared" si="6"/>
        <v>0.4664268585</v>
      </c>
    </row>
    <row r="1773">
      <c r="A1773" s="83">
        <v>44816.0</v>
      </c>
      <c r="B1773" s="66">
        <v>2352.0</v>
      </c>
      <c r="C1773" s="66">
        <v>1.0</v>
      </c>
      <c r="D1773" s="66" t="s">
        <v>227</v>
      </c>
      <c r="E1773" s="66">
        <v>1.0</v>
      </c>
      <c r="F1773" s="66">
        <v>0.1696</v>
      </c>
      <c r="G1773" s="66">
        <v>0.1018</v>
      </c>
      <c r="I1773" s="82">
        <f t="shared" si="11"/>
        <v>0.6660117878</v>
      </c>
      <c r="J1773" s="82">
        <f t="shared" si="6"/>
        <v>0.6002358491</v>
      </c>
    </row>
    <row r="1774">
      <c r="A1774" s="83">
        <v>44816.0</v>
      </c>
      <c r="B1774" s="66">
        <v>2352.0</v>
      </c>
      <c r="C1774" s="66">
        <v>1.0</v>
      </c>
      <c r="D1774" s="66" t="s">
        <v>228</v>
      </c>
      <c r="E1774" s="66">
        <v>1.0</v>
      </c>
      <c r="F1774" s="66">
        <v>0.9325</v>
      </c>
      <c r="G1774" s="66">
        <v>0.6112</v>
      </c>
      <c r="I1774" s="82">
        <f t="shared" si="11"/>
        <v>0.5256871728</v>
      </c>
      <c r="J1774" s="82">
        <f t="shared" si="6"/>
        <v>0.6554423592</v>
      </c>
    </row>
    <row r="1775">
      <c r="A1775" s="83">
        <v>44816.0</v>
      </c>
      <c r="B1775" s="66">
        <v>2354.0</v>
      </c>
      <c r="C1775" s="66">
        <v>1.0</v>
      </c>
      <c r="D1775" s="66" t="s">
        <v>228</v>
      </c>
      <c r="E1775" s="66">
        <v>1.0</v>
      </c>
      <c r="F1775" s="66">
        <v>0.89932</v>
      </c>
      <c r="G1775" s="66">
        <v>0.6028</v>
      </c>
      <c r="H1775" s="66" t="s">
        <v>299</v>
      </c>
      <c r="I1775" s="82">
        <f t="shared" si="11"/>
        <v>0.4919044459</v>
      </c>
      <c r="J1775" s="82">
        <f t="shared" si="6"/>
        <v>0.6702842147</v>
      </c>
    </row>
    <row r="1776">
      <c r="A1776" s="83">
        <v>44816.0</v>
      </c>
      <c r="B1776" s="66">
        <v>2354.0</v>
      </c>
      <c r="C1776" s="66">
        <v>2.0</v>
      </c>
      <c r="D1776" s="66" t="s">
        <v>227</v>
      </c>
      <c r="E1776" s="66">
        <v>1.0</v>
      </c>
      <c r="F1776" s="66">
        <v>0.3875</v>
      </c>
      <c r="G1776" s="66">
        <v>0.2204</v>
      </c>
      <c r="H1776" s="66" t="s">
        <v>299</v>
      </c>
      <c r="I1776" s="82">
        <f t="shared" si="11"/>
        <v>0.7581669691</v>
      </c>
      <c r="J1776" s="82">
        <f t="shared" si="6"/>
        <v>0.5687741935</v>
      </c>
    </row>
    <row r="1777">
      <c r="A1777" s="83">
        <v>44816.0</v>
      </c>
      <c r="B1777" s="66">
        <v>2360.0</v>
      </c>
      <c r="C1777" s="66">
        <v>1.0</v>
      </c>
      <c r="D1777" s="66" t="s">
        <v>227</v>
      </c>
      <c r="E1777" s="66">
        <v>0.0</v>
      </c>
      <c r="F1777" s="66">
        <v>0.3853</v>
      </c>
      <c r="G1777" s="66">
        <v>0.2077</v>
      </c>
      <c r="I1777" s="82">
        <f t="shared" si="11"/>
        <v>0.8550794415</v>
      </c>
      <c r="J1777" s="82">
        <f t="shared" si="6"/>
        <v>0.5390604724</v>
      </c>
    </row>
    <row r="1778">
      <c r="A1778" s="83">
        <v>44816.0</v>
      </c>
      <c r="B1778" s="66">
        <v>2360.0</v>
      </c>
      <c r="C1778" s="66">
        <v>1.0</v>
      </c>
      <c r="D1778" s="66" t="s">
        <v>227</v>
      </c>
      <c r="E1778" s="66">
        <v>1.0</v>
      </c>
      <c r="F1778" s="66">
        <v>0.2173</v>
      </c>
      <c r="G1778" s="66">
        <v>0.1154</v>
      </c>
      <c r="I1778" s="82">
        <f t="shared" si="11"/>
        <v>0.8830155979</v>
      </c>
      <c r="J1778" s="82">
        <f t="shared" si="6"/>
        <v>0.5310630465</v>
      </c>
    </row>
    <row r="1779">
      <c r="A1779" s="83">
        <v>44816.0</v>
      </c>
      <c r="B1779" s="66">
        <v>2360.0</v>
      </c>
      <c r="C1779" s="66">
        <v>1.0</v>
      </c>
      <c r="D1779" s="66" t="s">
        <v>227</v>
      </c>
      <c r="E1779" s="66">
        <v>1.0</v>
      </c>
      <c r="F1779" s="66">
        <v>0.2436</v>
      </c>
      <c r="G1779" s="66">
        <v>0.159</v>
      </c>
      <c r="I1779" s="82">
        <f t="shared" si="11"/>
        <v>0.5320754717</v>
      </c>
      <c r="J1779" s="82">
        <f t="shared" si="6"/>
        <v>0.6527093596</v>
      </c>
    </row>
    <row r="1780">
      <c r="A1780" s="83">
        <v>44816.0</v>
      </c>
      <c r="B1780" s="66">
        <v>2360.0</v>
      </c>
      <c r="C1780" s="66">
        <v>1.0</v>
      </c>
      <c r="D1780" s="66" t="s">
        <v>227</v>
      </c>
      <c r="E1780" s="66">
        <v>0.0</v>
      </c>
      <c r="F1780" s="66">
        <v>0.2061</v>
      </c>
      <c r="G1780" s="66">
        <v>0.1219</v>
      </c>
      <c r="I1780" s="82">
        <f t="shared" si="11"/>
        <v>0.6907301066</v>
      </c>
      <c r="J1780" s="82">
        <f t="shared" si="6"/>
        <v>0.5914604561</v>
      </c>
    </row>
    <row r="1781">
      <c r="A1781" s="83">
        <v>44816.0</v>
      </c>
      <c r="B1781" s="66">
        <v>2360.0</v>
      </c>
      <c r="C1781" s="66">
        <v>1.0</v>
      </c>
      <c r="D1781" s="66" t="s">
        <v>228</v>
      </c>
      <c r="E1781" s="66">
        <v>0.0</v>
      </c>
      <c r="F1781" s="66">
        <v>0.5944</v>
      </c>
      <c r="G1781" s="66">
        <v>0.3428</v>
      </c>
      <c r="I1781" s="82">
        <f t="shared" si="11"/>
        <v>0.7339556593</v>
      </c>
      <c r="J1781" s="82">
        <f t="shared" si="6"/>
        <v>0.5767160162</v>
      </c>
    </row>
    <row r="1782">
      <c r="A1782" s="83">
        <v>44816.0</v>
      </c>
      <c r="B1782" s="66">
        <v>2360.0</v>
      </c>
      <c r="C1782" s="66">
        <v>1.0</v>
      </c>
      <c r="D1782" s="66" t="s">
        <v>228</v>
      </c>
      <c r="E1782" s="66">
        <v>0.0</v>
      </c>
      <c r="F1782" s="66">
        <v>2.134</v>
      </c>
      <c r="G1782" s="66">
        <v>1.2164</v>
      </c>
      <c r="I1782" s="82">
        <f t="shared" si="11"/>
        <v>0.7543571194</v>
      </c>
      <c r="J1782" s="82">
        <f t="shared" si="6"/>
        <v>0.5700093721</v>
      </c>
    </row>
    <row r="1783">
      <c r="A1783" s="83">
        <v>44816.0</v>
      </c>
      <c r="B1783" s="66">
        <v>2360.0</v>
      </c>
      <c r="C1783" s="66">
        <v>1.0</v>
      </c>
      <c r="D1783" s="66" t="s">
        <v>227</v>
      </c>
      <c r="E1783" s="66">
        <v>1.0</v>
      </c>
      <c r="F1783" s="66">
        <v>1.13</v>
      </c>
      <c r="G1783" s="66">
        <v>0.6533</v>
      </c>
      <c r="I1783" s="82">
        <f t="shared" si="11"/>
        <v>0.7296800857</v>
      </c>
      <c r="J1783" s="82">
        <f t="shared" si="6"/>
        <v>0.5781415929</v>
      </c>
    </row>
    <row r="1784">
      <c r="A1784" s="83">
        <v>44816.0</v>
      </c>
      <c r="B1784" s="66">
        <v>2360.0</v>
      </c>
      <c r="C1784" s="66">
        <v>1.0</v>
      </c>
      <c r="D1784" s="66" t="s">
        <v>227</v>
      </c>
      <c r="E1784" s="66">
        <v>0.0</v>
      </c>
      <c r="F1784" s="66">
        <v>0.3776</v>
      </c>
      <c r="G1784" s="66">
        <v>0.2208</v>
      </c>
      <c r="I1784" s="82">
        <f t="shared" si="11"/>
        <v>0.7101449275</v>
      </c>
      <c r="J1784" s="82">
        <f t="shared" si="6"/>
        <v>0.5847457627</v>
      </c>
    </row>
    <row r="1785">
      <c r="A1785" s="83">
        <v>44816.0</v>
      </c>
      <c r="B1785" s="66">
        <v>2360.0</v>
      </c>
      <c r="C1785" s="66">
        <v>2.0</v>
      </c>
      <c r="D1785" s="66" t="s">
        <v>228</v>
      </c>
      <c r="E1785" s="66">
        <v>0.0</v>
      </c>
      <c r="F1785" s="66">
        <v>0.2837</v>
      </c>
      <c r="G1785" s="66">
        <v>0.1583</v>
      </c>
      <c r="I1785" s="82">
        <f t="shared" si="11"/>
        <v>0.792166772</v>
      </c>
      <c r="J1785" s="82">
        <f t="shared" si="6"/>
        <v>0.5579837857</v>
      </c>
    </row>
    <row r="1786">
      <c r="A1786" s="83">
        <v>44816.0</v>
      </c>
      <c r="B1786" s="66">
        <v>2360.0</v>
      </c>
      <c r="C1786" s="66">
        <v>2.0</v>
      </c>
      <c r="D1786" s="66" t="s">
        <v>227</v>
      </c>
      <c r="E1786" s="66">
        <v>0.0</v>
      </c>
      <c r="F1786" s="66">
        <v>0.4887</v>
      </c>
      <c r="G1786" s="66">
        <v>0.2395</v>
      </c>
      <c r="I1786" s="82">
        <f t="shared" si="11"/>
        <v>1.040501044</v>
      </c>
      <c r="J1786" s="82">
        <f t="shared" si="6"/>
        <v>0.4900757111</v>
      </c>
    </row>
    <row r="1787">
      <c r="A1787" s="83">
        <v>44816.0</v>
      </c>
      <c r="B1787" s="66">
        <v>2360.0</v>
      </c>
      <c r="C1787" s="66">
        <v>2.0</v>
      </c>
      <c r="D1787" s="66" t="s">
        <v>227</v>
      </c>
      <c r="E1787" s="66">
        <v>1.0</v>
      </c>
      <c r="F1787" s="66">
        <v>0.8483</v>
      </c>
      <c r="G1787" s="66">
        <v>0.4872</v>
      </c>
      <c r="I1787" s="82">
        <f t="shared" si="11"/>
        <v>0.7411740558</v>
      </c>
      <c r="J1787" s="82">
        <f t="shared" si="6"/>
        <v>0.5743251208</v>
      </c>
    </row>
    <row r="1788">
      <c r="A1788" s="83">
        <v>44816.0</v>
      </c>
      <c r="B1788" s="66">
        <v>2360.0</v>
      </c>
      <c r="C1788" s="66">
        <v>2.0</v>
      </c>
      <c r="D1788" s="66" t="s">
        <v>228</v>
      </c>
      <c r="E1788" s="66">
        <v>0.0</v>
      </c>
      <c r="F1788" s="66">
        <v>0.0709</v>
      </c>
      <c r="G1788" s="66">
        <v>0.0375</v>
      </c>
      <c r="I1788" s="82">
        <f t="shared" si="11"/>
        <v>0.8906666667</v>
      </c>
      <c r="J1788" s="82">
        <f t="shared" si="6"/>
        <v>0.5289139633</v>
      </c>
    </row>
    <row r="1789">
      <c r="A1789" s="83">
        <v>44816.0</v>
      </c>
      <c r="B1789" s="66">
        <v>2360.0</v>
      </c>
      <c r="C1789" s="66">
        <v>2.0</v>
      </c>
      <c r="D1789" s="66" t="s">
        <v>227</v>
      </c>
      <c r="E1789" s="66">
        <v>0.0</v>
      </c>
      <c r="F1789" s="66">
        <v>0.1303</v>
      </c>
      <c r="G1789" s="66">
        <v>0.0796</v>
      </c>
      <c r="I1789" s="82">
        <f t="shared" si="11"/>
        <v>0.6369346734</v>
      </c>
      <c r="J1789" s="82">
        <f t="shared" si="6"/>
        <v>0.6108979279</v>
      </c>
    </row>
    <row r="1790">
      <c r="A1790" s="83">
        <v>44816.0</v>
      </c>
      <c r="B1790" s="66">
        <v>2360.0</v>
      </c>
      <c r="C1790" s="66">
        <v>2.0</v>
      </c>
      <c r="D1790" s="66" t="s">
        <v>227</v>
      </c>
      <c r="E1790" s="66">
        <v>1.0</v>
      </c>
      <c r="F1790" s="66">
        <v>0.5255</v>
      </c>
      <c r="G1790" s="66">
        <v>0.2664</v>
      </c>
      <c r="I1790" s="82">
        <f t="shared" si="11"/>
        <v>0.9725975976</v>
      </c>
      <c r="J1790" s="82">
        <f t="shared" si="6"/>
        <v>0.5069457659</v>
      </c>
    </row>
    <row r="1791">
      <c r="A1791" s="83">
        <v>44816.0</v>
      </c>
      <c r="B1791" s="66">
        <v>2360.0</v>
      </c>
      <c r="C1791" s="66">
        <v>3.0</v>
      </c>
      <c r="D1791" s="66" t="s">
        <v>228</v>
      </c>
      <c r="E1791" s="66">
        <v>0.0</v>
      </c>
      <c r="F1791" s="66">
        <v>0.847</v>
      </c>
      <c r="G1791" s="66">
        <v>0.492</v>
      </c>
      <c r="I1791" s="82">
        <f t="shared" si="11"/>
        <v>0.7215447154</v>
      </c>
      <c r="J1791" s="82">
        <f t="shared" si="6"/>
        <v>0.5808736718</v>
      </c>
    </row>
    <row r="1792">
      <c r="A1792" s="83">
        <v>44816.0</v>
      </c>
      <c r="B1792" s="66">
        <v>2360.0</v>
      </c>
      <c r="C1792" s="66">
        <v>3.0</v>
      </c>
      <c r="D1792" s="66" t="s">
        <v>227</v>
      </c>
      <c r="E1792" s="66">
        <v>1.0</v>
      </c>
      <c r="F1792" s="66">
        <v>0.4308</v>
      </c>
      <c r="G1792" s="66">
        <v>0.2106</v>
      </c>
      <c r="I1792" s="82">
        <f t="shared" si="11"/>
        <v>1.045584046</v>
      </c>
      <c r="J1792" s="82">
        <f t="shared" si="6"/>
        <v>0.4888579387</v>
      </c>
    </row>
    <row r="1793">
      <c r="A1793" s="83">
        <v>44816.0</v>
      </c>
      <c r="B1793" s="66">
        <v>2360.0</v>
      </c>
      <c r="C1793" s="66">
        <v>3.0</v>
      </c>
      <c r="D1793" s="66" t="s">
        <v>227</v>
      </c>
      <c r="E1793" s="66">
        <v>0.0</v>
      </c>
      <c r="F1793" s="66">
        <v>0.2296</v>
      </c>
      <c r="G1793" s="66">
        <v>0.1186</v>
      </c>
      <c r="I1793" s="82">
        <f t="shared" si="11"/>
        <v>0.9359190556</v>
      </c>
      <c r="J1793" s="82">
        <f t="shared" si="6"/>
        <v>0.5165505226</v>
      </c>
    </row>
    <row r="1794">
      <c r="A1794" s="83">
        <v>44816.0</v>
      </c>
      <c r="B1794" s="66">
        <v>2369.0</v>
      </c>
      <c r="C1794" s="66">
        <v>1.0</v>
      </c>
      <c r="D1794" s="66" t="s">
        <v>227</v>
      </c>
      <c r="E1794" s="66">
        <v>1.0</v>
      </c>
      <c r="F1794" s="66">
        <v>0.2024</v>
      </c>
      <c r="G1794" s="66">
        <v>0.1105</v>
      </c>
      <c r="I1794" s="82">
        <f t="shared" si="11"/>
        <v>0.8316742081</v>
      </c>
      <c r="J1794" s="82">
        <f t="shared" si="6"/>
        <v>0.5459486166</v>
      </c>
    </row>
    <row r="1795">
      <c r="A1795" s="83">
        <v>44816.0</v>
      </c>
      <c r="B1795" s="66">
        <v>2369.0</v>
      </c>
      <c r="C1795" s="66">
        <v>1.0</v>
      </c>
      <c r="D1795" s="66" t="s">
        <v>227</v>
      </c>
      <c r="E1795" s="66">
        <v>0.0</v>
      </c>
      <c r="F1795" s="66">
        <v>0.0603</v>
      </c>
      <c r="G1795" s="66">
        <v>0.0319</v>
      </c>
      <c r="I1795" s="82">
        <f t="shared" si="11"/>
        <v>0.8902821317</v>
      </c>
      <c r="J1795" s="82">
        <f t="shared" si="6"/>
        <v>0.5290215589</v>
      </c>
    </row>
    <row r="1796">
      <c r="A1796" s="83">
        <v>44816.0</v>
      </c>
      <c r="B1796" s="66">
        <v>2369.0</v>
      </c>
      <c r="C1796" s="66">
        <v>1.0</v>
      </c>
      <c r="D1796" s="66" t="s">
        <v>228</v>
      </c>
      <c r="E1796" s="66">
        <v>0.0</v>
      </c>
      <c r="F1796" s="66">
        <v>0.1445</v>
      </c>
      <c r="G1796" s="66">
        <v>0.1061</v>
      </c>
      <c r="I1796" s="82">
        <f t="shared" si="11"/>
        <v>0.3619227144</v>
      </c>
      <c r="J1796" s="82">
        <f t="shared" si="6"/>
        <v>0.7342560554</v>
      </c>
    </row>
    <row r="1797">
      <c r="A1797" s="83">
        <v>44816.0</v>
      </c>
      <c r="B1797" s="66">
        <v>2370.0</v>
      </c>
      <c r="C1797" s="66">
        <v>1.0</v>
      </c>
      <c r="D1797" s="66" t="s">
        <v>227</v>
      </c>
      <c r="E1797" s="66">
        <v>0.0</v>
      </c>
      <c r="F1797" s="66">
        <v>0.1494</v>
      </c>
      <c r="G1797" s="66">
        <v>0.0665</v>
      </c>
      <c r="I1797" s="82">
        <f t="shared" si="11"/>
        <v>1.246616541</v>
      </c>
      <c r="J1797" s="82">
        <f t="shared" si="6"/>
        <v>0.4451137885</v>
      </c>
    </row>
    <row r="1798">
      <c r="A1798" s="83">
        <v>44816.0</v>
      </c>
      <c r="B1798" s="66">
        <v>2370.0</v>
      </c>
      <c r="C1798" s="66">
        <v>1.0</v>
      </c>
      <c r="D1798" s="66" t="s">
        <v>228</v>
      </c>
      <c r="E1798" s="66">
        <v>0.0</v>
      </c>
      <c r="F1798" s="66">
        <v>0.2221</v>
      </c>
      <c r="G1798" s="66">
        <v>0.1228</v>
      </c>
      <c r="I1798" s="82">
        <f t="shared" si="11"/>
        <v>0.8086319218</v>
      </c>
      <c r="J1798" s="82">
        <f t="shared" si="6"/>
        <v>0.5529040973</v>
      </c>
    </row>
    <row r="1799">
      <c r="A1799" s="83">
        <v>44816.0</v>
      </c>
      <c r="B1799" s="66">
        <v>2370.0</v>
      </c>
      <c r="C1799" s="66">
        <v>1.0</v>
      </c>
      <c r="D1799" s="66" t="s">
        <v>227</v>
      </c>
      <c r="E1799" s="66">
        <v>1.0</v>
      </c>
      <c r="F1799" s="66">
        <v>0.2589</v>
      </c>
      <c r="G1799" s="66">
        <v>0.1168</v>
      </c>
      <c r="I1799" s="82">
        <f t="shared" si="11"/>
        <v>1.216609589</v>
      </c>
      <c r="J1799" s="82">
        <f t="shared" si="6"/>
        <v>0.4511394361</v>
      </c>
    </row>
    <row r="1800">
      <c r="A1800" s="83">
        <v>44816.0</v>
      </c>
      <c r="B1800" s="66">
        <v>2370.0</v>
      </c>
      <c r="C1800" s="66">
        <v>2.0</v>
      </c>
      <c r="D1800" s="66" t="s">
        <v>228</v>
      </c>
      <c r="E1800" s="66">
        <v>0.0</v>
      </c>
      <c r="F1800" s="66">
        <v>0.197</v>
      </c>
      <c r="G1800" s="66">
        <v>0.1132</v>
      </c>
      <c r="I1800" s="82">
        <f t="shared" si="11"/>
        <v>0.7402826855</v>
      </c>
      <c r="J1800" s="82">
        <f t="shared" si="6"/>
        <v>0.5746192893</v>
      </c>
    </row>
    <row r="1801">
      <c r="A1801" s="83">
        <v>44816.0</v>
      </c>
      <c r="B1801" s="66">
        <v>2370.0</v>
      </c>
      <c r="C1801" s="66">
        <v>2.0</v>
      </c>
      <c r="D1801" s="66" t="s">
        <v>227</v>
      </c>
      <c r="E1801" s="66">
        <v>0.0</v>
      </c>
      <c r="F1801" s="66">
        <v>0.1014</v>
      </c>
      <c r="G1801" s="66">
        <v>0.0579</v>
      </c>
      <c r="I1801" s="82">
        <f t="shared" si="11"/>
        <v>0.7512953368</v>
      </c>
      <c r="J1801" s="82">
        <f t="shared" si="6"/>
        <v>0.5710059172</v>
      </c>
    </row>
    <row r="1802">
      <c r="A1802" s="83">
        <v>44816.0</v>
      </c>
      <c r="B1802" s="66">
        <v>2370.0</v>
      </c>
      <c r="C1802" s="66">
        <v>3.0</v>
      </c>
      <c r="D1802" s="66" t="s">
        <v>228</v>
      </c>
      <c r="E1802" s="66">
        <v>0.0</v>
      </c>
      <c r="F1802" s="66">
        <v>0.1455</v>
      </c>
      <c r="G1802" s="66">
        <v>0.0674</v>
      </c>
      <c r="I1802" s="82">
        <f t="shared" si="11"/>
        <v>1.158753709</v>
      </c>
      <c r="J1802" s="82">
        <f t="shared" si="6"/>
        <v>0.4632302405</v>
      </c>
    </row>
    <row r="1803">
      <c r="A1803" s="83">
        <v>44816.0</v>
      </c>
      <c r="B1803" s="66">
        <v>2370.0</v>
      </c>
      <c r="C1803" s="66">
        <v>3.0</v>
      </c>
      <c r="D1803" s="66" t="s">
        <v>227</v>
      </c>
      <c r="E1803" s="66">
        <v>0.0</v>
      </c>
      <c r="F1803" s="66">
        <v>0.0347</v>
      </c>
      <c r="G1803" s="66">
        <v>0.0165</v>
      </c>
      <c r="I1803" s="82">
        <f t="shared" si="11"/>
        <v>1.103030303</v>
      </c>
      <c r="J1803" s="82">
        <f t="shared" si="6"/>
        <v>0.4755043228</v>
      </c>
    </row>
    <row r="1804">
      <c r="A1804" s="83">
        <v>44816.0</v>
      </c>
      <c r="B1804" s="66">
        <v>2370.0</v>
      </c>
      <c r="C1804" s="66">
        <v>3.0</v>
      </c>
      <c r="D1804" s="66" t="s">
        <v>227</v>
      </c>
      <c r="E1804" s="66">
        <v>1.0</v>
      </c>
      <c r="F1804" s="66">
        <v>0.2707</v>
      </c>
      <c r="G1804" s="66">
        <v>0.1356</v>
      </c>
      <c r="I1804" s="82">
        <f t="shared" si="11"/>
        <v>0.9963126844</v>
      </c>
      <c r="J1804" s="82">
        <f t="shared" si="6"/>
        <v>0.5009235316</v>
      </c>
    </row>
    <row r="1805">
      <c r="A1805" s="83">
        <v>44816.0</v>
      </c>
      <c r="B1805" s="66">
        <v>2371.0</v>
      </c>
      <c r="C1805" s="66">
        <v>1.0</v>
      </c>
      <c r="D1805" s="66" t="s">
        <v>227</v>
      </c>
      <c r="E1805" s="66">
        <v>1.0</v>
      </c>
      <c r="F1805" s="66">
        <v>0.3087</v>
      </c>
      <c r="G1805" s="66">
        <v>0.1481</v>
      </c>
      <c r="I1805" s="82">
        <f t="shared" si="11"/>
        <v>1.084402431</v>
      </c>
      <c r="J1805" s="82">
        <f t="shared" si="6"/>
        <v>0.4797538063</v>
      </c>
    </row>
    <row r="1806">
      <c r="A1806" s="83">
        <v>44816.0</v>
      </c>
      <c r="B1806" s="66">
        <v>2371.0</v>
      </c>
      <c r="C1806" s="66">
        <v>1.0</v>
      </c>
      <c r="D1806" s="66" t="s">
        <v>227</v>
      </c>
      <c r="E1806" s="66">
        <v>0.0</v>
      </c>
      <c r="F1806" s="66">
        <v>0.2128</v>
      </c>
      <c r="G1806" s="66">
        <v>0.1025</v>
      </c>
      <c r="I1806" s="82">
        <f t="shared" si="11"/>
        <v>1.076097561</v>
      </c>
      <c r="J1806" s="82">
        <f t="shared" si="6"/>
        <v>0.4816729323</v>
      </c>
    </row>
    <row r="1807">
      <c r="A1807" s="83">
        <v>44816.0</v>
      </c>
      <c r="B1807" s="66">
        <v>2371.0</v>
      </c>
      <c r="C1807" s="66">
        <v>1.0</v>
      </c>
      <c r="D1807" s="66" t="s">
        <v>228</v>
      </c>
      <c r="E1807" s="66">
        <v>0.0</v>
      </c>
      <c r="F1807" s="66">
        <v>1.515</v>
      </c>
      <c r="G1807" s="66">
        <v>0.7622</v>
      </c>
      <c r="I1807" s="82">
        <f t="shared" si="11"/>
        <v>0.9876672789</v>
      </c>
      <c r="J1807" s="82">
        <f t="shared" si="6"/>
        <v>0.5031023102</v>
      </c>
    </row>
    <row r="1808">
      <c r="A1808" s="83">
        <v>44816.0</v>
      </c>
      <c r="B1808" s="66">
        <v>2372.0</v>
      </c>
      <c r="C1808" s="66">
        <v>1.0</v>
      </c>
      <c r="D1808" s="66" t="s">
        <v>227</v>
      </c>
      <c r="E1808" s="66">
        <v>1.0</v>
      </c>
      <c r="F1808" s="66">
        <v>0.279</v>
      </c>
      <c r="G1808" s="66">
        <v>0.1465</v>
      </c>
      <c r="I1808" s="82">
        <f t="shared" si="11"/>
        <v>0.9044368601</v>
      </c>
      <c r="J1808" s="82">
        <f t="shared" si="6"/>
        <v>0.5250896057</v>
      </c>
    </row>
    <row r="1809">
      <c r="A1809" s="83">
        <v>44816.0</v>
      </c>
      <c r="B1809" s="66">
        <v>2372.0</v>
      </c>
      <c r="C1809" s="66">
        <v>1.0</v>
      </c>
      <c r="D1809" s="66" t="s">
        <v>227</v>
      </c>
      <c r="E1809" s="66">
        <v>0.0</v>
      </c>
      <c r="F1809" s="66">
        <v>0.3204</v>
      </c>
      <c r="G1809" s="66">
        <v>0.1806</v>
      </c>
      <c r="I1809" s="82">
        <f t="shared" si="11"/>
        <v>0.7740863787</v>
      </c>
      <c r="J1809" s="82">
        <f t="shared" si="6"/>
        <v>0.563670412</v>
      </c>
    </row>
    <row r="1810">
      <c r="A1810" s="83">
        <v>44816.0</v>
      </c>
      <c r="B1810" s="66">
        <v>2372.0</v>
      </c>
      <c r="C1810" s="66">
        <v>1.0</v>
      </c>
      <c r="D1810" s="66" t="s">
        <v>228</v>
      </c>
      <c r="E1810" s="66">
        <v>0.0</v>
      </c>
      <c r="F1810" s="66">
        <v>0.3726</v>
      </c>
      <c r="G1810" s="66">
        <v>0.2242</v>
      </c>
      <c r="I1810" s="82">
        <f t="shared" si="11"/>
        <v>0.6619090098</v>
      </c>
      <c r="J1810" s="82">
        <f t="shared" si="6"/>
        <v>0.6017176597</v>
      </c>
    </row>
    <row r="1811">
      <c r="A1811" s="83">
        <v>44816.0</v>
      </c>
      <c r="B1811" s="66">
        <v>2372.0</v>
      </c>
      <c r="C1811" s="66">
        <v>1.0</v>
      </c>
      <c r="D1811" s="66" t="s">
        <v>228</v>
      </c>
      <c r="E1811" s="66">
        <v>0.0</v>
      </c>
      <c r="F1811" s="66">
        <v>0.5315</v>
      </c>
      <c r="G1811" s="66">
        <v>0.3226</v>
      </c>
      <c r="I1811" s="82">
        <f t="shared" si="11"/>
        <v>0.6475511469</v>
      </c>
      <c r="J1811" s="82">
        <f t="shared" si="6"/>
        <v>0.6069614299</v>
      </c>
    </row>
    <row r="1812">
      <c r="A1812" s="83">
        <v>44816.0</v>
      </c>
      <c r="B1812" s="66">
        <v>2375.0</v>
      </c>
      <c r="C1812" s="66">
        <v>1.0</v>
      </c>
      <c r="D1812" s="66" t="s">
        <v>227</v>
      </c>
      <c r="E1812" s="66">
        <v>1.0</v>
      </c>
      <c r="F1812" s="66">
        <v>0.4143</v>
      </c>
      <c r="G1812" s="66">
        <v>0.2006</v>
      </c>
      <c r="I1812" s="82">
        <f t="shared" si="11"/>
        <v>1.065304088</v>
      </c>
      <c r="J1812" s="82">
        <f t="shared" si="6"/>
        <v>0.4841902003</v>
      </c>
    </row>
    <row r="1813">
      <c r="A1813" s="83">
        <v>44816.0</v>
      </c>
      <c r="B1813" s="66">
        <v>2375.0</v>
      </c>
      <c r="C1813" s="66">
        <v>1.0</v>
      </c>
      <c r="D1813" s="66" t="s">
        <v>227</v>
      </c>
      <c r="E1813" s="66">
        <v>0.0</v>
      </c>
      <c r="F1813" s="66">
        <v>0.2189</v>
      </c>
      <c r="G1813" s="66">
        <v>0.1083</v>
      </c>
      <c r="I1813" s="82">
        <f t="shared" si="11"/>
        <v>1.021237304</v>
      </c>
      <c r="J1813" s="82">
        <f t="shared" si="6"/>
        <v>0.4947464596</v>
      </c>
    </row>
    <row r="1814">
      <c r="A1814" s="83">
        <v>44816.0</v>
      </c>
      <c r="B1814" s="66">
        <v>2375.0</v>
      </c>
      <c r="C1814" s="66">
        <v>1.0</v>
      </c>
      <c r="D1814" s="66" t="s">
        <v>228</v>
      </c>
      <c r="E1814" s="66">
        <v>0.0</v>
      </c>
      <c r="F1814" s="66">
        <v>1.2112</v>
      </c>
      <c r="G1814" s="66">
        <v>0.623</v>
      </c>
      <c r="I1814" s="82">
        <f t="shared" si="11"/>
        <v>0.944141252</v>
      </c>
      <c r="J1814" s="82">
        <f t="shared" si="6"/>
        <v>0.5143659181</v>
      </c>
    </row>
    <row r="1815">
      <c r="A1815" s="83">
        <v>44816.0</v>
      </c>
      <c r="B1815" s="66">
        <v>2376.0</v>
      </c>
      <c r="C1815" s="66">
        <v>1.0</v>
      </c>
      <c r="D1815" s="66" t="s">
        <v>228</v>
      </c>
      <c r="E1815" s="66">
        <v>1.0</v>
      </c>
      <c r="F1815" s="66">
        <v>0.6492</v>
      </c>
      <c r="G1815" s="66">
        <v>0.4287</v>
      </c>
      <c r="I1815" s="82">
        <f t="shared" si="11"/>
        <v>0.5143456963</v>
      </c>
      <c r="J1815" s="82">
        <f t="shared" si="6"/>
        <v>0.6603512015</v>
      </c>
    </row>
    <row r="1816">
      <c r="A1816" s="83">
        <v>44816.0</v>
      </c>
      <c r="B1816" s="66">
        <v>2376.0</v>
      </c>
      <c r="C1816" s="66">
        <v>1.0</v>
      </c>
      <c r="D1816" s="66" t="s">
        <v>227</v>
      </c>
      <c r="E1816" s="66">
        <v>1.0</v>
      </c>
      <c r="F1816" s="66">
        <v>0.4306</v>
      </c>
      <c r="G1816" s="66">
        <v>0.252</v>
      </c>
      <c r="I1816" s="82">
        <f t="shared" si="11"/>
        <v>0.7087301587</v>
      </c>
      <c r="J1816" s="82">
        <f t="shared" si="6"/>
        <v>0.5852299118</v>
      </c>
    </row>
    <row r="1817">
      <c r="A1817" s="83">
        <v>44816.0</v>
      </c>
      <c r="B1817" s="66">
        <v>2376.0</v>
      </c>
      <c r="C1817" s="66">
        <v>1.0</v>
      </c>
      <c r="D1817" s="66" t="s">
        <v>227</v>
      </c>
      <c r="E1817" s="66">
        <v>1.0</v>
      </c>
      <c r="F1817" s="66">
        <v>0.7944</v>
      </c>
      <c r="G1817" s="66">
        <v>0.4627</v>
      </c>
      <c r="H1817" s="66" t="s">
        <v>300</v>
      </c>
      <c r="I1817" s="82">
        <f t="shared" si="11"/>
        <v>0.7168791874</v>
      </c>
      <c r="J1817" s="82">
        <f t="shared" si="6"/>
        <v>0.5824521652</v>
      </c>
    </row>
    <row r="1818">
      <c r="A1818" s="83">
        <v>44816.0</v>
      </c>
      <c r="B1818" s="66">
        <v>2376.0</v>
      </c>
      <c r="C1818" s="66">
        <v>1.0</v>
      </c>
      <c r="D1818" s="66" t="s">
        <v>228</v>
      </c>
      <c r="E1818" s="66">
        <v>1.0</v>
      </c>
      <c r="F1818" s="66">
        <v>3.0732</v>
      </c>
      <c r="G1818" s="66">
        <v>1.9561</v>
      </c>
      <c r="H1818" s="66" t="s">
        <v>301</v>
      </c>
      <c r="I1818" s="82">
        <f t="shared" si="11"/>
        <v>0.5710853228</v>
      </c>
      <c r="J1818" s="82">
        <f t="shared" si="6"/>
        <v>0.6365026682</v>
      </c>
    </row>
    <row r="1819">
      <c r="A1819" s="83">
        <v>44816.0</v>
      </c>
      <c r="B1819" s="66">
        <v>2376.0</v>
      </c>
      <c r="C1819" s="66">
        <v>2.0</v>
      </c>
      <c r="D1819" s="66" t="s">
        <v>228</v>
      </c>
      <c r="E1819" s="66">
        <v>1.0</v>
      </c>
      <c r="F1819" s="66">
        <v>1.8667</v>
      </c>
      <c r="G1819" s="66">
        <v>1.1845</v>
      </c>
      <c r="I1819" s="82">
        <f t="shared" si="11"/>
        <v>0.5759392149</v>
      </c>
      <c r="J1819" s="82">
        <f t="shared" si="6"/>
        <v>0.6345422403</v>
      </c>
    </row>
    <row r="1820">
      <c r="A1820" s="83">
        <v>44816.0</v>
      </c>
      <c r="B1820" s="66">
        <v>2376.0</v>
      </c>
      <c r="C1820" s="66">
        <v>2.0</v>
      </c>
      <c r="D1820" s="66" t="s">
        <v>227</v>
      </c>
      <c r="E1820" s="66">
        <v>1.0</v>
      </c>
      <c r="F1820" s="66">
        <v>0.4371</v>
      </c>
      <c r="G1820" s="66">
        <v>0.2513</v>
      </c>
      <c r="I1820" s="82">
        <f t="shared" si="11"/>
        <v>0.7393553522</v>
      </c>
      <c r="J1820" s="82">
        <f t="shared" si="6"/>
        <v>0.5749256463</v>
      </c>
    </row>
    <row r="1821">
      <c r="A1821" s="83">
        <v>44816.0</v>
      </c>
      <c r="B1821" s="66">
        <v>2376.0</v>
      </c>
      <c r="C1821" s="66">
        <v>3.0</v>
      </c>
      <c r="D1821" s="66" t="s">
        <v>227</v>
      </c>
      <c r="E1821" s="66">
        <v>1.0</v>
      </c>
      <c r="F1821" s="66">
        <v>1.6596</v>
      </c>
      <c r="G1821" s="66">
        <v>0.9618</v>
      </c>
      <c r="I1821" s="82">
        <f t="shared" si="11"/>
        <v>0.72551466</v>
      </c>
      <c r="J1821" s="82">
        <f t="shared" si="6"/>
        <v>0.5795372379</v>
      </c>
    </row>
    <row r="1822">
      <c r="A1822" s="83">
        <v>44816.0</v>
      </c>
      <c r="B1822" s="66">
        <v>2377.0</v>
      </c>
      <c r="C1822" s="66">
        <v>1.0</v>
      </c>
      <c r="D1822" s="66" t="s">
        <v>227</v>
      </c>
      <c r="E1822" s="66">
        <v>1.0</v>
      </c>
      <c r="F1822" s="66">
        <v>0.1074</v>
      </c>
      <c r="G1822" s="66">
        <v>0.058</v>
      </c>
      <c r="I1822" s="82">
        <f t="shared" si="11"/>
        <v>0.8517241379</v>
      </c>
      <c r="J1822" s="82">
        <f t="shared" si="6"/>
        <v>0.5400372439</v>
      </c>
    </row>
    <row r="1823">
      <c r="A1823" s="83">
        <v>44816.0</v>
      </c>
      <c r="B1823" s="66">
        <v>2377.0</v>
      </c>
      <c r="C1823" s="66">
        <v>1.0</v>
      </c>
      <c r="D1823" s="66" t="s">
        <v>227</v>
      </c>
      <c r="E1823" s="66">
        <v>0.0</v>
      </c>
      <c r="F1823" s="66">
        <v>0.0766</v>
      </c>
      <c r="G1823" s="66">
        <v>0.0433</v>
      </c>
      <c r="I1823" s="82">
        <f t="shared" si="11"/>
        <v>0.7690531178</v>
      </c>
      <c r="J1823" s="82">
        <f t="shared" si="6"/>
        <v>0.5652741514</v>
      </c>
    </row>
    <row r="1824">
      <c r="A1824" s="83">
        <v>44816.0</v>
      </c>
      <c r="B1824" s="66">
        <v>2378.0</v>
      </c>
      <c r="C1824" s="66">
        <v>1.0</v>
      </c>
      <c r="D1824" s="66" t="s">
        <v>227</v>
      </c>
      <c r="E1824" s="66">
        <v>1.0</v>
      </c>
      <c r="F1824" s="66">
        <v>0.1642</v>
      </c>
      <c r="G1824" s="66">
        <v>0.0902</v>
      </c>
      <c r="I1824" s="82">
        <f t="shared" si="11"/>
        <v>0.8203991131</v>
      </c>
      <c r="J1824" s="82">
        <f t="shared" si="6"/>
        <v>0.5493300853</v>
      </c>
    </row>
    <row r="1825">
      <c r="A1825" s="83">
        <v>44816.0</v>
      </c>
      <c r="B1825" s="66">
        <v>2378.0</v>
      </c>
      <c r="C1825" s="66">
        <v>1.0</v>
      </c>
      <c r="D1825" s="66" t="s">
        <v>227</v>
      </c>
      <c r="E1825" s="66">
        <v>0.0</v>
      </c>
      <c r="F1825" s="66">
        <v>0.2692</v>
      </c>
      <c r="G1825" s="66">
        <v>0.1555</v>
      </c>
      <c r="I1825" s="82">
        <f t="shared" si="11"/>
        <v>0.7311897106</v>
      </c>
      <c r="J1825" s="82">
        <f t="shared" si="6"/>
        <v>0.5776374443</v>
      </c>
    </row>
    <row r="1826">
      <c r="A1826" s="83">
        <v>44816.0</v>
      </c>
      <c r="B1826" s="66">
        <v>2378.0</v>
      </c>
      <c r="C1826" s="66">
        <v>1.0</v>
      </c>
      <c r="D1826" s="66" t="s">
        <v>228</v>
      </c>
      <c r="E1826" s="66">
        <v>0.0</v>
      </c>
      <c r="F1826" s="66">
        <v>0.9124</v>
      </c>
      <c r="G1826" s="66">
        <v>0.4933</v>
      </c>
      <c r="I1826" s="82">
        <f t="shared" si="11"/>
        <v>0.8495844314</v>
      </c>
      <c r="J1826" s="82">
        <f t="shared" si="6"/>
        <v>0.5406619904</v>
      </c>
    </row>
    <row r="1827">
      <c r="A1827" s="83">
        <v>44816.0</v>
      </c>
      <c r="B1827" s="66">
        <v>2380.0</v>
      </c>
      <c r="C1827" s="66">
        <v>1.0</v>
      </c>
      <c r="D1827" s="66" t="s">
        <v>228</v>
      </c>
      <c r="E1827" s="66">
        <v>0.0</v>
      </c>
      <c r="F1827" s="66">
        <v>0.5724</v>
      </c>
      <c r="G1827" s="66">
        <v>0.3455</v>
      </c>
      <c r="I1827" s="82">
        <f t="shared" si="11"/>
        <v>0.6567293777</v>
      </c>
      <c r="J1827" s="82">
        <f t="shared" si="6"/>
        <v>0.6035988819</v>
      </c>
    </row>
    <row r="1828">
      <c r="A1828" s="83">
        <v>44816.0</v>
      </c>
      <c r="B1828" s="66">
        <v>2380.0</v>
      </c>
      <c r="C1828" s="66">
        <v>1.0</v>
      </c>
      <c r="D1828" s="66" t="s">
        <v>227</v>
      </c>
      <c r="E1828" s="66">
        <v>0.0</v>
      </c>
      <c r="F1828" s="66">
        <v>0.1599</v>
      </c>
      <c r="G1828" s="66">
        <v>0.0851</v>
      </c>
      <c r="I1828" s="82">
        <f t="shared" si="11"/>
        <v>0.8789659224</v>
      </c>
      <c r="J1828" s="82">
        <f t="shared" si="6"/>
        <v>0.5322076298</v>
      </c>
    </row>
    <row r="1829">
      <c r="A1829" s="83">
        <v>44816.0</v>
      </c>
      <c r="B1829" s="66">
        <v>2380.0</v>
      </c>
      <c r="C1829" s="66">
        <v>2.0</v>
      </c>
      <c r="D1829" s="66" t="s">
        <v>228</v>
      </c>
      <c r="E1829" s="66">
        <v>0.0</v>
      </c>
      <c r="F1829" s="66">
        <v>1.457</v>
      </c>
      <c r="G1829" s="66">
        <v>0.7768</v>
      </c>
      <c r="I1829" s="82">
        <f t="shared" si="11"/>
        <v>0.8756436663</v>
      </c>
      <c r="J1829" s="82">
        <f t="shared" si="6"/>
        <v>0.5331503089</v>
      </c>
    </row>
    <row r="1830">
      <c r="A1830" s="83">
        <v>44816.0</v>
      </c>
      <c r="B1830" s="66">
        <v>2380.0</v>
      </c>
      <c r="C1830" s="66">
        <v>2.0</v>
      </c>
      <c r="D1830" s="66" t="s">
        <v>227</v>
      </c>
      <c r="E1830" s="66">
        <v>0.0</v>
      </c>
      <c r="F1830" s="66">
        <v>0.2965</v>
      </c>
      <c r="G1830" s="66">
        <v>0.1536</v>
      </c>
      <c r="I1830" s="82">
        <f t="shared" si="11"/>
        <v>0.9303385417</v>
      </c>
      <c r="J1830" s="82">
        <f t="shared" si="6"/>
        <v>0.5180438449</v>
      </c>
    </row>
    <row r="1831">
      <c r="A1831" s="83">
        <v>44816.0</v>
      </c>
      <c r="B1831" s="66">
        <v>2380.0</v>
      </c>
      <c r="C1831" s="66">
        <v>2.0</v>
      </c>
      <c r="D1831" s="66" t="s">
        <v>227</v>
      </c>
      <c r="E1831" s="66">
        <v>1.0</v>
      </c>
      <c r="F1831" s="66">
        <v>0.398</v>
      </c>
      <c r="G1831" s="66">
        <v>0.2214</v>
      </c>
      <c r="I1831" s="82">
        <f t="shared" si="11"/>
        <v>0.7976513098</v>
      </c>
      <c r="J1831" s="82">
        <f t="shared" si="6"/>
        <v>0.556281407</v>
      </c>
    </row>
    <row r="1832">
      <c r="A1832" s="83">
        <v>44816.0</v>
      </c>
      <c r="B1832" s="66">
        <v>2380.0</v>
      </c>
      <c r="C1832" s="66">
        <v>2.0</v>
      </c>
      <c r="D1832" s="66" t="s">
        <v>228</v>
      </c>
      <c r="E1832" s="66">
        <v>1.0</v>
      </c>
      <c r="F1832" s="66">
        <v>0.5604</v>
      </c>
      <c r="G1832" s="66">
        <v>0.3062</v>
      </c>
      <c r="I1832" s="82">
        <f t="shared" si="11"/>
        <v>0.8301763553</v>
      </c>
      <c r="J1832" s="82">
        <f t="shared" si="6"/>
        <v>0.5463954318</v>
      </c>
    </row>
    <row r="1833">
      <c r="A1833" s="83">
        <v>44816.0</v>
      </c>
      <c r="B1833" s="66">
        <v>2380.0</v>
      </c>
      <c r="C1833" s="66">
        <v>3.0</v>
      </c>
      <c r="D1833" s="66" t="s">
        <v>227</v>
      </c>
      <c r="E1833" s="66">
        <v>1.0</v>
      </c>
      <c r="F1833" s="66">
        <v>0.6805</v>
      </c>
      <c r="G1833" s="66">
        <v>0.3863</v>
      </c>
      <c r="I1833" s="82">
        <f t="shared" si="11"/>
        <v>0.7615842609</v>
      </c>
      <c r="J1833" s="82">
        <f t="shared" si="6"/>
        <v>0.5676708303</v>
      </c>
    </row>
    <row r="1834">
      <c r="A1834" s="83">
        <v>44816.0</v>
      </c>
      <c r="B1834" s="66">
        <v>2380.0</v>
      </c>
      <c r="C1834" s="66">
        <v>3.0</v>
      </c>
      <c r="D1834" s="66" t="s">
        <v>227</v>
      </c>
      <c r="E1834" s="66">
        <v>0.0</v>
      </c>
      <c r="F1834" s="66">
        <v>0.029</v>
      </c>
      <c r="G1834" s="66">
        <v>0.0166</v>
      </c>
      <c r="I1834" s="82">
        <f t="shared" si="11"/>
        <v>0.7469879518</v>
      </c>
      <c r="J1834" s="82">
        <f t="shared" si="6"/>
        <v>0.5724137931</v>
      </c>
    </row>
    <row r="1835">
      <c r="A1835" s="83">
        <v>44816.0</v>
      </c>
      <c r="B1835" s="66">
        <v>2380.0</v>
      </c>
      <c r="C1835" s="66">
        <v>3.0</v>
      </c>
      <c r="D1835" s="66" t="s">
        <v>228</v>
      </c>
      <c r="E1835" s="66">
        <v>1.0</v>
      </c>
      <c r="F1835" s="66">
        <v>1.3045</v>
      </c>
      <c r="G1835" s="66">
        <v>0.7866</v>
      </c>
      <c r="I1835" s="82">
        <f t="shared" si="11"/>
        <v>0.6584032545</v>
      </c>
      <c r="J1835" s="82">
        <f t="shared" si="6"/>
        <v>0.6029896512</v>
      </c>
    </row>
    <row r="1836">
      <c r="A1836" s="83">
        <v>44816.0</v>
      </c>
      <c r="B1836" s="66">
        <v>2380.0</v>
      </c>
      <c r="C1836" s="66">
        <v>3.0</v>
      </c>
      <c r="D1836" s="66" t="s">
        <v>228</v>
      </c>
      <c r="E1836" s="66">
        <v>0.0</v>
      </c>
      <c r="F1836" s="66">
        <v>0.3639</v>
      </c>
      <c r="G1836" s="66">
        <v>0.2123</v>
      </c>
      <c r="I1836" s="82">
        <f t="shared" si="11"/>
        <v>0.7140838436</v>
      </c>
      <c r="J1836" s="82">
        <f t="shared" si="6"/>
        <v>0.5834020335</v>
      </c>
    </row>
    <row r="1837">
      <c r="A1837" s="83">
        <v>44816.0</v>
      </c>
      <c r="B1837" s="66">
        <v>2383.0</v>
      </c>
      <c r="C1837" s="66">
        <v>1.0</v>
      </c>
      <c r="D1837" s="66" t="s">
        <v>227</v>
      </c>
      <c r="E1837" s="66">
        <v>1.0</v>
      </c>
      <c r="F1837" s="66">
        <v>0.3675</v>
      </c>
      <c r="G1837" s="66">
        <v>0.1987</v>
      </c>
      <c r="I1837" s="82">
        <f t="shared" si="11"/>
        <v>0.8495218923</v>
      </c>
      <c r="J1837" s="82">
        <f t="shared" si="6"/>
        <v>0.5406802721</v>
      </c>
    </row>
    <row r="1838">
      <c r="A1838" s="83">
        <v>44816.0</v>
      </c>
      <c r="B1838" s="66">
        <v>2383.0</v>
      </c>
      <c r="C1838" s="66">
        <v>1.0</v>
      </c>
      <c r="D1838" s="66" t="s">
        <v>227</v>
      </c>
      <c r="E1838" s="66">
        <v>0.0</v>
      </c>
      <c r="F1838" s="66">
        <v>0.2599</v>
      </c>
      <c r="G1838" s="66">
        <v>0.1498</v>
      </c>
      <c r="I1838" s="82">
        <f t="shared" si="11"/>
        <v>0.7349799733</v>
      </c>
      <c r="J1838" s="82">
        <f t="shared" si="6"/>
        <v>0.576375529</v>
      </c>
    </row>
    <row r="1839">
      <c r="A1839" s="83">
        <v>44816.0</v>
      </c>
      <c r="B1839" s="66">
        <v>2383.0</v>
      </c>
      <c r="C1839" s="66">
        <v>1.0</v>
      </c>
      <c r="D1839" s="66" t="s">
        <v>228</v>
      </c>
      <c r="E1839" s="66">
        <v>0.0</v>
      </c>
      <c r="F1839" s="66">
        <v>0.4466</v>
      </c>
      <c r="G1839" s="66">
        <v>0.2599</v>
      </c>
      <c r="I1839" s="82">
        <f t="shared" si="11"/>
        <v>0.7183532128</v>
      </c>
      <c r="J1839" s="82">
        <f t="shared" si="6"/>
        <v>0.5819525302</v>
      </c>
    </row>
    <row r="1840">
      <c r="A1840" s="101">
        <v>44819.0</v>
      </c>
      <c r="B1840" s="111">
        <v>1475.0</v>
      </c>
      <c r="C1840" s="111">
        <v>1.0</v>
      </c>
      <c r="D1840" s="110" t="s">
        <v>228</v>
      </c>
      <c r="E1840" s="112">
        <v>0.0</v>
      </c>
      <c r="F1840" s="111">
        <v>0.6019</v>
      </c>
      <c r="G1840" s="111">
        <v>0.3031</v>
      </c>
      <c r="H1840" s="88"/>
      <c r="I1840" s="82">
        <f t="shared" si="11"/>
        <v>0.9858132629</v>
      </c>
      <c r="J1840" s="82">
        <f t="shared" si="6"/>
        <v>0.5035720219</v>
      </c>
    </row>
    <row r="1841">
      <c r="A1841" s="101">
        <v>44819.0</v>
      </c>
      <c r="B1841" s="111">
        <v>1475.0</v>
      </c>
      <c r="C1841" s="111">
        <v>1.0</v>
      </c>
      <c r="D1841" s="110" t="s">
        <v>227</v>
      </c>
      <c r="E1841" s="112">
        <v>0.0</v>
      </c>
      <c r="F1841" s="111">
        <v>0.1817</v>
      </c>
      <c r="G1841" s="111">
        <v>0.0796</v>
      </c>
      <c r="H1841" s="88"/>
      <c r="I1841" s="82">
        <f t="shared" si="11"/>
        <v>1.282663317</v>
      </c>
      <c r="J1841" s="82">
        <f t="shared" si="6"/>
        <v>0.4380847551</v>
      </c>
    </row>
    <row r="1842">
      <c r="A1842" s="101">
        <v>44819.0</v>
      </c>
      <c r="B1842" s="111">
        <v>1475.0</v>
      </c>
      <c r="C1842" s="111">
        <v>1.0</v>
      </c>
      <c r="D1842" s="110" t="s">
        <v>227</v>
      </c>
      <c r="E1842" s="112">
        <v>1.0</v>
      </c>
      <c r="F1842" s="111">
        <v>0.1509</v>
      </c>
      <c r="G1842" s="111">
        <v>0.0724</v>
      </c>
      <c r="H1842" s="88"/>
      <c r="I1842" s="82">
        <f t="shared" si="11"/>
        <v>1.084254144</v>
      </c>
      <c r="J1842" s="82">
        <f t="shared" si="6"/>
        <v>0.479787939</v>
      </c>
    </row>
    <row r="1843">
      <c r="A1843" s="101">
        <v>44819.0</v>
      </c>
      <c r="B1843" s="111">
        <v>1475.0</v>
      </c>
      <c r="C1843" s="111">
        <v>2.0</v>
      </c>
      <c r="D1843" s="110" t="s">
        <v>228</v>
      </c>
      <c r="E1843" s="112">
        <v>0.0</v>
      </c>
      <c r="F1843" s="111">
        <v>2.2885</v>
      </c>
      <c r="G1843" s="111">
        <v>1.2023</v>
      </c>
      <c r="H1843" s="88"/>
      <c r="I1843" s="82">
        <f t="shared" si="11"/>
        <v>0.9034350828</v>
      </c>
      <c r="J1843" s="82">
        <f t="shared" si="6"/>
        <v>0.5253659602</v>
      </c>
    </row>
    <row r="1844">
      <c r="A1844" s="101">
        <v>44819.0</v>
      </c>
      <c r="B1844" s="111">
        <v>1475.0</v>
      </c>
      <c r="C1844" s="111">
        <v>2.0</v>
      </c>
      <c r="D1844" s="110" t="s">
        <v>227</v>
      </c>
      <c r="E1844" s="112">
        <v>0.0</v>
      </c>
      <c r="F1844" s="111">
        <v>0.812</v>
      </c>
      <c r="G1844" s="111">
        <v>0.3914</v>
      </c>
      <c r="H1844" s="88"/>
      <c r="I1844" s="82">
        <f t="shared" si="11"/>
        <v>1.074603986</v>
      </c>
      <c r="J1844" s="82">
        <f t="shared" si="6"/>
        <v>0.4820197044</v>
      </c>
    </row>
    <row r="1845">
      <c r="A1845" s="101">
        <v>44819.0</v>
      </c>
      <c r="B1845" s="111">
        <v>1475.0</v>
      </c>
      <c r="C1845" s="111">
        <v>2.0</v>
      </c>
      <c r="D1845" s="110" t="s">
        <v>227</v>
      </c>
      <c r="E1845" s="112">
        <v>1.0</v>
      </c>
      <c r="F1845" s="111">
        <v>0.4312</v>
      </c>
      <c r="G1845" s="111">
        <v>0.2127</v>
      </c>
      <c r="H1845" s="88"/>
      <c r="I1845" s="82">
        <f t="shared" si="11"/>
        <v>1.027268453</v>
      </c>
      <c r="J1845" s="82">
        <f t="shared" si="6"/>
        <v>0.4932745826</v>
      </c>
    </row>
    <row r="1846">
      <c r="A1846" s="83">
        <v>44819.0</v>
      </c>
      <c r="B1846" s="66">
        <v>1475.0</v>
      </c>
      <c r="C1846" s="66">
        <v>3.0</v>
      </c>
      <c r="D1846" s="66" t="s">
        <v>228</v>
      </c>
      <c r="E1846" s="66">
        <v>0.0</v>
      </c>
      <c r="F1846" s="66">
        <v>1.4277</v>
      </c>
      <c r="G1846" s="66">
        <v>0.7807</v>
      </c>
      <c r="I1846" s="82">
        <f t="shared" si="11"/>
        <v>0.8287434354</v>
      </c>
      <c r="J1846" s="82">
        <f t="shared" si="6"/>
        <v>0.5468235624</v>
      </c>
    </row>
    <row r="1847">
      <c r="A1847" s="83">
        <v>44819.0</v>
      </c>
      <c r="B1847" s="66">
        <v>1475.0</v>
      </c>
      <c r="C1847" s="66">
        <v>3.0</v>
      </c>
      <c r="D1847" s="66" t="s">
        <v>227</v>
      </c>
      <c r="E1847" s="66">
        <v>0.0</v>
      </c>
      <c r="F1847" s="66">
        <v>0.5491</v>
      </c>
      <c r="G1847" s="66">
        <v>0.2755</v>
      </c>
      <c r="I1847" s="82">
        <f t="shared" si="11"/>
        <v>0.9931034483</v>
      </c>
      <c r="J1847" s="82">
        <f t="shared" si="6"/>
        <v>0.5017301038</v>
      </c>
    </row>
    <row r="1848">
      <c r="A1848" s="83">
        <v>44819.0</v>
      </c>
      <c r="B1848" s="66">
        <v>1475.0</v>
      </c>
      <c r="C1848" s="66">
        <v>3.0</v>
      </c>
      <c r="D1848" s="66" t="s">
        <v>227</v>
      </c>
      <c r="E1848" s="66">
        <v>1.0</v>
      </c>
      <c r="F1848" s="66">
        <v>0.4691</v>
      </c>
      <c r="G1848" s="66">
        <v>0.2439</v>
      </c>
      <c r="I1848" s="82">
        <f t="shared" si="11"/>
        <v>0.9233292333</v>
      </c>
      <c r="J1848" s="82">
        <f t="shared" si="6"/>
        <v>0.5199317843</v>
      </c>
    </row>
    <row r="1849">
      <c r="A1849" s="83">
        <v>44819.0</v>
      </c>
      <c r="B1849" s="66">
        <v>2004.0</v>
      </c>
      <c r="C1849" s="66">
        <v>1.0</v>
      </c>
      <c r="D1849" s="66" t="s">
        <v>228</v>
      </c>
      <c r="E1849" s="66">
        <v>0.0</v>
      </c>
      <c r="F1849" s="66">
        <v>1.9977</v>
      </c>
      <c r="G1849" s="66">
        <v>1.1576</v>
      </c>
      <c r="I1849" s="82">
        <f t="shared" si="11"/>
        <v>0.7257256393</v>
      </c>
      <c r="J1849" s="82">
        <f t="shared" si="6"/>
        <v>0.5794663863</v>
      </c>
    </row>
    <row r="1850">
      <c r="A1850" s="83">
        <v>44819.0</v>
      </c>
      <c r="B1850" s="66">
        <v>2004.0</v>
      </c>
      <c r="C1850" s="66">
        <v>1.0</v>
      </c>
      <c r="D1850" s="66" t="s">
        <v>227</v>
      </c>
      <c r="E1850" s="66">
        <v>0.0</v>
      </c>
      <c r="F1850" s="66">
        <v>0.9088</v>
      </c>
      <c r="G1850" s="66">
        <v>0.5135</v>
      </c>
      <c r="I1850" s="82">
        <f t="shared" si="11"/>
        <v>0.7698149951</v>
      </c>
      <c r="J1850" s="82">
        <f t="shared" si="6"/>
        <v>0.5650308099</v>
      </c>
    </row>
    <row r="1851">
      <c r="A1851" s="83">
        <v>44819.0</v>
      </c>
      <c r="B1851" s="66">
        <v>2004.0</v>
      </c>
      <c r="C1851" s="66">
        <v>1.0</v>
      </c>
      <c r="D1851" s="66" t="s">
        <v>227</v>
      </c>
      <c r="E1851" s="66">
        <v>1.0</v>
      </c>
      <c r="F1851" s="66">
        <v>0.6735</v>
      </c>
      <c r="G1851" s="66">
        <v>0.3702</v>
      </c>
      <c r="I1851" s="82">
        <f t="shared" si="11"/>
        <v>0.819286872</v>
      </c>
      <c r="J1851" s="82">
        <f t="shared" si="6"/>
        <v>0.5496659243</v>
      </c>
    </row>
    <row r="1852">
      <c r="A1852" s="83">
        <v>44819.0</v>
      </c>
      <c r="B1852" s="66">
        <v>2004.0</v>
      </c>
      <c r="C1852" s="66">
        <v>2.0</v>
      </c>
      <c r="D1852" s="66" t="s">
        <v>228</v>
      </c>
      <c r="E1852" s="66">
        <v>0.0</v>
      </c>
      <c r="F1852" s="66">
        <v>0.6334</v>
      </c>
      <c r="G1852" s="66">
        <v>0.3539</v>
      </c>
      <c r="I1852" s="82">
        <f t="shared" si="11"/>
        <v>0.7897711218</v>
      </c>
      <c r="J1852" s="82">
        <f t="shared" si="6"/>
        <v>0.5587306599</v>
      </c>
    </row>
    <row r="1853">
      <c r="A1853" s="83">
        <v>44819.0</v>
      </c>
      <c r="B1853" s="66">
        <v>2004.0</v>
      </c>
      <c r="C1853" s="66">
        <v>2.0</v>
      </c>
      <c r="D1853" s="66" t="s">
        <v>227</v>
      </c>
      <c r="E1853" s="66">
        <v>0.0</v>
      </c>
      <c r="F1853" s="66">
        <v>0.1993</v>
      </c>
      <c r="G1853" s="66">
        <v>0.1038</v>
      </c>
      <c r="I1853" s="82">
        <f t="shared" si="11"/>
        <v>0.9200385356</v>
      </c>
      <c r="J1853" s="82">
        <f t="shared" si="6"/>
        <v>0.5208228801</v>
      </c>
    </row>
    <row r="1854">
      <c r="A1854" s="83">
        <v>44819.0</v>
      </c>
      <c r="B1854" s="66">
        <v>2004.0</v>
      </c>
      <c r="C1854" s="66">
        <v>2.0</v>
      </c>
      <c r="D1854" s="66" t="s">
        <v>227</v>
      </c>
      <c r="E1854" s="66">
        <v>1.0</v>
      </c>
      <c r="F1854" s="66">
        <v>0.1565</v>
      </c>
      <c r="G1854" s="66">
        <v>0.0781</v>
      </c>
      <c r="I1854" s="82">
        <f t="shared" si="11"/>
        <v>1.003841229</v>
      </c>
      <c r="J1854" s="82">
        <f t="shared" si="6"/>
        <v>0.4990415335</v>
      </c>
    </row>
    <row r="1855">
      <c r="A1855" s="83">
        <v>44819.0</v>
      </c>
      <c r="B1855" s="66">
        <v>2004.0</v>
      </c>
      <c r="C1855" s="66">
        <v>3.0</v>
      </c>
      <c r="D1855" s="66" t="s">
        <v>227</v>
      </c>
      <c r="E1855" s="66">
        <v>1.0</v>
      </c>
      <c r="F1855" s="66">
        <v>0.878</v>
      </c>
      <c r="G1855" s="66">
        <v>0.4906</v>
      </c>
      <c r="I1855" s="82">
        <f t="shared" si="11"/>
        <v>0.7896453322</v>
      </c>
      <c r="J1855" s="82">
        <f t="shared" si="6"/>
        <v>0.5587699317</v>
      </c>
    </row>
    <row r="1856">
      <c r="A1856" s="83">
        <v>44819.0</v>
      </c>
      <c r="B1856" s="66">
        <v>2004.0</v>
      </c>
      <c r="C1856" s="66">
        <v>3.0</v>
      </c>
      <c r="D1856" s="66" t="s">
        <v>227</v>
      </c>
      <c r="E1856" s="66">
        <v>0.0</v>
      </c>
      <c r="F1856" s="66">
        <v>0.8144</v>
      </c>
      <c r="G1856" s="66">
        <v>0.4678</v>
      </c>
      <c r="I1856" s="82">
        <f t="shared" si="11"/>
        <v>0.7409149209</v>
      </c>
      <c r="J1856" s="82">
        <f t="shared" si="6"/>
        <v>0.574410609</v>
      </c>
    </row>
    <row r="1857">
      <c r="A1857" s="83">
        <v>44819.0</v>
      </c>
      <c r="B1857" s="66">
        <v>2004.0</v>
      </c>
      <c r="C1857" s="66">
        <v>3.0</v>
      </c>
      <c r="D1857" s="66" t="s">
        <v>228</v>
      </c>
      <c r="E1857" s="66">
        <v>0.0</v>
      </c>
      <c r="F1857" s="66">
        <v>1.0875</v>
      </c>
      <c r="G1857" s="66">
        <v>0.6285</v>
      </c>
      <c r="I1857" s="82">
        <f t="shared" si="11"/>
        <v>0.7303102625</v>
      </c>
      <c r="J1857" s="82">
        <f t="shared" si="6"/>
        <v>0.5779310345</v>
      </c>
    </row>
    <row r="1858">
      <c r="A1858" s="101">
        <v>44819.0</v>
      </c>
      <c r="B1858" s="111">
        <v>2005.0</v>
      </c>
      <c r="C1858" s="111">
        <v>1.0</v>
      </c>
      <c r="D1858" s="110" t="s">
        <v>228</v>
      </c>
      <c r="E1858" s="112">
        <v>0.0</v>
      </c>
      <c r="F1858" s="111">
        <v>1.2154</v>
      </c>
      <c r="G1858" s="111">
        <v>0.6539</v>
      </c>
      <c r="H1858" s="88"/>
      <c r="I1858" s="82">
        <f t="shared" si="11"/>
        <v>0.8586939899</v>
      </c>
      <c r="J1858" s="82">
        <f t="shared" si="6"/>
        <v>0.5380121771</v>
      </c>
    </row>
    <row r="1859">
      <c r="A1859" s="101">
        <v>44819.0</v>
      </c>
      <c r="B1859" s="111">
        <v>2005.0</v>
      </c>
      <c r="C1859" s="111">
        <v>1.0</v>
      </c>
      <c r="D1859" s="110" t="s">
        <v>227</v>
      </c>
      <c r="E1859" s="112">
        <v>0.0</v>
      </c>
      <c r="F1859" s="111">
        <v>0.2667</v>
      </c>
      <c r="G1859" s="111">
        <v>0.1447</v>
      </c>
      <c r="H1859" s="88"/>
      <c r="I1859" s="82">
        <f t="shared" si="11"/>
        <v>0.8431237042</v>
      </c>
      <c r="J1859" s="82">
        <f t="shared" si="6"/>
        <v>0.5425571804</v>
      </c>
    </row>
    <row r="1860">
      <c r="A1860" s="101">
        <v>44819.0</v>
      </c>
      <c r="B1860" s="111">
        <v>2005.0</v>
      </c>
      <c r="C1860" s="111">
        <v>1.0</v>
      </c>
      <c r="D1860" s="110" t="s">
        <v>227</v>
      </c>
      <c r="E1860" s="112">
        <v>1.0</v>
      </c>
      <c r="F1860" s="111">
        <v>0.3304</v>
      </c>
      <c r="G1860" s="111">
        <v>0.1599</v>
      </c>
      <c r="H1860" s="88"/>
      <c r="I1860" s="82">
        <f t="shared" si="11"/>
        <v>1.066291432</v>
      </c>
      <c r="J1860" s="82">
        <f t="shared" si="6"/>
        <v>0.4839588378</v>
      </c>
    </row>
    <row r="1861">
      <c r="A1861" s="101">
        <v>44819.0</v>
      </c>
      <c r="B1861" s="111">
        <v>2005.0</v>
      </c>
      <c r="C1861" s="111">
        <v>2.0</v>
      </c>
      <c r="D1861" s="110" t="s">
        <v>228</v>
      </c>
      <c r="E1861" s="112">
        <v>0.0</v>
      </c>
      <c r="F1861" s="111">
        <v>0.7004</v>
      </c>
      <c r="G1861" s="111">
        <v>0.4191</v>
      </c>
      <c r="H1861" s="88"/>
      <c r="I1861" s="82">
        <f t="shared" si="11"/>
        <v>0.6712001909</v>
      </c>
      <c r="J1861" s="82">
        <f t="shared" si="6"/>
        <v>0.5983723587</v>
      </c>
    </row>
    <row r="1862">
      <c r="A1862" s="101">
        <v>44819.0</v>
      </c>
      <c r="B1862" s="111">
        <v>2005.0</v>
      </c>
      <c r="C1862" s="111">
        <v>2.0</v>
      </c>
      <c r="D1862" s="110" t="s">
        <v>227</v>
      </c>
      <c r="E1862" s="112">
        <v>0.0</v>
      </c>
      <c r="F1862" s="111">
        <v>0.0706</v>
      </c>
      <c r="G1862" s="111">
        <v>0.0354</v>
      </c>
      <c r="H1862" s="88"/>
      <c r="I1862" s="82">
        <f t="shared" si="11"/>
        <v>0.9943502825</v>
      </c>
      <c r="J1862" s="82">
        <f t="shared" si="6"/>
        <v>0.5014164306</v>
      </c>
    </row>
    <row r="1863">
      <c r="A1863" s="101">
        <v>44819.0</v>
      </c>
      <c r="B1863" s="111">
        <v>2005.0</v>
      </c>
      <c r="C1863" s="111">
        <v>2.0</v>
      </c>
      <c r="D1863" s="110" t="s">
        <v>227</v>
      </c>
      <c r="E1863" s="112">
        <v>1.0</v>
      </c>
      <c r="F1863" s="111">
        <v>0.0612</v>
      </c>
      <c r="G1863" s="111">
        <v>0.0306</v>
      </c>
      <c r="H1863" s="88"/>
      <c r="I1863" s="82">
        <f t="shared" si="11"/>
        <v>1</v>
      </c>
      <c r="J1863" s="82">
        <f t="shared" si="6"/>
        <v>0.5</v>
      </c>
    </row>
    <row r="1864">
      <c r="A1864" s="101">
        <v>44819.0</v>
      </c>
      <c r="B1864" s="111">
        <v>2005.0</v>
      </c>
      <c r="C1864" s="111">
        <v>3.0</v>
      </c>
      <c r="D1864" s="110" t="s">
        <v>227</v>
      </c>
      <c r="E1864" s="112">
        <v>0.0</v>
      </c>
      <c r="F1864" s="111">
        <v>0.216</v>
      </c>
      <c r="G1864" s="111">
        <v>0.115</v>
      </c>
      <c r="H1864" s="88"/>
      <c r="I1864" s="82">
        <f t="shared" si="11"/>
        <v>0.8782608696</v>
      </c>
      <c r="J1864" s="82">
        <f t="shared" si="6"/>
        <v>0.5324074074</v>
      </c>
    </row>
    <row r="1865">
      <c r="A1865" s="101">
        <v>44819.0</v>
      </c>
      <c r="B1865" s="111">
        <v>2005.0</v>
      </c>
      <c r="C1865" s="111">
        <v>3.0</v>
      </c>
      <c r="D1865" s="110" t="s">
        <v>228</v>
      </c>
      <c r="E1865" s="112">
        <v>0.0</v>
      </c>
      <c r="F1865" s="111">
        <v>1.1307</v>
      </c>
      <c r="G1865" s="111">
        <v>0.6039</v>
      </c>
      <c r="H1865" s="88"/>
      <c r="I1865" s="82">
        <f t="shared" si="11"/>
        <v>0.8723298559</v>
      </c>
      <c r="J1865" s="82">
        <f t="shared" si="6"/>
        <v>0.5340939241</v>
      </c>
    </row>
    <row r="1866">
      <c r="A1866" s="101">
        <v>44819.0</v>
      </c>
      <c r="B1866" s="111">
        <v>2005.0</v>
      </c>
      <c r="C1866" s="111">
        <v>3.0</v>
      </c>
      <c r="D1866" s="110" t="s">
        <v>227</v>
      </c>
      <c r="E1866" s="112">
        <v>1.0</v>
      </c>
      <c r="F1866" s="111">
        <v>0.2389</v>
      </c>
      <c r="G1866" s="111">
        <v>0.1184</v>
      </c>
      <c r="H1866" s="88"/>
      <c r="I1866" s="82">
        <f t="shared" si="11"/>
        <v>1.017736486</v>
      </c>
      <c r="J1866" s="82">
        <f t="shared" si="6"/>
        <v>0.4956048556</v>
      </c>
    </row>
    <row r="1867">
      <c r="A1867" s="83">
        <v>44819.0</v>
      </c>
      <c r="B1867" s="66">
        <v>2006.0</v>
      </c>
      <c r="C1867" s="66">
        <v>1.0</v>
      </c>
      <c r="D1867" s="66" t="s">
        <v>228</v>
      </c>
      <c r="E1867" s="66">
        <v>0.0</v>
      </c>
      <c r="F1867" s="66">
        <v>0.3098</v>
      </c>
      <c r="G1867" s="66">
        <v>0.1548</v>
      </c>
      <c r="I1867" s="82">
        <f t="shared" si="11"/>
        <v>1.00129199</v>
      </c>
      <c r="J1867" s="82">
        <f t="shared" si="6"/>
        <v>0.4996772111</v>
      </c>
    </row>
    <row r="1868">
      <c r="A1868" s="83">
        <v>44819.0</v>
      </c>
      <c r="B1868" s="66">
        <v>2006.0</v>
      </c>
      <c r="C1868" s="66">
        <v>1.0</v>
      </c>
      <c r="D1868" s="66" t="s">
        <v>227</v>
      </c>
      <c r="E1868" s="66">
        <v>0.0</v>
      </c>
      <c r="F1868" s="66">
        <v>0.2606</v>
      </c>
      <c r="G1868" s="66">
        <v>0.1303</v>
      </c>
      <c r="I1868" s="82">
        <f t="shared" si="11"/>
        <v>1</v>
      </c>
      <c r="J1868" s="82">
        <f t="shared" si="6"/>
        <v>0.5</v>
      </c>
    </row>
    <row r="1869">
      <c r="A1869" s="83">
        <v>44819.0</v>
      </c>
      <c r="B1869" s="66">
        <v>2006.0</v>
      </c>
      <c r="C1869" s="66">
        <v>1.0</v>
      </c>
      <c r="D1869" s="66" t="s">
        <v>227</v>
      </c>
      <c r="E1869" s="66">
        <v>1.0</v>
      </c>
      <c r="F1869" s="66">
        <v>0.2724</v>
      </c>
      <c r="G1869" s="66">
        <v>0.1415</v>
      </c>
      <c r="I1869" s="82">
        <f t="shared" si="11"/>
        <v>0.9250883392</v>
      </c>
      <c r="J1869" s="82">
        <f t="shared" si="6"/>
        <v>0.5194566814</v>
      </c>
    </row>
    <row r="1870">
      <c r="A1870" s="83">
        <v>44819.0</v>
      </c>
      <c r="B1870" s="66">
        <v>2006.0</v>
      </c>
      <c r="C1870" s="66">
        <v>2.0</v>
      </c>
      <c r="D1870" s="66" t="s">
        <v>228</v>
      </c>
      <c r="E1870" s="66">
        <v>0.0</v>
      </c>
      <c r="F1870" s="66">
        <v>0.7985</v>
      </c>
      <c r="G1870" s="66">
        <v>0.3976</v>
      </c>
      <c r="I1870" s="82">
        <f t="shared" si="11"/>
        <v>1.008299799</v>
      </c>
      <c r="J1870" s="82">
        <f t="shared" si="6"/>
        <v>0.4979336255</v>
      </c>
    </row>
    <row r="1871">
      <c r="A1871" s="83">
        <v>44819.0</v>
      </c>
      <c r="B1871" s="66">
        <v>2006.0</v>
      </c>
      <c r="C1871" s="66">
        <v>2.0</v>
      </c>
      <c r="D1871" s="66" t="s">
        <v>227</v>
      </c>
      <c r="E1871" s="66">
        <v>0.0</v>
      </c>
      <c r="F1871" s="66">
        <v>0.1831</v>
      </c>
      <c r="G1871" s="66">
        <v>0.0906</v>
      </c>
      <c r="I1871" s="82">
        <f t="shared" si="11"/>
        <v>1.020971302</v>
      </c>
      <c r="J1871" s="82">
        <f t="shared" si="6"/>
        <v>0.4948115784</v>
      </c>
    </row>
    <row r="1872">
      <c r="A1872" s="83">
        <v>44819.0</v>
      </c>
      <c r="B1872" s="66">
        <v>2006.0</v>
      </c>
      <c r="C1872" s="66">
        <v>2.0</v>
      </c>
      <c r="D1872" s="66" t="s">
        <v>227</v>
      </c>
      <c r="E1872" s="66">
        <v>1.0</v>
      </c>
      <c r="F1872" s="66">
        <v>0.1414</v>
      </c>
      <c r="G1872" s="66">
        <v>0.0725</v>
      </c>
      <c r="I1872" s="82">
        <f t="shared" si="11"/>
        <v>0.9503448276</v>
      </c>
      <c r="J1872" s="82">
        <f t="shared" si="6"/>
        <v>0.5127298444</v>
      </c>
    </row>
    <row r="1873">
      <c r="A1873" s="83">
        <v>44819.0</v>
      </c>
      <c r="B1873" s="66">
        <v>2006.0</v>
      </c>
      <c r="C1873" s="66">
        <v>3.0</v>
      </c>
      <c r="D1873" s="66" t="s">
        <v>228</v>
      </c>
      <c r="E1873" s="66">
        <v>0.0</v>
      </c>
      <c r="F1873" s="66">
        <v>0.3088</v>
      </c>
      <c r="G1873" s="66">
        <v>0.172</v>
      </c>
      <c r="I1873" s="82">
        <f t="shared" si="11"/>
        <v>0.7953488372</v>
      </c>
      <c r="J1873" s="82">
        <f t="shared" si="6"/>
        <v>0.5569948187</v>
      </c>
    </row>
    <row r="1874">
      <c r="A1874" s="83">
        <v>44819.0</v>
      </c>
      <c r="B1874" s="66">
        <v>2006.0</v>
      </c>
      <c r="C1874" s="66">
        <v>3.0</v>
      </c>
      <c r="D1874" s="66" t="s">
        <v>227</v>
      </c>
      <c r="E1874" s="66">
        <v>0.0</v>
      </c>
      <c r="F1874" s="66">
        <v>0.2826</v>
      </c>
      <c r="G1874" s="66">
        <v>0.1428</v>
      </c>
      <c r="I1874" s="82">
        <f t="shared" si="11"/>
        <v>0.9789915966</v>
      </c>
      <c r="J1874" s="82">
        <f t="shared" si="6"/>
        <v>0.5053078556</v>
      </c>
    </row>
    <row r="1875">
      <c r="A1875" s="83">
        <v>44819.0</v>
      </c>
      <c r="B1875" s="66">
        <v>2006.0</v>
      </c>
      <c r="C1875" s="66">
        <v>3.0</v>
      </c>
      <c r="D1875" s="66" t="s">
        <v>227</v>
      </c>
      <c r="E1875" s="66">
        <v>1.0</v>
      </c>
      <c r="F1875" s="66">
        <v>0.4147</v>
      </c>
      <c r="G1875" s="66">
        <v>0.2164</v>
      </c>
      <c r="I1875" s="82">
        <f t="shared" si="11"/>
        <v>0.9163585952</v>
      </c>
      <c r="J1875" s="82">
        <f t="shared" si="6"/>
        <v>0.5218230046</v>
      </c>
    </row>
    <row r="1876">
      <c r="A1876" s="83">
        <v>44819.0</v>
      </c>
      <c r="B1876" s="66">
        <v>2007.0</v>
      </c>
      <c r="C1876" s="66">
        <v>1.0</v>
      </c>
      <c r="D1876" s="66" t="s">
        <v>227</v>
      </c>
      <c r="E1876" s="66">
        <v>1.0</v>
      </c>
      <c r="F1876" s="66">
        <v>0.1711</v>
      </c>
      <c r="G1876" s="66">
        <v>0.087</v>
      </c>
      <c r="I1876" s="82">
        <f t="shared" si="11"/>
        <v>0.9666666667</v>
      </c>
      <c r="J1876" s="82">
        <f t="shared" si="6"/>
        <v>0.5084745763</v>
      </c>
    </row>
    <row r="1877">
      <c r="A1877" s="101">
        <v>44819.0</v>
      </c>
      <c r="B1877" s="111">
        <v>2007.0</v>
      </c>
      <c r="C1877" s="111">
        <v>1.0</v>
      </c>
      <c r="D1877" s="110" t="s">
        <v>227</v>
      </c>
      <c r="E1877" s="112">
        <v>0.0</v>
      </c>
      <c r="F1877" s="111">
        <v>0.1155</v>
      </c>
      <c r="G1877" s="111">
        <v>0.0561</v>
      </c>
      <c r="H1877" s="88"/>
      <c r="I1877" s="82">
        <f t="shared" si="11"/>
        <v>1.058823529</v>
      </c>
      <c r="J1877" s="82">
        <f t="shared" si="6"/>
        <v>0.4857142857</v>
      </c>
    </row>
    <row r="1878">
      <c r="A1878" s="101">
        <v>44819.0</v>
      </c>
      <c r="B1878" s="111">
        <v>2007.0</v>
      </c>
      <c r="C1878" s="111">
        <v>1.0</v>
      </c>
      <c r="D1878" s="110" t="s">
        <v>228</v>
      </c>
      <c r="E1878" s="112">
        <v>0.0</v>
      </c>
      <c r="F1878" s="111">
        <v>0.3589</v>
      </c>
      <c r="G1878" s="111">
        <v>0.1909</v>
      </c>
      <c r="H1878" s="88"/>
      <c r="I1878" s="82">
        <f t="shared" si="11"/>
        <v>0.8800419068</v>
      </c>
      <c r="J1878" s="82">
        <f t="shared" si="6"/>
        <v>0.5319030371</v>
      </c>
    </row>
    <row r="1879">
      <c r="A1879" s="101">
        <v>44819.0</v>
      </c>
      <c r="B1879" s="111">
        <v>2007.0</v>
      </c>
      <c r="C1879" s="111">
        <v>2.0</v>
      </c>
      <c r="D1879" s="110" t="s">
        <v>228</v>
      </c>
      <c r="E1879" s="112">
        <v>0.0</v>
      </c>
      <c r="F1879" s="111">
        <v>0.1825</v>
      </c>
      <c r="G1879" s="111">
        <v>0.0949</v>
      </c>
      <c r="H1879" s="88"/>
      <c r="I1879" s="82">
        <f t="shared" si="11"/>
        <v>0.9230769231</v>
      </c>
      <c r="J1879" s="82">
        <f t="shared" si="6"/>
        <v>0.52</v>
      </c>
    </row>
    <row r="1880">
      <c r="A1880" s="101">
        <v>44819.0</v>
      </c>
      <c r="B1880" s="111">
        <v>2007.0</v>
      </c>
      <c r="C1880" s="111">
        <v>2.0</v>
      </c>
      <c r="D1880" s="110" t="s">
        <v>227</v>
      </c>
      <c r="E1880" s="112">
        <v>0.0</v>
      </c>
      <c r="F1880" s="111">
        <v>0.3118</v>
      </c>
      <c r="G1880" s="111">
        <v>0.1461</v>
      </c>
      <c r="H1880" s="88"/>
      <c r="I1880" s="82">
        <f t="shared" si="11"/>
        <v>1.134154689</v>
      </c>
      <c r="J1880" s="82">
        <f t="shared" si="6"/>
        <v>0.4685695959</v>
      </c>
    </row>
    <row r="1881">
      <c r="A1881" s="101">
        <v>44819.0</v>
      </c>
      <c r="B1881" s="111">
        <v>2007.0</v>
      </c>
      <c r="C1881" s="111">
        <v>2.0</v>
      </c>
      <c r="D1881" s="110" t="s">
        <v>227</v>
      </c>
      <c r="E1881" s="112">
        <v>1.0</v>
      </c>
      <c r="F1881" s="111">
        <v>0.2912</v>
      </c>
      <c r="G1881" s="111">
        <v>0.1489</v>
      </c>
      <c r="H1881" s="88"/>
      <c r="I1881" s="82">
        <f t="shared" si="11"/>
        <v>0.9556749496</v>
      </c>
      <c r="J1881" s="82">
        <f t="shared" si="6"/>
        <v>0.5113324176</v>
      </c>
    </row>
    <row r="1882">
      <c r="A1882" s="101">
        <v>44819.0</v>
      </c>
      <c r="B1882" s="111">
        <v>2007.0</v>
      </c>
      <c r="C1882" s="111">
        <v>3.0</v>
      </c>
      <c r="D1882" s="110" t="s">
        <v>228</v>
      </c>
      <c r="E1882" s="112">
        <v>0.0</v>
      </c>
      <c r="F1882" s="111">
        <v>1.0042</v>
      </c>
      <c r="G1882" s="111">
        <v>0.5322</v>
      </c>
      <c r="H1882" s="88"/>
      <c r="I1882" s="82">
        <f t="shared" si="11"/>
        <v>0.8868846298</v>
      </c>
      <c r="J1882" s="82">
        <f t="shared" si="6"/>
        <v>0.5299741087</v>
      </c>
    </row>
    <row r="1883">
      <c r="A1883" s="101">
        <v>44819.0</v>
      </c>
      <c r="B1883" s="111">
        <v>2007.0</v>
      </c>
      <c r="C1883" s="111">
        <v>3.0</v>
      </c>
      <c r="D1883" s="110" t="s">
        <v>227</v>
      </c>
      <c r="E1883" s="112">
        <v>0.0</v>
      </c>
      <c r="F1883" s="111">
        <v>0.5698</v>
      </c>
      <c r="G1883" s="111">
        <v>0.285</v>
      </c>
      <c r="H1883" s="88"/>
      <c r="I1883" s="82">
        <f t="shared" si="11"/>
        <v>0.9992982456</v>
      </c>
      <c r="J1883" s="82">
        <f t="shared" si="6"/>
        <v>0.5001755002</v>
      </c>
    </row>
    <row r="1884">
      <c r="A1884" s="101">
        <v>44819.0</v>
      </c>
      <c r="B1884" s="111">
        <v>2007.0</v>
      </c>
      <c r="C1884" s="111">
        <v>3.0</v>
      </c>
      <c r="D1884" s="110" t="s">
        <v>227</v>
      </c>
      <c r="E1884" s="112">
        <v>1.0</v>
      </c>
      <c r="F1884" s="111">
        <v>0.4593</v>
      </c>
      <c r="G1884" s="111">
        <v>0.2426</v>
      </c>
      <c r="H1884" s="88"/>
      <c r="I1884" s="82">
        <f t="shared" si="11"/>
        <v>0.8932399011</v>
      </c>
      <c r="J1884" s="82">
        <f t="shared" si="6"/>
        <v>0.5281950795</v>
      </c>
    </row>
    <row r="1885">
      <c r="A1885" s="83">
        <v>44819.0</v>
      </c>
      <c r="B1885" s="66">
        <v>2012.0</v>
      </c>
      <c r="C1885" s="66">
        <v>1.0</v>
      </c>
      <c r="D1885" s="66" t="s">
        <v>227</v>
      </c>
      <c r="E1885" s="66">
        <v>1.0</v>
      </c>
      <c r="F1885" s="66">
        <v>0.326</v>
      </c>
      <c r="G1885" s="66">
        <v>0.1596</v>
      </c>
      <c r="I1885" s="82">
        <f t="shared" si="11"/>
        <v>1.042606516</v>
      </c>
      <c r="J1885" s="82">
        <f t="shared" si="6"/>
        <v>0.4895705521</v>
      </c>
    </row>
    <row r="1886">
      <c r="A1886" s="83">
        <v>44819.0</v>
      </c>
      <c r="B1886" s="66">
        <v>2012.0</v>
      </c>
      <c r="C1886" s="66">
        <v>1.0</v>
      </c>
      <c r="D1886" s="66" t="s">
        <v>227</v>
      </c>
      <c r="E1886" s="66">
        <v>0.0</v>
      </c>
      <c r="F1886" s="66">
        <v>0.2886</v>
      </c>
      <c r="G1886" s="66">
        <v>0.1562</v>
      </c>
      <c r="I1886" s="82">
        <f t="shared" si="11"/>
        <v>0.847631242</v>
      </c>
      <c r="J1886" s="82">
        <f t="shared" si="6"/>
        <v>0.5412335412</v>
      </c>
    </row>
    <row r="1887">
      <c r="A1887" s="83">
        <v>44819.0</v>
      </c>
      <c r="B1887" s="66">
        <v>2012.0</v>
      </c>
      <c r="C1887" s="66">
        <v>1.0</v>
      </c>
      <c r="D1887" s="66" t="s">
        <v>228</v>
      </c>
      <c r="E1887" s="66">
        <v>0.0</v>
      </c>
      <c r="F1887" s="66">
        <v>0.7815</v>
      </c>
      <c r="G1887" s="66">
        <v>0.4361</v>
      </c>
      <c r="I1887" s="82">
        <f t="shared" si="11"/>
        <v>0.7920201789</v>
      </c>
      <c r="J1887" s="82">
        <f t="shared" si="6"/>
        <v>0.5580294306</v>
      </c>
    </row>
    <row r="1888">
      <c r="A1888" s="83">
        <v>44819.0</v>
      </c>
      <c r="B1888" s="66">
        <v>2012.0</v>
      </c>
      <c r="C1888" s="66">
        <v>2.0</v>
      </c>
      <c r="D1888" s="66" t="s">
        <v>227</v>
      </c>
      <c r="E1888" s="66">
        <v>1.0</v>
      </c>
      <c r="F1888" s="66">
        <v>0.1827</v>
      </c>
      <c r="G1888" s="66">
        <v>0.0888</v>
      </c>
      <c r="I1888" s="82">
        <f t="shared" si="11"/>
        <v>1.057432432</v>
      </c>
      <c r="J1888" s="82">
        <f t="shared" si="6"/>
        <v>0.4860426929</v>
      </c>
    </row>
    <row r="1889">
      <c r="A1889" s="83">
        <v>44819.0</v>
      </c>
      <c r="B1889" s="66">
        <v>2012.0</v>
      </c>
      <c r="C1889" s="66">
        <v>2.0</v>
      </c>
      <c r="D1889" s="66" t="s">
        <v>227</v>
      </c>
      <c r="E1889" s="66">
        <v>0.0</v>
      </c>
      <c r="F1889" s="66">
        <v>0.1877</v>
      </c>
      <c r="G1889" s="66">
        <v>0.0933</v>
      </c>
      <c r="I1889" s="82">
        <f t="shared" si="11"/>
        <v>1.011789925</v>
      </c>
      <c r="J1889" s="82">
        <f t="shared" si="6"/>
        <v>0.4970697922</v>
      </c>
    </row>
    <row r="1890">
      <c r="A1890" s="83">
        <v>44819.0</v>
      </c>
      <c r="B1890" s="66">
        <v>2012.0</v>
      </c>
      <c r="C1890" s="66">
        <v>2.0</v>
      </c>
      <c r="D1890" s="66" t="s">
        <v>228</v>
      </c>
      <c r="E1890" s="66">
        <v>0.0</v>
      </c>
      <c r="F1890" s="66">
        <v>1.0279</v>
      </c>
      <c r="G1890" s="66">
        <v>0.5674</v>
      </c>
      <c r="I1890" s="82">
        <f t="shared" si="11"/>
        <v>0.8115967571</v>
      </c>
      <c r="J1890" s="82">
        <f t="shared" si="6"/>
        <v>0.5519992217</v>
      </c>
    </row>
    <row r="1891">
      <c r="A1891" s="83">
        <v>44819.0</v>
      </c>
      <c r="B1891" s="66">
        <v>2012.0</v>
      </c>
      <c r="C1891" s="66">
        <v>3.0</v>
      </c>
      <c r="D1891" s="66" t="s">
        <v>228</v>
      </c>
      <c r="E1891" s="66">
        <v>0.0</v>
      </c>
      <c r="F1891" s="66">
        <v>0.982</v>
      </c>
      <c r="G1891" s="66">
        <v>0.5273</v>
      </c>
      <c r="I1891" s="82">
        <f t="shared" si="11"/>
        <v>0.8623174663</v>
      </c>
      <c r="J1891" s="82">
        <f t="shared" si="6"/>
        <v>0.5369653768</v>
      </c>
    </row>
    <row r="1892">
      <c r="A1892" s="83">
        <v>44819.0</v>
      </c>
      <c r="B1892" s="66">
        <v>2012.0</v>
      </c>
      <c r="C1892" s="66">
        <v>3.0</v>
      </c>
      <c r="D1892" s="66" t="s">
        <v>227</v>
      </c>
      <c r="E1892" s="66">
        <v>0.0</v>
      </c>
      <c r="F1892" s="66">
        <v>0.3071</v>
      </c>
      <c r="G1892" s="66">
        <v>0.1565</v>
      </c>
      <c r="I1892" s="82">
        <f t="shared" si="11"/>
        <v>0.9623003195</v>
      </c>
      <c r="J1892" s="82">
        <f t="shared" si="6"/>
        <v>0.5096059915</v>
      </c>
    </row>
    <row r="1893">
      <c r="A1893" s="83">
        <v>44819.0</v>
      </c>
      <c r="B1893" s="66">
        <v>2012.0</v>
      </c>
      <c r="C1893" s="66">
        <v>3.0</v>
      </c>
      <c r="D1893" s="66" t="s">
        <v>227</v>
      </c>
      <c r="E1893" s="66">
        <v>1.0</v>
      </c>
      <c r="F1893" s="66">
        <v>0.1827</v>
      </c>
      <c r="G1893" s="66">
        <v>0.0874</v>
      </c>
      <c r="I1893" s="82">
        <f t="shared" si="11"/>
        <v>1.090389016</v>
      </c>
      <c r="J1893" s="82">
        <f t="shared" si="6"/>
        <v>0.4783798577</v>
      </c>
    </row>
    <row r="1894">
      <c r="A1894" s="83">
        <v>44819.0</v>
      </c>
      <c r="B1894" s="66">
        <v>2013.0</v>
      </c>
      <c r="C1894" s="66">
        <v>1.0</v>
      </c>
      <c r="D1894" s="66" t="s">
        <v>228</v>
      </c>
      <c r="E1894" s="66">
        <v>0.0</v>
      </c>
      <c r="F1894" s="66">
        <v>4.1295</v>
      </c>
      <c r="G1894" s="66">
        <v>2.257</v>
      </c>
      <c r="I1894" s="82">
        <f t="shared" si="11"/>
        <v>0.8296411165</v>
      </c>
      <c r="J1894" s="82">
        <f t="shared" si="6"/>
        <v>0.546555273</v>
      </c>
    </row>
    <row r="1895">
      <c r="A1895" s="83">
        <v>44819.0</v>
      </c>
      <c r="B1895" s="66">
        <v>2013.0</v>
      </c>
      <c r="C1895" s="66">
        <v>1.0</v>
      </c>
      <c r="D1895" s="66" t="s">
        <v>227</v>
      </c>
      <c r="E1895" s="66">
        <v>0.0</v>
      </c>
      <c r="F1895" s="66">
        <v>1.2121</v>
      </c>
      <c r="G1895" s="66">
        <v>0.6833</v>
      </c>
      <c r="I1895" s="82">
        <f t="shared" si="11"/>
        <v>0.7738914093</v>
      </c>
      <c r="J1895" s="82">
        <f t="shared" si="6"/>
        <v>0.5637323653</v>
      </c>
    </row>
    <row r="1896">
      <c r="A1896" s="83">
        <v>44819.0</v>
      </c>
      <c r="B1896" s="66">
        <v>2013.0</v>
      </c>
      <c r="C1896" s="66">
        <v>1.0</v>
      </c>
      <c r="D1896" s="66" t="s">
        <v>227</v>
      </c>
      <c r="E1896" s="66">
        <v>1.0</v>
      </c>
      <c r="F1896" s="66">
        <v>0.7862</v>
      </c>
      <c r="G1896" s="66">
        <v>0.4335</v>
      </c>
      <c r="I1896" s="82">
        <f t="shared" si="11"/>
        <v>0.8136101499</v>
      </c>
      <c r="J1896" s="82">
        <f t="shared" si="6"/>
        <v>0.5513864157</v>
      </c>
    </row>
    <row r="1897">
      <c r="A1897" s="83">
        <v>44819.0</v>
      </c>
      <c r="B1897" s="66">
        <v>2013.0</v>
      </c>
      <c r="C1897" s="66">
        <v>2.0</v>
      </c>
      <c r="D1897" s="66" t="s">
        <v>228</v>
      </c>
      <c r="E1897" s="66">
        <v>0.0</v>
      </c>
      <c r="F1897" s="66">
        <v>1.447</v>
      </c>
      <c r="G1897" s="66">
        <v>0.7058</v>
      </c>
      <c r="I1897" s="82">
        <f t="shared" si="11"/>
        <v>1.050155852</v>
      </c>
      <c r="J1897" s="82">
        <f t="shared" si="6"/>
        <v>0.4877677954</v>
      </c>
    </row>
    <row r="1898">
      <c r="A1898" s="83">
        <v>44819.0</v>
      </c>
      <c r="B1898" s="66">
        <v>2013.0</v>
      </c>
      <c r="C1898" s="66">
        <v>2.0</v>
      </c>
      <c r="D1898" s="66" t="s">
        <v>227</v>
      </c>
      <c r="E1898" s="66">
        <v>0.0</v>
      </c>
      <c r="F1898" s="66">
        <v>0.4659</v>
      </c>
      <c r="G1898" s="66">
        <v>0.2456</v>
      </c>
      <c r="I1898" s="82">
        <f t="shared" si="11"/>
        <v>0.8969869707</v>
      </c>
      <c r="J1898" s="82">
        <f t="shared" si="6"/>
        <v>0.5271517493</v>
      </c>
    </row>
    <row r="1899">
      <c r="A1899" s="83">
        <v>44819.0</v>
      </c>
      <c r="B1899" s="66">
        <v>2013.0</v>
      </c>
      <c r="C1899" s="66">
        <v>2.0</v>
      </c>
      <c r="D1899" s="66" t="s">
        <v>302</v>
      </c>
      <c r="E1899" s="66">
        <v>1.0</v>
      </c>
      <c r="F1899" s="66">
        <v>0.6896</v>
      </c>
      <c r="G1899" s="66">
        <v>0.353</v>
      </c>
      <c r="I1899" s="82">
        <f t="shared" si="11"/>
        <v>0.9535410765</v>
      </c>
      <c r="J1899" s="82">
        <f t="shared" si="6"/>
        <v>0.5118909513</v>
      </c>
    </row>
    <row r="1900">
      <c r="A1900" s="83">
        <v>44819.0</v>
      </c>
      <c r="B1900" s="66">
        <v>2013.0</v>
      </c>
      <c r="C1900" s="66">
        <v>3.0</v>
      </c>
      <c r="D1900" s="66" t="s">
        <v>228</v>
      </c>
      <c r="E1900" s="66">
        <v>0.0</v>
      </c>
      <c r="F1900" s="66">
        <v>1.4285</v>
      </c>
      <c r="G1900" s="66">
        <v>0.6759</v>
      </c>
      <c r="I1900" s="82">
        <f t="shared" si="11"/>
        <v>1.113478325</v>
      </c>
      <c r="J1900" s="82">
        <f t="shared" si="6"/>
        <v>0.4731536577</v>
      </c>
    </row>
    <row r="1901">
      <c r="A1901" s="83">
        <v>44819.0</v>
      </c>
      <c r="B1901" s="66">
        <v>2013.0</v>
      </c>
      <c r="C1901" s="66">
        <v>3.0</v>
      </c>
      <c r="D1901" s="66" t="s">
        <v>227</v>
      </c>
      <c r="E1901" s="66">
        <v>1.0</v>
      </c>
      <c r="F1901" s="66">
        <v>0.5818</v>
      </c>
      <c r="G1901" s="66">
        <v>0.3126</v>
      </c>
      <c r="I1901" s="82">
        <f t="shared" si="11"/>
        <v>0.8611644274</v>
      </c>
      <c r="J1901" s="82">
        <f t="shared" si="6"/>
        <v>0.5372980406</v>
      </c>
    </row>
    <row r="1902">
      <c r="A1902" s="83">
        <v>44819.0</v>
      </c>
      <c r="B1902" s="66">
        <v>2013.0</v>
      </c>
      <c r="C1902" s="66">
        <v>3.0</v>
      </c>
      <c r="D1902" s="66" t="s">
        <v>227</v>
      </c>
      <c r="E1902" s="66">
        <v>0.0</v>
      </c>
      <c r="F1902" s="66">
        <v>0.5346</v>
      </c>
      <c r="G1902" s="66">
        <v>0.2856</v>
      </c>
      <c r="I1902" s="82">
        <f t="shared" si="11"/>
        <v>0.8718487395</v>
      </c>
      <c r="J1902" s="82">
        <f t="shared" si="6"/>
        <v>0.5342312009</v>
      </c>
    </row>
    <row r="1903">
      <c r="A1903" s="83">
        <v>44819.0</v>
      </c>
      <c r="B1903" s="66">
        <v>2015.0</v>
      </c>
      <c r="C1903" s="66">
        <v>1.0</v>
      </c>
      <c r="D1903" s="66" t="s">
        <v>228</v>
      </c>
      <c r="E1903" s="66">
        <v>0.0</v>
      </c>
      <c r="F1903" s="66">
        <v>1.5184</v>
      </c>
      <c r="G1903" s="66">
        <v>0.8208</v>
      </c>
      <c r="I1903" s="82">
        <f t="shared" si="11"/>
        <v>0.8499025341</v>
      </c>
      <c r="J1903" s="82">
        <f t="shared" si="6"/>
        <v>0.54056902</v>
      </c>
    </row>
    <row r="1904">
      <c r="A1904" s="83">
        <v>44819.0</v>
      </c>
      <c r="B1904" s="66">
        <v>2015.0</v>
      </c>
      <c r="C1904" s="66">
        <v>1.0</v>
      </c>
      <c r="D1904" s="66" t="s">
        <v>227</v>
      </c>
      <c r="E1904" s="66">
        <v>0.0</v>
      </c>
      <c r="F1904" s="66">
        <v>0.4876</v>
      </c>
      <c r="G1904" s="66">
        <v>0.2701</v>
      </c>
      <c r="I1904" s="82">
        <f t="shared" si="11"/>
        <v>0.8052573121</v>
      </c>
      <c r="J1904" s="82">
        <f t="shared" si="6"/>
        <v>0.5539376538</v>
      </c>
    </row>
    <row r="1905">
      <c r="A1905" s="83">
        <v>44819.0</v>
      </c>
      <c r="B1905" s="66">
        <v>2015.0</v>
      </c>
      <c r="C1905" s="66">
        <v>1.0</v>
      </c>
      <c r="D1905" s="66" t="s">
        <v>227</v>
      </c>
      <c r="E1905" s="66">
        <v>1.0</v>
      </c>
      <c r="F1905" s="66">
        <v>0.5154</v>
      </c>
      <c r="G1905" s="66">
        <v>0.2781</v>
      </c>
      <c r="I1905" s="82">
        <f t="shared" si="11"/>
        <v>0.8532901834</v>
      </c>
      <c r="J1905" s="82">
        <f t="shared" si="6"/>
        <v>0.539580908</v>
      </c>
    </row>
    <row r="1906">
      <c r="A1906" s="83">
        <v>44819.0</v>
      </c>
      <c r="B1906" s="66">
        <v>2015.0</v>
      </c>
      <c r="C1906" s="66">
        <v>2.0</v>
      </c>
      <c r="D1906" s="66" t="s">
        <v>228</v>
      </c>
      <c r="E1906" s="66">
        <v>0.0</v>
      </c>
      <c r="F1906" s="66">
        <v>1.1254</v>
      </c>
      <c r="G1906" s="66">
        <v>0.5927</v>
      </c>
      <c r="I1906" s="82">
        <f t="shared" si="11"/>
        <v>0.8987683482</v>
      </c>
      <c r="J1906" s="82">
        <f t="shared" si="6"/>
        <v>0.5266571886</v>
      </c>
    </row>
    <row r="1907">
      <c r="A1907" s="83">
        <v>44819.0</v>
      </c>
      <c r="B1907" s="66">
        <v>2015.0</v>
      </c>
      <c r="C1907" s="66">
        <v>2.0</v>
      </c>
      <c r="D1907" s="66" t="s">
        <v>227</v>
      </c>
      <c r="E1907" s="66">
        <v>0.0</v>
      </c>
      <c r="F1907" s="66">
        <v>0.4321</v>
      </c>
      <c r="G1907" s="66">
        <v>0.2103</v>
      </c>
      <c r="I1907" s="82">
        <f t="shared" si="11"/>
        <v>1.054683785</v>
      </c>
      <c r="J1907" s="82">
        <f t="shared" si="6"/>
        <v>0.4866928952</v>
      </c>
    </row>
    <row r="1908">
      <c r="A1908" s="83">
        <v>44819.0</v>
      </c>
      <c r="B1908" s="66">
        <v>2015.0</v>
      </c>
      <c r="C1908" s="66">
        <v>2.0</v>
      </c>
      <c r="D1908" s="66" t="s">
        <v>227</v>
      </c>
      <c r="E1908" s="66">
        <v>1.0</v>
      </c>
      <c r="F1908" s="66">
        <v>0.376</v>
      </c>
      <c r="G1908" s="66">
        <v>0.1889</v>
      </c>
      <c r="I1908" s="82">
        <f t="shared" si="11"/>
        <v>0.9904711488</v>
      </c>
      <c r="J1908" s="82">
        <f t="shared" si="6"/>
        <v>0.502393617</v>
      </c>
    </row>
    <row r="1909">
      <c r="A1909" s="83">
        <v>44819.0</v>
      </c>
      <c r="B1909" s="66">
        <v>2015.0</v>
      </c>
      <c r="C1909" s="66">
        <v>3.0</v>
      </c>
      <c r="D1909" s="66" t="s">
        <v>228</v>
      </c>
      <c r="E1909" s="66">
        <v>0.0</v>
      </c>
      <c r="F1909" s="66">
        <v>1.0353</v>
      </c>
      <c r="G1909" s="66">
        <v>0.5526</v>
      </c>
      <c r="I1909" s="82">
        <f t="shared" si="11"/>
        <v>0.8735070575</v>
      </c>
      <c r="J1909" s="82">
        <f t="shared" si="6"/>
        <v>0.5337583309</v>
      </c>
    </row>
    <row r="1910">
      <c r="A1910" s="83">
        <v>44819.0</v>
      </c>
      <c r="B1910" s="66">
        <v>2015.0</v>
      </c>
      <c r="C1910" s="66">
        <v>3.0</v>
      </c>
      <c r="D1910" s="66" t="s">
        <v>227</v>
      </c>
      <c r="E1910" s="66">
        <v>0.0</v>
      </c>
      <c r="F1910" s="66">
        <v>0.266</v>
      </c>
      <c r="G1910" s="66">
        <v>0.1441</v>
      </c>
      <c r="I1910" s="82">
        <f t="shared" si="11"/>
        <v>0.8459403192</v>
      </c>
      <c r="J1910" s="82">
        <f t="shared" si="6"/>
        <v>0.5417293233</v>
      </c>
    </row>
    <row r="1911">
      <c r="A1911" s="83">
        <v>44819.0</v>
      </c>
      <c r="B1911" s="66">
        <v>2015.0</v>
      </c>
      <c r="C1911" s="66">
        <v>3.0</v>
      </c>
      <c r="D1911" s="66" t="s">
        <v>227</v>
      </c>
      <c r="E1911" s="66">
        <v>1.0</v>
      </c>
      <c r="F1911" s="66">
        <v>0.5643</v>
      </c>
      <c r="G1911" s="66">
        <v>0.3012</v>
      </c>
      <c r="I1911" s="82">
        <f t="shared" si="11"/>
        <v>0.8735059761</v>
      </c>
      <c r="J1911" s="82">
        <f t="shared" si="6"/>
        <v>0.533758639</v>
      </c>
    </row>
    <row r="1912">
      <c r="A1912" s="83">
        <v>44819.0</v>
      </c>
      <c r="B1912" s="66">
        <v>2085.0</v>
      </c>
      <c r="C1912" s="66">
        <v>1.0</v>
      </c>
      <c r="D1912" s="66" t="s">
        <v>227</v>
      </c>
      <c r="E1912" s="66">
        <v>1.0</v>
      </c>
      <c r="F1912" s="66">
        <v>0.5134</v>
      </c>
      <c r="G1912" s="66">
        <v>0.2708</v>
      </c>
      <c r="I1912" s="82">
        <f t="shared" si="11"/>
        <v>0.8958641064</v>
      </c>
      <c r="J1912" s="82">
        <f t="shared" si="6"/>
        <v>0.5274639657</v>
      </c>
    </row>
    <row r="1913">
      <c r="A1913" s="83">
        <v>44819.0</v>
      </c>
      <c r="B1913" s="66">
        <v>2085.0</v>
      </c>
      <c r="C1913" s="66">
        <v>1.0</v>
      </c>
      <c r="D1913" s="66" t="s">
        <v>227</v>
      </c>
      <c r="E1913" s="66">
        <v>0.0</v>
      </c>
      <c r="F1913" s="66">
        <v>0.5425</v>
      </c>
      <c r="G1913" s="66">
        <v>0.2945</v>
      </c>
      <c r="I1913" s="82">
        <f t="shared" si="11"/>
        <v>0.8421052632</v>
      </c>
      <c r="J1913" s="82">
        <f t="shared" si="6"/>
        <v>0.5428571429</v>
      </c>
    </row>
    <row r="1914">
      <c r="A1914" s="83">
        <v>44819.0</v>
      </c>
      <c r="B1914" s="66">
        <v>2085.0</v>
      </c>
      <c r="C1914" s="66">
        <v>1.0</v>
      </c>
      <c r="D1914" s="66" t="s">
        <v>228</v>
      </c>
      <c r="E1914" s="66">
        <v>0.0</v>
      </c>
      <c r="F1914" s="66">
        <v>0.883</v>
      </c>
      <c r="G1914" s="66">
        <v>0.4317</v>
      </c>
      <c r="I1914" s="82">
        <f t="shared" si="11"/>
        <v>1.045401899</v>
      </c>
      <c r="J1914" s="82">
        <f t="shared" si="6"/>
        <v>0.4889014723</v>
      </c>
    </row>
    <row r="1915">
      <c r="A1915" s="83">
        <v>44819.0</v>
      </c>
      <c r="B1915" s="66">
        <v>2085.0</v>
      </c>
      <c r="C1915" s="66">
        <v>2.0</v>
      </c>
      <c r="D1915" s="66" t="s">
        <v>228</v>
      </c>
      <c r="E1915" s="66">
        <v>0.0</v>
      </c>
      <c r="F1915" s="66">
        <v>1.18134</v>
      </c>
      <c r="G1915" s="66">
        <v>0.9237</v>
      </c>
      <c r="I1915" s="82">
        <f t="shared" si="11"/>
        <v>0.2789217278</v>
      </c>
      <c r="J1915" s="82">
        <f t="shared" si="6"/>
        <v>0.78190868</v>
      </c>
    </row>
    <row r="1916">
      <c r="A1916" s="83">
        <v>44819.0</v>
      </c>
      <c r="B1916" s="66">
        <v>2085.0</v>
      </c>
      <c r="C1916" s="66">
        <v>2.0</v>
      </c>
      <c r="D1916" s="66" t="s">
        <v>227</v>
      </c>
      <c r="E1916" s="66">
        <v>0.0</v>
      </c>
      <c r="F1916" s="66">
        <v>0.852</v>
      </c>
      <c r="G1916" s="66">
        <v>0.4542</v>
      </c>
      <c r="I1916" s="82">
        <f t="shared" si="11"/>
        <v>0.8758256275</v>
      </c>
      <c r="J1916" s="82">
        <f t="shared" si="6"/>
        <v>0.5330985915</v>
      </c>
    </row>
    <row r="1917">
      <c r="A1917" s="83">
        <v>44819.0</v>
      </c>
      <c r="B1917" s="66">
        <v>2085.0</v>
      </c>
      <c r="C1917" s="66">
        <v>2.0</v>
      </c>
      <c r="D1917" s="66" t="s">
        <v>227</v>
      </c>
      <c r="E1917" s="66">
        <v>1.0</v>
      </c>
      <c r="F1917" s="66">
        <v>0.3501</v>
      </c>
      <c r="G1917" s="66">
        <v>0.1808</v>
      </c>
      <c r="I1917" s="82">
        <f t="shared" si="11"/>
        <v>0.9363938053</v>
      </c>
      <c r="J1917" s="82">
        <f t="shared" si="6"/>
        <v>0.5164238789</v>
      </c>
    </row>
    <row r="1918">
      <c r="A1918" s="83">
        <v>44819.0</v>
      </c>
      <c r="B1918" s="66">
        <v>2085.0</v>
      </c>
      <c r="C1918" s="66">
        <v>3.0</v>
      </c>
      <c r="D1918" s="66" t="s">
        <v>228</v>
      </c>
      <c r="E1918" s="66">
        <v>0.0</v>
      </c>
      <c r="F1918" s="66">
        <v>0.6512</v>
      </c>
      <c r="G1918" s="66">
        <v>0.334</v>
      </c>
      <c r="I1918" s="82">
        <f t="shared" si="11"/>
        <v>0.9497005988</v>
      </c>
      <c r="J1918" s="82">
        <f t="shared" si="6"/>
        <v>0.5128992629</v>
      </c>
    </row>
    <row r="1919">
      <c r="A1919" s="83">
        <v>44819.0</v>
      </c>
      <c r="B1919" s="66">
        <v>2085.0</v>
      </c>
      <c r="C1919" s="66">
        <v>3.0</v>
      </c>
      <c r="D1919" s="66" t="s">
        <v>227</v>
      </c>
      <c r="E1919" s="66">
        <v>0.0</v>
      </c>
      <c r="F1919" s="66">
        <v>0.4502</v>
      </c>
      <c r="G1919" s="66">
        <v>0.2422</v>
      </c>
      <c r="I1919" s="82">
        <f t="shared" si="11"/>
        <v>0.8587943848</v>
      </c>
      <c r="J1919" s="82">
        <f t="shared" si="6"/>
        <v>0.5379831186</v>
      </c>
    </row>
    <row r="1920">
      <c r="A1920" s="83">
        <v>44819.0</v>
      </c>
      <c r="B1920" s="66">
        <v>2085.0</v>
      </c>
      <c r="C1920" s="66">
        <v>3.0</v>
      </c>
      <c r="D1920" s="66" t="s">
        <v>227</v>
      </c>
      <c r="E1920" s="66">
        <v>1.0</v>
      </c>
      <c r="F1920" s="66">
        <v>0.488</v>
      </c>
      <c r="G1920" s="66">
        <v>0.2627</v>
      </c>
      <c r="I1920" s="82">
        <f t="shared" si="11"/>
        <v>0.8576322802</v>
      </c>
      <c r="J1920" s="82">
        <f t="shared" si="6"/>
        <v>0.5383196721</v>
      </c>
    </row>
    <row r="1921">
      <c r="A1921" s="83">
        <v>44819.0</v>
      </c>
      <c r="B1921" s="66">
        <v>2086.0</v>
      </c>
      <c r="C1921" s="66">
        <v>1.0</v>
      </c>
      <c r="D1921" s="66" t="s">
        <v>227</v>
      </c>
      <c r="E1921" s="66">
        <v>0.0</v>
      </c>
      <c r="F1921" s="66">
        <v>0.475</v>
      </c>
      <c r="G1921" s="66">
        <v>0.2511</v>
      </c>
      <c r="I1921" s="82">
        <f t="shared" si="11"/>
        <v>0.8916766229</v>
      </c>
      <c r="J1921" s="82">
        <f t="shared" si="6"/>
        <v>0.5286315789</v>
      </c>
    </row>
    <row r="1922">
      <c r="A1922" s="83">
        <v>44819.0</v>
      </c>
      <c r="B1922" s="66">
        <v>2086.0</v>
      </c>
      <c r="C1922" s="66">
        <v>1.0</v>
      </c>
      <c r="D1922" s="66" t="s">
        <v>228</v>
      </c>
      <c r="E1922" s="66">
        <v>0.0</v>
      </c>
      <c r="F1922" s="66">
        <v>1.4716</v>
      </c>
      <c r="G1922" s="66">
        <v>0.7863</v>
      </c>
      <c r="I1922" s="82">
        <f t="shared" si="11"/>
        <v>0.8715502989</v>
      </c>
      <c r="J1922" s="82">
        <f t="shared" si="6"/>
        <v>0.5343163903</v>
      </c>
    </row>
    <row r="1923">
      <c r="A1923" s="83">
        <v>44819.0</v>
      </c>
      <c r="B1923" s="66">
        <v>2086.0</v>
      </c>
      <c r="C1923" s="66">
        <v>1.0</v>
      </c>
      <c r="D1923" s="66" t="s">
        <v>227</v>
      </c>
      <c r="E1923" s="66">
        <v>1.0</v>
      </c>
      <c r="F1923" s="66">
        <v>0.2399</v>
      </c>
      <c r="G1923" s="66">
        <v>0.127</v>
      </c>
      <c r="I1923" s="82">
        <f t="shared" si="11"/>
        <v>0.888976378</v>
      </c>
      <c r="J1923" s="82">
        <f t="shared" si="6"/>
        <v>0.5293872447</v>
      </c>
    </row>
    <row r="1924">
      <c r="A1924" s="83">
        <v>44819.0</v>
      </c>
      <c r="B1924" s="66">
        <v>2086.0</v>
      </c>
      <c r="C1924" s="66">
        <v>2.0</v>
      </c>
      <c r="D1924" s="66" t="s">
        <v>228</v>
      </c>
      <c r="E1924" s="66">
        <v>0.0</v>
      </c>
      <c r="F1924" s="66">
        <v>1.3619</v>
      </c>
      <c r="G1924" s="66">
        <v>0.7027</v>
      </c>
      <c r="I1924" s="82">
        <f t="shared" si="11"/>
        <v>0.9380959158</v>
      </c>
      <c r="J1924" s="82">
        <f t="shared" si="6"/>
        <v>0.5159703356</v>
      </c>
    </row>
    <row r="1925">
      <c r="A1925" s="83">
        <v>44819.0</v>
      </c>
      <c r="B1925" s="66">
        <v>2086.0</v>
      </c>
      <c r="C1925" s="66">
        <v>2.0</v>
      </c>
      <c r="D1925" s="66" t="s">
        <v>227</v>
      </c>
      <c r="E1925" s="66">
        <v>0.0</v>
      </c>
      <c r="F1925" s="66">
        <v>0.2469</v>
      </c>
      <c r="G1925" s="66">
        <v>0.1332</v>
      </c>
      <c r="I1925" s="82">
        <f t="shared" si="11"/>
        <v>0.8536036036</v>
      </c>
      <c r="J1925" s="82">
        <f t="shared" si="6"/>
        <v>0.5394896719</v>
      </c>
    </row>
    <row r="1926">
      <c r="A1926" s="83">
        <v>44819.0</v>
      </c>
      <c r="B1926" s="66">
        <v>2086.0</v>
      </c>
      <c r="C1926" s="66">
        <v>2.0</v>
      </c>
      <c r="D1926" s="66" t="s">
        <v>227</v>
      </c>
      <c r="E1926" s="66">
        <v>1.0</v>
      </c>
      <c r="F1926" s="66">
        <v>0.2508</v>
      </c>
      <c r="G1926" s="66">
        <v>0.1312</v>
      </c>
      <c r="I1926" s="82">
        <f t="shared" si="11"/>
        <v>0.9115853659</v>
      </c>
      <c r="J1926" s="82">
        <f t="shared" si="6"/>
        <v>0.5231259968</v>
      </c>
    </row>
    <row r="1927">
      <c r="A1927" s="83">
        <v>44819.0</v>
      </c>
      <c r="B1927" s="66">
        <v>2086.0</v>
      </c>
      <c r="C1927" s="66">
        <v>3.0</v>
      </c>
      <c r="D1927" s="66" t="s">
        <v>227</v>
      </c>
      <c r="E1927" s="66">
        <v>0.0</v>
      </c>
      <c r="F1927" s="66">
        <v>0.3165</v>
      </c>
      <c r="G1927" s="66">
        <v>0.1573</v>
      </c>
      <c r="I1927" s="82">
        <f t="shared" si="11"/>
        <v>1.01207883</v>
      </c>
      <c r="J1927" s="82">
        <f t="shared" si="6"/>
        <v>0.4969984202</v>
      </c>
    </row>
    <row r="1928">
      <c r="A1928" s="83">
        <v>44819.0</v>
      </c>
      <c r="B1928" s="66">
        <v>2086.0</v>
      </c>
      <c r="C1928" s="66">
        <v>3.0</v>
      </c>
      <c r="D1928" s="66" t="s">
        <v>228</v>
      </c>
      <c r="E1928" s="66">
        <v>0.0</v>
      </c>
      <c r="F1928" s="66">
        <v>1.3541</v>
      </c>
      <c r="G1928" s="66">
        <v>0.6994</v>
      </c>
      <c r="I1928" s="82">
        <f t="shared" si="11"/>
        <v>0.9360880755</v>
      </c>
      <c r="J1928" s="82">
        <f t="shared" si="6"/>
        <v>0.516505428</v>
      </c>
    </row>
    <row r="1929">
      <c r="A1929" s="83">
        <v>44819.0</v>
      </c>
      <c r="B1929" s="66">
        <v>2086.0</v>
      </c>
      <c r="C1929" s="66">
        <v>3.0</v>
      </c>
      <c r="D1929" s="66" t="s">
        <v>227</v>
      </c>
      <c r="E1929" s="66">
        <v>1.0</v>
      </c>
      <c r="F1929" s="66">
        <v>0.5078</v>
      </c>
      <c r="G1929" s="66">
        <v>0.2613</v>
      </c>
      <c r="I1929" s="82">
        <f t="shared" si="11"/>
        <v>0.9433601225</v>
      </c>
      <c r="J1929" s="82">
        <f t="shared" si="6"/>
        <v>0.5145726664</v>
      </c>
    </row>
    <row r="1930">
      <c r="A1930" s="101">
        <v>44819.0</v>
      </c>
      <c r="B1930" s="111">
        <v>2087.0</v>
      </c>
      <c r="C1930" s="111">
        <v>1.0</v>
      </c>
      <c r="D1930" s="110" t="s">
        <v>227</v>
      </c>
      <c r="E1930" s="112">
        <v>0.0</v>
      </c>
      <c r="F1930" s="111">
        <v>0.358</v>
      </c>
      <c r="G1930" s="111">
        <v>0.1693</v>
      </c>
      <c r="H1930" s="88"/>
      <c r="I1930" s="82">
        <f t="shared" si="11"/>
        <v>1.114589486</v>
      </c>
      <c r="J1930" s="82">
        <f t="shared" si="6"/>
        <v>0.4729050279</v>
      </c>
    </row>
    <row r="1931">
      <c r="A1931" s="101">
        <v>44819.0</v>
      </c>
      <c r="B1931" s="111">
        <v>2087.0</v>
      </c>
      <c r="C1931" s="111">
        <v>1.0</v>
      </c>
      <c r="D1931" s="110" t="s">
        <v>228</v>
      </c>
      <c r="E1931" s="112">
        <v>0.0</v>
      </c>
      <c r="F1931" s="111">
        <v>0.6519</v>
      </c>
      <c r="G1931" s="111">
        <v>0.3475</v>
      </c>
      <c r="H1931" s="88"/>
      <c r="I1931" s="82">
        <f t="shared" si="11"/>
        <v>0.875971223</v>
      </c>
      <c r="J1931" s="82">
        <f t="shared" si="6"/>
        <v>0.5330572174</v>
      </c>
    </row>
    <row r="1932">
      <c r="A1932" s="101">
        <v>44819.0</v>
      </c>
      <c r="B1932" s="111">
        <v>2087.0</v>
      </c>
      <c r="C1932" s="111">
        <v>1.0</v>
      </c>
      <c r="D1932" s="110" t="s">
        <v>227</v>
      </c>
      <c r="E1932" s="112">
        <v>1.0</v>
      </c>
      <c r="F1932" s="111">
        <v>0.6941</v>
      </c>
      <c r="G1932" s="111">
        <v>0.3301</v>
      </c>
      <c r="H1932" s="88"/>
      <c r="I1932" s="82">
        <f t="shared" si="11"/>
        <v>1.102696153</v>
      </c>
      <c r="J1932" s="82">
        <f t="shared" si="6"/>
        <v>0.4755798876</v>
      </c>
    </row>
    <row r="1933">
      <c r="A1933" s="101">
        <v>44819.0</v>
      </c>
      <c r="B1933" s="111">
        <v>2087.0</v>
      </c>
      <c r="C1933" s="111">
        <v>2.0</v>
      </c>
      <c r="D1933" s="110" t="s">
        <v>228</v>
      </c>
      <c r="E1933" s="112">
        <v>1.0</v>
      </c>
      <c r="F1933" s="111">
        <v>0.8254</v>
      </c>
      <c r="G1933" s="111">
        <v>0.4573</v>
      </c>
      <c r="H1933" s="88"/>
      <c r="I1933" s="82">
        <f t="shared" si="11"/>
        <v>0.8049420512</v>
      </c>
      <c r="J1933" s="82">
        <f t="shared" si="6"/>
        <v>0.5540344076</v>
      </c>
    </row>
    <row r="1934">
      <c r="A1934" s="101">
        <v>44819.0</v>
      </c>
      <c r="B1934" s="111">
        <v>2087.0</v>
      </c>
      <c r="C1934" s="111">
        <v>2.0</v>
      </c>
      <c r="D1934" s="110" t="s">
        <v>227</v>
      </c>
      <c r="E1934" s="112">
        <v>1.0</v>
      </c>
      <c r="F1934" s="111">
        <v>0.3101</v>
      </c>
      <c r="G1934" s="111">
        <v>0.153</v>
      </c>
      <c r="H1934" s="88"/>
      <c r="I1934" s="82">
        <f t="shared" si="11"/>
        <v>1.026797386</v>
      </c>
      <c r="J1934" s="82">
        <f t="shared" si="6"/>
        <v>0.4933892293</v>
      </c>
    </row>
    <row r="1935">
      <c r="A1935" s="101">
        <v>44819.0</v>
      </c>
      <c r="B1935" s="111">
        <v>2087.0</v>
      </c>
      <c r="C1935" s="111">
        <v>2.0</v>
      </c>
      <c r="D1935" s="110" t="s">
        <v>227</v>
      </c>
      <c r="E1935" s="112">
        <v>0.0</v>
      </c>
      <c r="F1935" s="111">
        <v>0.281</v>
      </c>
      <c r="G1935" s="111">
        <v>0.1389</v>
      </c>
      <c r="H1935" s="88"/>
      <c r="I1935" s="82">
        <f t="shared" si="11"/>
        <v>1.023038157</v>
      </c>
      <c r="J1935" s="82">
        <f t="shared" si="6"/>
        <v>0.4943060498</v>
      </c>
    </row>
    <row r="1936">
      <c r="A1936" s="101">
        <v>44819.0</v>
      </c>
      <c r="B1936" s="111">
        <v>2087.0</v>
      </c>
      <c r="C1936" s="111">
        <v>3.0</v>
      </c>
      <c r="D1936" s="110" t="s">
        <v>228</v>
      </c>
      <c r="E1936" s="112">
        <v>0.0</v>
      </c>
      <c r="F1936" s="111">
        <v>0.7846</v>
      </c>
      <c r="G1936" s="111">
        <v>0.421</v>
      </c>
      <c r="H1936" s="88"/>
      <c r="I1936" s="82">
        <f t="shared" si="11"/>
        <v>0.8636579572</v>
      </c>
      <c r="J1936" s="82">
        <f t="shared" si="6"/>
        <v>0.5365791486</v>
      </c>
    </row>
    <row r="1937">
      <c r="A1937" s="101">
        <v>44819.0</v>
      </c>
      <c r="B1937" s="111">
        <v>2087.0</v>
      </c>
      <c r="C1937" s="111">
        <v>3.0</v>
      </c>
      <c r="D1937" s="110" t="s">
        <v>227</v>
      </c>
      <c r="E1937" s="112">
        <v>0.0</v>
      </c>
      <c r="F1937" s="111">
        <v>0.2544</v>
      </c>
      <c r="G1937" s="111">
        <v>0.115</v>
      </c>
      <c r="H1937" s="88"/>
      <c r="I1937" s="82">
        <f t="shared" si="11"/>
        <v>1.212173913</v>
      </c>
      <c r="J1937" s="82">
        <f t="shared" si="6"/>
        <v>0.4520440252</v>
      </c>
    </row>
    <row r="1938">
      <c r="A1938" s="101">
        <v>44819.0</v>
      </c>
      <c r="B1938" s="111">
        <v>2087.0</v>
      </c>
      <c r="C1938" s="111">
        <v>3.0</v>
      </c>
      <c r="D1938" s="110" t="s">
        <v>227</v>
      </c>
      <c r="E1938" s="112">
        <v>1.0</v>
      </c>
      <c r="F1938" s="111">
        <v>0.3678</v>
      </c>
      <c r="G1938" s="111">
        <v>0.1763</v>
      </c>
      <c r="H1938" s="88"/>
      <c r="I1938" s="82">
        <f t="shared" si="11"/>
        <v>1.086216676</v>
      </c>
      <c r="J1938" s="82">
        <f t="shared" si="6"/>
        <v>0.479336596</v>
      </c>
    </row>
    <row r="1939">
      <c r="A1939" s="83">
        <v>44819.0</v>
      </c>
      <c r="B1939" s="66">
        <v>2088.0</v>
      </c>
      <c r="C1939" s="66">
        <v>1.0</v>
      </c>
      <c r="D1939" s="66" t="s">
        <v>227</v>
      </c>
      <c r="E1939" s="66">
        <v>1.0</v>
      </c>
      <c r="F1939" s="66">
        <v>0.4216</v>
      </c>
      <c r="G1939" s="66">
        <v>0.2165</v>
      </c>
      <c r="I1939" s="82">
        <f t="shared" si="11"/>
        <v>0.9473441109</v>
      </c>
      <c r="J1939" s="82">
        <f t="shared" si="6"/>
        <v>0.5135199241</v>
      </c>
    </row>
    <row r="1940">
      <c r="A1940" s="83">
        <v>44819.0</v>
      </c>
      <c r="B1940" s="66">
        <v>2088.0</v>
      </c>
      <c r="C1940" s="66">
        <v>1.0</v>
      </c>
      <c r="D1940" s="66" t="s">
        <v>228</v>
      </c>
      <c r="E1940" s="66">
        <v>0.0</v>
      </c>
      <c r="F1940" s="66">
        <v>0.2598</v>
      </c>
      <c r="G1940" s="66">
        <v>0.1263</v>
      </c>
      <c r="I1940" s="82">
        <f t="shared" si="11"/>
        <v>1.057007126</v>
      </c>
      <c r="J1940" s="82">
        <f t="shared" si="6"/>
        <v>0.4861431871</v>
      </c>
    </row>
    <row r="1941">
      <c r="A1941" s="83">
        <v>44819.0</v>
      </c>
      <c r="B1941" s="66">
        <v>2088.0</v>
      </c>
      <c r="C1941" s="66">
        <v>1.0</v>
      </c>
      <c r="D1941" s="66" t="s">
        <v>227</v>
      </c>
      <c r="E1941" s="66">
        <v>0.0</v>
      </c>
      <c r="F1941" s="66">
        <v>0.0497</v>
      </c>
      <c r="G1941" s="66">
        <v>0.0237</v>
      </c>
      <c r="I1941" s="82">
        <f t="shared" si="11"/>
        <v>1.097046414</v>
      </c>
      <c r="J1941" s="82">
        <f t="shared" si="6"/>
        <v>0.476861167</v>
      </c>
    </row>
    <row r="1942">
      <c r="A1942" s="83">
        <v>44819.0</v>
      </c>
      <c r="B1942" s="66">
        <v>2088.0</v>
      </c>
      <c r="C1942" s="66">
        <v>2.0</v>
      </c>
      <c r="D1942" s="66" t="s">
        <v>228</v>
      </c>
      <c r="E1942" s="66">
        <v>0.0</v>
      </c>
      <c r="F1942" s="66">
        <v>0.1917</v>
      </c>
      <c r="G1942" s="66">
        <v>0.0942</v>
      </c>
      <c r="I1942" s="82">
        <f t="shared" si="11"/>
        <v>1.035031847</v>
      </c>
      <c r="J1942" s="82">
        <f t="shared" si="6"/>
        <v>0.4913928013</v>
      </c>
    </row>
    <row r="1943">
      <c r="A1943" s="83">
        <v>44819.0</v>
      </c>
      <c r="B1943" s="66">
        <v>2088.0</v>
      </c>
      <c r="C1943" s="66">
        <v>2.0</v>
      </c>
      <c r="D1943" s="66" t="s">
        <v>227</v>
      </c>
      <c r="E1943" s="66">
        <v>0.0</v>
      </c>
      <c r="F1943" s="66">
        <v>0.2537</v>
      </c>
      <c r="G1943" s="66">
        <v>0.1275</v>
      </c>
      <c r="I1943" s="82">
        <f t="shared" si="11"/>
        <v>0.9898039216</v>
      </c>
      <c r="J1943" s="82">
        <f t="shared" si="6"/>
        <v>0.5025620812</v>
      </c>
    </row>
    <row r="1944">
      <c r="A1944" s="83">
        <v>44819.0</v>
      </c>
      <c r="B1944" s="66">
        <v>2088.0</v>
      </c>
      <c r="C1944" s="66">
        <v>2.0</v>
      </c>
      <c r="D1944" s="66" t="s">
        <v>227</v>
      </c>
      <c r="E1944" s="66">
        <v>1.0</v>
      </c>
      <c r="F1944" s="66">
        <v>0.2562</v>
      </c>
      <c r="G1944" s="66">
        <v>0.1275</v>
      </c>
      <c r="I1944" s="82">
        <f t="shared" si="11"/>
        <v>1.009411765</v>
      </c>
      <c r="J1944" s="82">
        <f t="shared" si="6"/>
        <v>0.4976580796</v>
      </c>
    </row>
    <row r="1945">
      <c r="A1945" s="83">
        <v>44819.0</v>
      </c>
      <c r="B1945" s="66">
        <v>2088.0</v>
      </c>
      <c r="C1945" s="66">
        <v>3.0</v>
      </c>
      <c r="D1945" s="66" t="s">
        <v>228</v>
      </c>
      <c r="E1945" s="66">
        <v>0.0</v>
      </c>
      <c r="F1945" s="66">
        <v>0.2292</v>
      </c>
      <c r="G1945" s="66">
        <v>0.1135</v>
      </c>
      <c r="I1945" s="82">
        <f t="shared" si="11"/>
        <v>1.01938326</v>
      </c>
      <c r="J1945" s="82">
        <f t="shared" si="6"/>
        <v>0.4952006981</v>
      </c>
    </row>
    <row r="1946">
      <c r="A1946" s="83">
        <v>44819.0</v>
      </c>
      <c r="B1946" s="66">
        <v>2088.0</v>
      </c>
      <c r="C1946" s="66">
        <v>3.0</v>
      </c>
      <c r="D1946" s="66" t="s">
        <v>227</v>
      </c>
      <c r="E1946" s="66">
        <v>0.0</v>
      </c>
      <c r="F1946" s="66">
        <v>0.0637</v>
      </c>
      <c r="G1946" s="66">
        <v>0.0315</v>
      </c>
      <c r="I1946" s="82">
        <f t="shared" si="11"/>
        <v>1.022222222</v>
      </c>
      <c r="J1946" s="82">
        <f t="shared" si="6"/>
        <v>0.4945054945</v>
      </c>
    </row>
    <row r="1947">
      <c r="A1947" s="83">
        <v>44819.0</v>
      </c>
      <c r="B1947" s="66">
        <v>2088.0</v>
      </c>
      <c r="C1947" s="66">
        <v>3.0</v>
      </c>
      <c r="D1947" s="66" t="s">
        <v>227</v>
      </c>
      <c r="E1947" s="66">
        <v>1.0</v>
      </c>
      <c r="F1947" s="66">
        <v>0.2442</v>
      </c>
      <c r="G1947" s="66">
        <v>0.1272</v>
      </c>
      <c r="I1947" s="82">
        <f t="shared" si="11"/>
        <v>0.9198113208</v>
      </c>
      <c r="J1947" s="82">
        <f t="shared" si="6"/>
        <v>0.5208845209</v>
      </c>
    </row>
    <row r="1948">
      <c r="A1948" s="83">
        <v>44819.0</v>
      </c>
      <c r="B1948" s="66">
        <v>2089.0</v>
      </c>
      <c r="C1948" s="66">
        <v>1.0</v>
      </c>
      <c r="D1948" s="66" t="s">
        <v>227</v>
      </c>
      <c r="E1948" s="66">
        <v>0.0</v>
      </c>
      <c r="F1948" s="66">
        <v>0.2004</v>
      </c>
      <c r="G1948" s="66">
        <v>0.0991</v>
      </c>
      <c r="I1948" s="82">
        <f t="shared" si="11"/>
        <v>1.022199798</v>
      </c>
      <c r="J1948" s="82">
        <f t="shared" si="6"/>
        <v>0.494510978</v>
      </c>
    </row>
    <row r="1949">
      <c r="A1949" s="83">
        <v>44819.0</v>
      </c>
      <c r="B1949" s="66">
        <v>2089.0</v>
      </c>
      <c r="C1949" s="66">
        <v>1.0</v>
      </c>
      <c r="D1949" s="66" t="s">
        <v>228</v>
      </c>
      <c r="E1949" s="66">
        <v>0.0</v>
      </c>
      <c r="F1949" s="66">
        <v>1.7045</v>
      </c>
      <c r="G1949" s="66">
        <v>0.9304</v>
      </c>
      <c r="I1949" s="82">
        <f t="shared" si="11"/>
        <v>0.8320077386</v>
      </c>
      <c r="J1949" s="82">
        <f t="shared" si="6"/>
        <v>0.5458492226</v>
      </c>
    </row>
    <row r="1950">
      <c r="A1950" s="83">
        <v>44819.0</v>
      </c>
      <c r="B1950" s="66">
        <v>2089.0</v>
      </c>
      <c r="C1950" s="66">
        <v>1.0</v>
      </c>
      <c r="D1950" s="66" t="s">
        <v>227</v>
      </c>
      <c r="E1950" s="66">
        <v>1.0</v>
      </c>
      <c r="F1950" s="66">
        <v>0.4902</v>
      </c>
      <c r="G1950" s="66">
        <v>0.2649</v>
      </c>
      <c r="I1950" s="82">
        <f t="shared" si="11"/>
        <v>0.8505096263</v>
      </c>
      <c r="J1950" s="82">
        <f t="shared" si="6"/>
        <v>0.5403916769</v>
      </c>
    </row>
    <row r="1951">
      <c r="A1951" s="83">
        <v>44819.0</v>
      </c>
      <c r="B1951" s="66">
        <v>2089.0</v>
      </c>
      <c r="C1951" s="66">
        <v>1.0</v>
      </c>
      <c r="D1951" s="66" t="s">
        <v>228</v>
      </c>
      <c r="E1951" s="66">
        <v>1.0</v>
      </c>
      <c r="F1951" s="66">
        <v>1.9935</v>
      </c>
      <c r="G1951" s="66">
        <v>1.1867</v>
      </c>
      <c r="I1951" s="82">
        <f t="shared" si="11"/>
        <v>0.679868543</v>
      </c>
      <c r="J1951" s="82">
        <f t="shared" si="6"/>
        <v>0.5952846752</v>
      </c>
    </row>
    <row r="1952">
      <c r="A1952" s="83">
        <v>44819.0</v>
      </c>
      <c r="B1952" s="66">
        <v>2089.0</v>
      </c>
      <c r="C1952" s="66">
        <v>2.0</v>
      </c>
      <c r="D1952" s="66" t="s">
        <v>227</v>
      </c>
      <c r="E1952" s="66">
        <v>0.0</v>
      </c>
      <c r="F1952" s="66">
        <v>0.2756</v>
      </c>
      <c r="G1952" s="66">
        <v>0.1305</v>
      </c>
      <c r="I1952" s="82">
        <f t="shared" si="11"/>
        <v>1.111877395</v>
      </c>
      <c r="J1952" s="82">
        <f t="shared" si="6"/>
        <v>0.4735123367</v>
      </c>
    </row>
    <row r="1953">
      <c r="A1953" s="83">
        <v>44819.0</v>
      </c>
      <c r="B1953" s="66">
        <v>2089.0</v>
      </c>
      <c r="C1953" s="66">
        <v>2.0</v>
      </c>
      <c r="D1953" s="66" t="s">
        <v>228</v>
      </c>
      <c r="E1953" s="66">
        <v>1.0</v>
      </c>
      <c r="F1953" s="66">
        <v>0.4901</v>
      </c>
      <c r="G1953" s="66">
        <v>0.291</v>
      </c>
      <c r="I1953" s="82">
        <f t="shared" si="11"/>
        <v>0.6841924399</v>
      </c>
      <c r="J1953" s="82">
        <f t="shared" si="6"/>
        <v>0.5937563762</v>
      </c>
    </row>
    <row r="1954">
      <c r="A1954" s="83">
        <v>44819.0</v>
      </c>
      <c r="B1954" s="66">
        <v>2089.0</v>
      </c>
      <c r="C1954" s="66">
        <v>2.0</v>
      </c>
      <c r="D1954" s="66" t="s">
        <v>227</v>
      </c>
      <c r="E1954" s="66">
        <v>1.0</v>
      </c>
      <c r="F1954" s="66">
        <v>0.2262</v>
      </c>
      <c r="G1954" s="66">
        <v>0.1257</v>
      </c>
      <c r="I1954" s="82">
        <f t="shared" si="11"/>
        <v>0.799522673</v>
      </c>
      <c r="J1954" s="82">
        <f t="shared" si="6"/>
        <v>0.5557029178</v>
      </c>
    </row>
    <row r="1955">
      <c r="A1955" s="83">
        <v>44819.0</v>
      </c>
      <c r="B1955" s="66">
        <v>2089.0</v>
      </c>
      <c r="C1955" s="66">
        <v>2.0</v>
      </c>
      <c r="D1955" s="66" t="s">
        <v>228</v>
      </c>
      <c r="E1955" s="66">
        <v>0.0</v>
      </c>
      <c r="F1955" s="66">
        <v>1.2384</v>
      </c>
      <c r="G1955" s="66">
        <v>0.691</v>
      </c>
      <c r="I1955" s="82">
        <f t="shared" si="11"/>
        <v>0.7921852388</v>
      </c>
      <c r="J1955" s="82">
        <f t="shared" si="6"/>
        <v>0.5579780362</v>
      </c>
    </row>
    <row r="1956">
      <c r="A1956" s="83">
        <v>44819.0</v>
      </c>
      <c r="B1956" s="66">
        <v>2089.0</v>
      </c>
      <c r="C1956" s="66">
        <v>3.0</v>
      </c>
      <c r="D1956" s="66" t="s">
        <v>227</v>
      </c>
      <c r="E1956" s="66">
        <v>1.0</v>
      </c>
      <c r="F1956" s="66">
        <v>0.1557</v>
      </c>
      <c r="G1956" s="66">
        <v>0.0823</v>
      </c>
      <c r="I1956" s="82">
        <f t="shared" si="11"/>
        <v>0.8918590522</v>
      </c>
      <c r="J1956" s="82">
        <f t="shared" si="6"/>
        <v>0.5285806037</v>
      </c>
    </row>
    <row r="1957">
      <c r="A1957" s="83">
        <v>44819.0</v>
      </c>
      <c r="B1957" s="66">
        <v>2089.0</v>
      </c>
      <c r="C1957" s="66">
        <v>3.0</v>
      </c>
      <c r="D1957" s="66" t="s">
        <v>227</v>
      </c>
      <c r="E1957" s="66">
        <v>0.0</v>
      </c>
      <c r="F1957" s="66">
        <v>0.1724</v>
      </c>
      <c r="G1957" s="66">
        <v>0.0901</v>
      </c>
      <c r="I1957" s="82">
        <f t="shared" si="11"/>
        <v>0.9134295228</v>
      </c>
      <c r="J1957" s="82">
        <f t="shared" si="6"/>
        <v>0.5226218097</v>
      </c>
    </row>
    <row r="1958">
      <c r="A1958" s="83">
        <v>44819.0</v>
      </c>
      <c r="B1958" s="66">
        <v>2089.0</v>
      </c>
      <c r="C1958" s="66">
        <v>3.0</v>
      </c>
      <c r="D1958" s="66" t="s">
        <v>228</v>
      </c>
      <c r="E1958" s="66">
        <v>1.0</v>
      </c>
      <c r="F1958" s="66">
        <v>0.5033</v>
      </c>
      <c r="G1958" s="66">
        <v>0.304</v>
      </c>
      <c r="I1958" s="82">
        <f t="shared" si="11"/>
        <v>0.6555921053</v>
      </c>
      <c r="J1958" s="82">
        <f t="shared" si="6"/>
        <v>0.6040135108</v>
      </c>
    </row>
    <row r="1959">
      <c r="A1959" s="83">
        <v>44819.0</v>
      </c>
      <c r="B1959" s="66">
        <v>2089.0</v>
      </c>
      <c r="C1959" s="66">
        <v>3.0</v>
      </c>
      <c r="D1959" s="66" t="s">
        <v>228</v>
      </c>
      <c r="E1959" s="66">
        <v>0.0</v>
      </c>
      <c r="F1959" s="66">
        <v>1.0009</v>
      </c>
      <c r="G1959" s="66">
        <v>0.568</v>
      </c>
      <c r="I1959" s="82">
        <f t="shared" si="11"/>
        <v>0.7621478873</v>
      </c>
      <c r="J1959" s="82">
        <f t="shared" si="6"/>
        <v>0.5674892597</v>
      </c>
    </row>
    <row r="1960">
      <c r="A1960" s="83">
        <v>44819.0</v>
      </c>
      <c r="B1960" s="66">
        <v>2090.0</v>
      </c>
      <c r="C1960" s="66">
        <v>1.0</v>
      </c>
      <c r="D1960" s="66" t="s">
        <v>227</v>
      </c>
      <c r="E1960" s="66">
        <v>0.0</v>
      </c>
      <c r="F1960" s="66">
        <v>0.1947</v>
      </c>
      <c r="G1960" s="66">
        <v>0.0956</v>
      </c>
      <c r="I1960" s="82">
        <f t="shared" si="11"/>
        <v>1.036610879</v>
      </c>
      <c r="J1960" s="82">
        <f t="shared" si="6"/>
        <v>0.491011813</v>
      </c>
    </row>
    <row r="1961">
      <c r="A1961" s="83">
        <v>44819.0</v>
      </c>
      <c r="B1961" s="66">
        <v>2090.0</v>
      </c>
      <c r="C1961" s="66">
        <v>1.0</v>
      </c>
      <c r="D1961" s="66" t="s">
        <v>228</v>
      </c>
      <c r="E1961" s="66">
        <v>0.0</v>
      </c>
      <c r="F1961" s="66">
        <v>1.5501</v>
      </c>
      <c r="G1961" s="66">
        <v>0.735</v>
      </c>
      <c r="I1961" s="82">
        <f t="shared" si="11"/>
        <v>1.108979592</v>
      </c>
      <c r="J1961" s="82">
        <f t="shared" si="6"/>
        <v>0.4741629572</v>
      </c>
    </row>
    <row r="1962">
      <c r="A1962" s="83">
        <v>44819.0</v>
      </c>
      <c r="B1962" s="66">
        <v>2090.0</v>
      </c>
      <c r="C1962" s="66">
        <v>1.0</v>
      </c>
      <c r="D1962" s="66" t="s">
        <v>227</v>
      </c>
      <c r="E1962" s="66">
        <v>1.0</v>
      </c>
      <c r="F1962" s="66">
        <v>0.4399</v>
      </c>
      <c r="G1962" s="66">
        <v>0.191</v>
      </c>
      <c r="I1962" s="82">
        <f t="shared" si="11"/>
        <v>1.303141361</v>
      </c>
      <c r="J1962" s="82">
        <f t="shared" si="6"/>
        <v>0.4341895885</v>
      </c>
    </row>
    <row r="1963">
      <c r="A1963" s="83">
        <v>44819.0</v>
      </c>
      <c r="B1963" s="66">
        <v>2090.0</v>
      </c>
      <c r="C1963" s="66">
        <v>2.0</v>
      </c>
      <c r="D1963" s="66" t="s">
        <v>228</v>
      </c>
      <c r="E1963" s="66">
        <v>0.0</v>
      </c>
      <c r="F1963" s="66">
        <v>1.136</v>
      </c>
      <c r="G1963" s="66">
        <v>0.5475</v>
      </c>
      <c r="I1963" s="82">
        <f t="shared" si="11"/>
        <v>1.074885845</v>
      </c>
      <c r="J1963" s="82">
        <f t="shared" si="6"/>
        <v>0.4819542254</v>
      </c>
    </row>
    <row r="1964">
      <c r="A1964" s="83">
        <v>44819.0</v>
      </c>
      <c r="B1964" s="66">
        <v>2090.0</v>
      </c>
      <c r="C1964" s="66">
        <v>2.0</v>
      </c>
      <c r="D1964" s="66" t="s">
        <v>227</v>
      </c>
      <c r="E1964" s="66">
        <v>0.0</v>
      </c>
      <c r="F1964" s="66">
        <v>0.1078</v>
      </c>
      <c r="G1964" s="66">
        <v>0.0575</v>
      </c>
      <c r="I1964" s="82">
        <f t="shared" si="11"/>
        <v>0.8747826087</v>
      </c>
      <c r="J1964" s="82">
        <f t="shared" si="6"/>
        <v>0.5333951763</v>
      </c>
    </row>
    <row r="1965">
      <c r="A1965" s="83">
        <v>44819.0</v>
      </c>
      <c r="B1965" s="66">
        <v>2090.0</v>
      </c>
      <c r="C1965" s="66">
        <v>2.0</v>
      </c>
      <c r="D1965" s="66" t="s">
        <v>227</v>
      </c>
      <c r="E1965" s="66">
        <v>1.0</v>
      </c>
      <c r="F1965" s="66">
        <v>0.3749</v>
      </c>
      <c r="G1965" s="66">
        <v>0.1781</v>
      </c>
      <c r="I1965" s="82">
        <f t="shared" si="11"/>
        <v>1.104997193</v>
      </c>
      <c r="J1965" s="82">
        <f t="shared" si="6"/>
        <v>0.475060016</v>
      </c>
    </row>
    <row r="1966">
      <c r="A1966" s="83">
        <v>44819.0</v>
      </c>
      <c r="B1966" s="66">
        <v>2090.0</v>
      </c>
      <c r="C1966" s="66">
        <v>3.0</v>
      </c>
      <c r="D1966" s="66" t="s">
        <v>227</v>
      </c>
      <c r="E1966" s="66">
        <v>0.0</v>
      </c>
      <c r="F1966" s="66">
        <v>0.2293</v>
      </c>
      <c r="G1966" s="66">
        <v>0.1085</v>
      </c>
      <c r="I1966" s="82">
        <f t="shared" si="11"/>
        <v>1.113364055</v>
      </c>
      <c r="J1966" s="82">
        <f t="shared" si="6"/>
        <v>0.4731792412</v>
      </c>
    </row>
    <row r="1967">
      <c r="A1967" s="83">
        <v>44819.0</v>
      </c>
      <c r="B1967" s="66">
        <v>2090.0</v>
      </c>
      <c r="C1967" s="66">
        <v>3.0</v>
      </c>
      <c r="D1967" s="66" t="s">
        <v>228</v>
      </c>
      <c r="E1967" s="66">
        <v>0.0</v>
      </c>
      <c r="F1967" s="66">
        <v>1.1259</v>
      </c>
      <c r="G1967" s="66">
        <v>0.5387</v>
      </c>
      <c r="I1967" s="82">
        <f t="shared" si="11"/>
        <v>1.090031557</v>
      </c>
      <c r="J1967" s="82">
        <f t="shared" si="6"/>
        <v>0.4784616751</v>
      </c>
    </row>
    <row r="1968">
      <c r="A1968" s="83">
        <v>44819.0</v>
      </c>
      <c r="B1968" s="66">
        <v>2090.0</v>
      </c>
      <c r="C1968" s="66">
        <v>3.0</v>
      </c>
      <c r="D1968" s="66" t="s">
        <v>227</v>
      </c>
      <c r="E1968" s="66">
        <v>1.0</v>
      </c>
      <c r="F1968" s="66">
        <v>0.8074</v>
      </c>
      <c r="G1968" s="66">
        <v>0.3687</v>
      </c>
      <c r="I1968" s="82">
        <f t="shared" si="11"/>
        <v>1.189856252</v>
      </c>
      <c r="J1968" s="82">
        <f t="shared" si="6"/>
        <v>0.4566509784</v>
      </c>
    </row>
    <row r="1969">
      <c r="A1969" s="83">
        <v>44819.0</v>
      </c>
      <c r="B1969" s="66">
        <v>2091.0</v>
      </c>
      <c r="C1969" s="66">
        <v>1.0</v>
      </c>
      <c r="D1969" s="66" t="s">
        <v>228</v>
      </c>
      <c r="E1969" s="66">
        <v>1.0</v>
      </c>
      <c r="F1969" s="66">
        <v>1.2911</v>
      </c>
      <c r="G1969" s="66">
        <v>0.8011</v>
      </c>
      <c r="I1969" s="82">
        <f t="shared" si="11"/>
        <v>0.6116589689</v>
      </c>
      <c r="J1969" s="82">
        <f t="shared" si="6"/>
        <v>0.6204786616</v>
      </c>
    </row>
    <row r="1970">
      <c r="A1970" s="83">
        <v>44819.0</v>
      </c>
      <c r="B1970" s="66">
        <v>2091.0</v>
      </c>
      <c r="C1970" s="66">
        <v>1.0</v>
      </c>
      <c r="D1970" s="66" t="s">
        <v>228</v>
      </c>
      <c r="E1970" s="66">
        <v>0.0</v>
      </c>
      <c r="F1970" s="66">
        <v>2.1263</v>
      </c>
      <c r="G1970" s="66">
        <v>1.1885</v>
      </c>
      <c r="I1970" s="82">
        <f t="shared" si="11"/>
        <v>0.7890618427</v>
      </c>
      <c r="J1970" s="82">
        <f t="shared" si="6"/>
        <v>0.5589521704</v>
      </c>
    </row>
    <row r="1971">
      <c r="A1971" s="83">
        <v>44819.0</v>
      </c>
      <c r="B1971" s="66">
        <v>2091.0</v>
      </c>
      <c r="C1971" s="66">
        <v>1.0</v>
      </c>
      <c r="D1971" s="66" t="s">
        <v>227</v>
      </c>
      <c r="E1971" s="66">
        <v>0.0</v>
      </c>
      <c r="F1971" s="66">
        <v>0.6903</v>
      </c>
      <c r="G1971" s="66">
        <v>0.3716</v>
      </c>
      <c r="I1971" s="82">
        <f t="shared" si="11"/>
        <v>0.8576426265</v>
      </c>
      <c r="J1971" s="82">
        <f t="shared" si="6"/>
        <v>0.5383166739</v>
      </c>
    </row>
    <row r="1972">
      <c r="A1972" s="83">
        <v>44819.0</v>
      </c>
      <c r="B1972" s="66">
        <v>2091.0</v>
      </c>
      <c r="C1972" s="66">
        <v>1.0</v>
      </c>
      <c r="D1972" s="66" t="s">
        <v>227</v>
      </c>
      <c r="E1972" s="66">
        <v>1.0</v>
      </c>
      <c r="F1972" s="66">
        <v>0.8116</v>
      </c>
      <c r="G1972" s="66">
        <v>0.4399</v>
      </c>
      <c r="I1972" s="82">
        <f t="shared" si="11"/>
        <v>0.8449647647</v>
      </c>
      <c r="J1972" s="82">
        <f t="shared" si="6"/>
        <v>0.5420157713</v>
      </c>
    </row>
    <row r="1973">
      <c r="A1973" s="101">
        <v>44819.0</v>
      </c>
      <c r="B1973" s="111">
        <v>2091.0</v>
      </c>
      <c r="C1973" s="111">
        <v>2.0</v>
      </c>
      <c r="D1973" s="110" t="s">
        <v>227</v>
      </c>
      <c r="E1973" s="112">
        <v>1.0</v>
      </c>
      <c r="F1973" s="111">
        <v>0.447</v>
      </c>
      <c r="G1973" s="111">
        <v>0.2408</v>
      </c>
      <c r="H1973" s="117" t="s">
        <v>303</v>
      </c>
      <c r="I1973" s="82">
        <f t="shared" si="11"/>
        <v>0.8563122924</v>
      </c>
      <c r="J1973" s="82">
        <f t="shared" si="6"/>
        <v>0.5387024609</v>
      </c>
    </row>
    <row r="1974">
      <c r="A1974" s="101">
        <v>44819.0</v>
      </c>
      <c r="B1974" s="111">
        <v>2091.0</v>
      </c>
      <c r="C1974" s="111">
        <v>2.0</v>
      </c>
      <c r="D1974" s="110" t="s">
        <v>228</v>
      </c>
      <c r="E1974" s="112">
        <v>0.0</v>
      </c>
      <c r="F1974" s="111">
        <v>0.3317</v>
      </c>
      <c r="G1974" s="111">
        <v>0.1889</v>
      </c>
      <c r="H1974" s="88"/>
      <c r="I1974" s="82">
        <f t="shared" si="11"/>
        <v>0.755955532</v>
      </c>
      <c r="J1974" s="82">
        <f t="shared" si="6"/>
        <v>0.5694905035</v>
      </c>
    </row>
    <row r="1975">
      <c r="A1975" s="101">
        <v>44819.0</v>
      </c>
      <c r="B1975" s="111">
        <v>2091.0</v>
      </c>
      <c r="C1975" s="111">
        <v>2.0</v>
      </c>
      <c r="D1975" s="110" t="s">
        <v>228</v>
      </c>
      <c r="E1975" s="112">
        <v>1.0</v>
      </c>
      <c r="F1975" s="111">
        <v>2.3337</v>
      </c>
      <c r="G1975" s="111">
        <v>1.4359</v>
      </c>
      <c r="H1975" s="88"/>
      <c r="I1975" s="82">
        <f t="shared" si="11"/>
        <v>0.6252524549</v>
      </c>
      <c r="J1975" s="82">
        <f t="shared" si="6"/>
        <v>0.615289026</v>
      </c>
    </row>
    <row r="1976">
      <c r="A1976" s="101">
        <v>44819.0</v>
      </c>
      <c r="B1976" s="111">
        <v>2091.0</v>
      </c>
      <c r="C1976" s="111">
        <v>3.0</v>
      </c>
      <c r="D1976" s="110" t="s">
        <v>228</v>
      </c>
      <c r="E1976" s="112">
        <v>1.0</v>
      </c>
      <c r="F1976" s="111">
        <v>0.8589</v>
      </c>
      <c r="G1976" s="111">
        <v>0.529</v>
      </c>
      <c r="H1976" s="88"/>
      <c r="I1976" s="82">
        <f t="shared" si="11"/>
        <v>0.6236294896</v>
      </c>
      <c r="J1976" s="82">
        <f t="shared" si="6"/>
        <v>0.6159040633</v>
      </c>
    </row>
    <row r="1977">
      <c r="A1977" s="101">
        <v>44819.0</v>
      </c>
      <c r="B1977" s="111">
        <v>2091.0</v>
      </c>
      <c r="C1977" s="111">
        <v>3.0</v>
      </c>
      <c r="D1977" s="110" t="s">
        <v>228</v>
      </c>
      <c r="E1977" s="112">
        <v>0.0</v>
      </c>
      <c r="F1977" s="111">
        <v>0.816</v>
      </c>
      <c r="G1977" s="111">
        <v>0.4556</v>
      </c>
      <c r="H1977" s="88"/>
      <c r="I1977" s="82">
        <f t="shared" si="11"/>
        <v>0.7910447761</v>
      </c>
      <c r="J1977" s="82">
        <f t="shared" si="6"/>
        <v>0.5583333333</v>
      </c>
    </row>
    <row r="1978">
      <c r="A1978" s="101">
        <v>44819.0</v>
      </c>
      <c r="B1978" s="111">
        <v>2091.0</v>
      </c>
      <c r="C1978" s="111">
        <v>3.0</v>
      </c>
      <c r="D1978" s="110" t="s">
        <v>227</v>
      </c>
      <c r="E1978" s="112">
        <v>1.0</v>
      </c>
      <c r="F1978" s="111">
        <v>0.3497</v>
      </c>
      <c r="G1978" s="111">
        <v>0.1868</v>
      </c>
      <c r="H1978" s="88"/>
      <c r="I1978" s="82">
        <f t="shared" si="11"/>
        <v>0.8720556745</v>
      </c>
      <c r="J1978" s="82">
        <f t="shared" si="6"/>
        <v>0.5341721476</v>
      </c>
    </row>
    <row r="1979">
      <c r="A1979" s="101">
        <v>44819.0</v>
      </c>
      <c r="B1979" s="111">
        <v>2091.0</v>
      </c>
      <c r="C1979" s="111">
        <v>3.0</v>
      </c>
      <c r="D1979" s="110" t="s">
        <v>227</v>
      </c>
      <c r="E1979" s="112">
        <v>0.0</v>
      </c>
      <c r="F1979" s="111">
        <v>0.1245</v>
      </c>
      <c r="G1979" s="111">
        <v>0.0601</v>
      </c>
      <c r="H1979" s="88"/>
      <c r="I1979" s="82">
        <f t="shared" si="11"/>
        <v>1.071547421</v>
      </c>
      <c r="J1979" s="82">
        <f t="shared" si="6"/>
        <v>0.4827309237</v>
      </c>
    </row>
    <row r="1980">
      <c r="A1980" s="101">
        <v>44819.0</v>
      </c>
      <c r="B1980" s="111">
        <v>2092.0</v>
      </c>
      <c r="C1980" s="111">
        <v>1.0</v>
      </c>
      <c r="D1980" s="110" t="s">
        <v>228</v>
      </c>
      <c r="E1980" s="112">
        <v>0.0</v>
      </c>
      <c r="F1980" s="111">
        <v>0.3442</v>
      </c>
      <c r="G1980" s="111">
        <v>0.2018</v>
      </c>
      <c r="H1980" s="88"/>
      <c r="I1980" s="82">
        <f t="shared" si="11"/>
        <v>0.7056491576</v>
      </c>
      <c r="J1980" s="82">
        <f t="shared" si="6"/>
        <v>0.5862870424</v>
      </c>
    </row>
    <row r="1981">
      <c r="A1981" s="101">
        <v>44819.0</v>
      </c>
      <c r="B1981" s="111">
        <v>2092.0</v>
      </c>
      <c r="C1981" s="111">
        <v>1.0</v>
      </c>
      <c r="D1981" s="110" t="s">
        <v>228</v>
      </c>
      <c r="E1981" s="112">
        <v>1.0</v>
      </c>
      <c r="F1981" s="111">
        <v>1.3071</v>
      </c>
      <c r="G1981" s="111">
        <v>0.8001</v>
      </c>
      <c r="H1981" s="88"/>
      <c r="I1981" s="82">
        <f t="shared" si="11"/>
        <v>0.6336707912</v>
      </c>
      <c r="J1981" s="82">
        <f t="shared" si="6"/>
        <v>0.6121184301</v>
      </c>
    </row>
    <row r="1982">
      <c r="A1982" s="101">
        <v>44819.0</v>
      </c>
      <c r="B1982" s="111">
        <v>2092.0</v>
      </c>
      <c r="C1982" s="111">
        <v>1.0</v>
      </c>
      <c r="D1982" s="110" t="s">
        <v>227</v>
      </c>
      <c r="E1982" s="112">
        <v>1.0</v>
      </c>
      <c r="F1982" s="111">
        <v>0.2884</v>
      </c>
      <c r="G1982" s="111">
        <v>0.1491</v>
      </c>
      <c r="H1982" s="88"/>
      <c r="I1982" s="82">
        <f t="shared" si="11"/>
        <v>0.9342723005</v>
      </c>
      <c r="J1982" s="82">
        <f t="shared" si="6"/>
        <v>0.5169902913</v>
      </c>
    </row>
    <row r="1983">
      <c r="A1983" s="101">
        <v>44819.0</v>
      </c>
      <c r="B1983" s="111">
        <v>2092.0</v>
      </c>
      <c r="C1983" s="111">
        <v>1.0</v>
      </c>
      <c r="D1983" s="110" t="s">
        <v>227</v>
      </c>
      <c r="E1983" s="112">
        <v>0.0</v>
      </c>
      <c r="F1983" s="111">
        <v>0.0914</v>
      </c>
      <c r="G1983" s="111">
        <v>0.0452</v>
      </c>
      <c r="H1983" s="88"/>
      <c r="I1983" s="82">
        <f t="shared" si="11"/>
        <v>1.022123894</v>
      </c>
      <c r="J1983" s="82">
        <f t="shared" si="6"/>
        <v>0.4945295405</v>
      </c>
    </row>
    <row r="1984">
      <c r="A1984" s="101">
        <v>44819.0</v>
      </c>
      <c r="B1984" s="111">
        <v>2092.0</v>
      </c>
      <c r="C1984" s="111">
        <v>2.0</v>
      </c>
      <c r="D1984" s="110" t="s">
        <v>228</v>
      </c>
      <c r="E1984" s="112">
        <v>1.0</v>
      </c>
      <c r="F1984" s="111">
        <v>1.2683</v>
      </c>
      <c r="G1984" s="111">
        <v>0.7365</v>
      </c>
      <c r="H1984" s="88"/>
      <c r="I1984" s="82">
        <f t="shared" si="11"/>
        <v>0.7220638153</v>
      </c>
      <c r="J1984" s="82">
        <f t="shared" si="6"/>
        <v>0.5806985729</v>
      </c>
    </row>
    <row r="1985">
      <c r="A1985" s="101">
        <v>44819.0</v>
      </c>
      <c r="B1985" s="111">
        <v>2092.0</v>
      </c>
      <c r="C1985" s="111">
        <v>2.0</v>
      </c>
      <c r="D1985" s="110" t="s">
        <v>228</v>
      </c>
      <c r="E1985" s="112">
        <v>0.0</v>
      </c>
      <c r="F1985" s="111">
        <v>0.6589</v>
      </c>
      <c r="G1985" s="111">
        <v>0.3572</v>
      </c>
      <c r="H1985" s="88"/>
      <c r="I1985" s="82">
        <f t="shared" si="11"/>
        <v>0.84462486</v>
      </c>
      <c r="J1985" s="82">
        <f t="shared" si="6"/>
        <v>0.5421156473</v>
      </c>
    </row>
    <row r="1986">
      <c r="A1986" s="101">
        <v>44819.0</v>
      </c>
      <c r="B1986" s="111">
        <v>2092.0</v>
      </c>
      <c r="C1986" s="111">
        <v>2.0</v>
      </c>
      <c r="D1986" s="110" t="s">
        <v>227</v>
      </c>
      <c r="E1986" s="112">
        <v>1.0</v>
      </c>
      <c r="F1986" s="111">
        <v>0.3271</v>
      </c>
      <c r="G1986" s="111">
        <v>0.1523</v>
      </c>
      <c r="H1986" s="88"/>
      <c r="I1986" s="82">
        <f t="shared" si="11"/>
        <v>1.147734734</v>
      </c>
      <c r="J1986" s="82">
        <f t="shared" si="6"/>
        <v>0.4656068481</v>
      </c>
    </row>
    <row r="1987">
      <c r="A1987" s="101">
        <v>44819.0</v>
      </c>
      <c r="B1987" s="111">
        <v>2092.0</v>
      </c>
      <c r="C1987" s="111">
        <v>2.0</v>
      </c>
      <c r="D1987" s="110" t="s">
        <v>227</v>
      </c>
      <c r="E1987" s="112">
        <v>0.0</v>
      </c>
      <c r="F1987" s="111">
        <v>0.0543</v>
      </c>
      <c r="G1987" s="111">
        <v>0.0241</v>
      </c>
      <c r="H1987" s="88"/>
      <c r="I1987" s="82">
        <f t="shared" si="11"/>
        <v>1.253112033</v>
      </c>
      <c r="J1987" s="82">
        <f t="shared" si="6"/>
        <v>0.4438305709</v>
      </c>
    </row>
    <row r="1988">
      <c r="A1988" s="101">
        <v>44819.0</v>
      </c>
      <c r="B1988" s="111">
        <v>2092.0</v>
      </c>
      <c r="C1988" s="111">
        <v>3.0</v>
      </c>
      <c r="D1988" s="110" t="s">
        <v>228</v>
      </c>
      <c r="E1988" s="112">
        <v>1.0</v>
      </c>
      <c r="F1988" s="111">
        <v>0.9022</v>
      </c>
      <c r="G1988" s="111">
        <v>0.5532</v>
      </c>
      <c r="H1988" s="88"/>
      <c r="I1988" s="82">
        <f t="shared" si="11"/>
        <v>0.6308749096</v>
      </c>
      <c r="J1988" s="82">
        <f t="shared" si="6"/>
        <v>0.613167812</v>
      </c>
    </row>
    <row r="1989">
      <c r="A1989" s="101">
        <v>44819.0</v>
      </c>
      <c r="B1989" s="111">
        <v>2092.0</v>
      </c>
      <c r="C1989" s="111">
        <v>3.0</v>
      </c>
      <c r="D1989" s="110" t="s">
        <v>228</v>
      </c>
      <c r="E1989" s="112">
        <v>0.0</v>
      </c>
      <c r="F1989" s="111">
        <v>1.2104</v>
      </c>
      <c r="G1989" s="111">
        <v>0.716</v>
      </c>
      <c r="H1989" s="88"/>
      <c r="I1989" s="82">
        <f t="shared" si="11"/>
        <v>0.6905027933</v>
      </c>
      <c r="J1989" s="82">
        <f t="shared" si="6"/>
        <v>0.5915399868</v>
      </c>
    </row>
    <row r="1990">
      <c r="A1990" s="101">
        <v>44819.0</v>
      </c>
      <c r="B1990" s="111">
        <v>2092.0</v>
      </c>
      <c r="C1990" s="111">
        <v>3.0</v>
      </c>
      <c r="D1990" s="110" t="s">
        <v>227</v>
      </c>
      <c r="E1990" s="112">
        <v>1.0</v>
      </c>
      <c r="F1990" s="111">
        <v>0.3548</v>
      </c>
      <c r="G1990" s="111">
        <v>0.189</v>
      </c>
      <c r="H1990" s="88"/>
      <c r="I1990" s="82">
        <f t="shared" si="11"/>
        <v>0.8772486772</v>
      </c>
      <c r="J1990" s="82">
        <f t="shared" si="6"/>
        <v>0.5326944758</v>
      </c>
    </row>
    <row r="1991">
      <c r="A1991" s="101">
        <v>44819.0</v>
      </c>
      <c r="B1991" s="111">
        <v>2092.0</v>
      </c>
      <c r="C1991" s="111">
        <v>3.0</v>
      </c>
      <c r="D1991" s="110" t="s">
        <v>227</v>
      </c>
      <c r="E1991" s="112">
        <v>0.0</v>
      </c>
      <c r="F1991" s="111">
        <v>0.246</v>
      </c>
      <c r="G1991" s="111">
        <v>0.1169</v>
      </c>
      <c r="H1991" s="88"/>
      <c r="I1991" s="82">
        <f t="shared" si="11"/>
        <v>1.104362703</v>
      </c>
      <c r="J1991" s="82">
        <f t="shared" si="6"/>
        <v>0.475203252</v>
      </c>
    </row>
    <row r="1992">
      <c r="A1992" s="101">
        <v>44819.0</v>
      </c>
      <c r="B1992" s="111">
        <v>2093.0</v>
      </c>
      <c r="C1992" s="111">
        <v>1.0</v>
      </c>
      <c r="D1992" s="110" t="s">
        <v>228</v>
      </c>
      <c r="E1992" s="112">
        <v>0.0</v>
      </c>
      <c r="F1992" s="111">
        <v>0.7929</v>
      </c>
      <c r="G1992" s="111">
        <v>0.4483</v>
      </c>
      <c r="H1992" s="88"/>
      <c r="I1992" s="82">
        <f t="shared" si="11"/>
        <v>0.7686816864</v>
      </c>
      <c r="J1992" s="82">
        <f t="shared" si="6"/>
        <v>0.5653928616</v>
      </c>
    </row>
    <row r="1993">
      <c r="A1993" s="101">
        <v>44819.0</v>
      </c>
      <c r="B1993" s="111">
        <v>2093.0</v>
      </c>
      <c r="C1993" s="111">
        <v>1.0</v>
      </c>
      <c r="D1993" s="110" t="s">
        <v>228</v>
      </c>
      <c r="E1993" s="112">
        <v>1.0</v>
      </c>
      <c r="F1993" s="111">
        <v>0.8945</v>
      </c>
      <c r="G1993" s="111">
        <v>0.5563</v>
      </c>
      <c r="H1993" s="88"/>
      <c r="I1993" s="82">
        <f t="shared" si="11"/>
        <v>0.6079453532</v>
      </c>
      <c r="J1993" s="82">
        <f t="shared" si="6"/>
        <v>0.6219116825</v>
      </c>
    </row>
    <row r="1994">
      <c r="A1994" s="101">
        <v>44819.0</v>
      </c>
      <c r="B1994" s="111">
        <v>2093.0</v>
      </c>
      <c r="C1994" s="111">
        <v>1.0</v>
      </c>
      <c r="D1994" s="110" t="s">
        <v>227</v>
      </c>
      <c r="E1994" s="112">
        <v>1.0</v>
      </c>
      <c r="F1994" s="111">
        <v>0.1371</v>
      </c>
      <c r="G1994" s="111">
        <v>0.0705</v>
      </c>
      <c r="H1994" s="88"/>
      <c r="I1994" s="82">
        <f t="shared" si="11"/>
        <v>0.9446808511</v>
      </c>
      <c r="J1994" s="82">
        <f t="shared" si="6"/>
        <v>0.5142231947</v>
      </c>
    </row>
    <row r="1995">
      <c r="A1995" s="101">
        <v>44819.0</v>
      </c>
      <c r="B1995" s="111">
        <v>2093.0</v>
      </c>
      <c r="C1995" s="111">
        <v>1.0</v>
      </c>
      <c r="D1995" s="110" t="s">
        <v>227</v>
      </c>
      <c r="E1995" s="112">
        <v>0.0</v>
      </c>
      <c r="F1995" s="111">
        <v>0.0545</v>
      </c>
      <c r="G1995" s="111">
        <v>0.0262</v>
      </c>
      <c r="H1995" s="88"/>
      <c r="I1995" s="82">
        <f t="shared" si="11"/>
        <v>1.080152672</v>
      </c>
      <c r="J1995" s="82">
        <f t="shared" si="6"/>
        <v>0.480733945</v>
      </c>
    </row>
    <row r="1996">
      <c r="A1996" s="101">
        <v>44819.0</v>
      </c>
      <c r="B1996" s="111">
        <v>2093.0</v>
      </c>
      <c r="C1996" s="111">
        <v>2.0</v>
      </c>
      <c r="D1996" s="110" t="s">
        <v>227</v>
      </c>
      <c r="E1996" s="112">
        <v>1.0</v>
      </c>
      <c r="F1996" s="111">
        <v>0.3029</v>
      </c>
      <c r="G1996" s="111">
        <v>0.1545</v>
      </c>
      <c r="H1996" s="88"/>
      <c r="I1996" s="82">
        <f t="shared" si="11"/>
        <v>0.9605177994</v>
      </c>
      <c r="J1996" s="82">
        <f t="shared" si="6"/>
        <v>0.5100693298</v>
      </c>
    </row>
    <row r="1997">
      <c r="A1997" s="101">
        <v>44819.0</v>
      </c>
      <c r="B1997" s="111">
        <v>2093.0</v>
      </c>
      <c r="C1997" s="111">
        <v>2.0</v>
      </c>
      <c r="D1997" s="110" t="s">
        <v>228</v>
      </c>
      <c r="E1997" s="112">
        <v>1.0</v>
      </c>
      <c r="F1997" s="111">
        <v>2.0031</v>
      </c>
      <c r="G1997" s="111">
        <v>1.2104</v>
      </c>
      <c r="H1997" s="117" t="s">
        <v>299</v>
      </c>
      <c r="I1997" s="82">
        <f t="shared" si="11"/>
        <v>0.6549074686</v>
      </c>
      <c r="J1997" s="82">
        <f t="shared" si="6"/>
        <v>0.6042633917</v>
      </c>
    </row>
    <row r="1998">
      <c r="A1998" s="101">
        <v>44819.0</v>
      </c>
      <c r="B1998" s="111">
        <v>2093.0</v>
      </c>
      <c r="C1998" s="111">
        <v>3.0</v>
      </c>
      <c r="D1998" s="110" t="s">
        <v>227</v>
      </c>
      <c r="E1998" s="112">
        <v>1.0</v>
      </c>
      <c r="F1998" s="111">
        <v>0.2149</v>
      </c>
      <c r="G1998" s="111">
        <v>0.1183</v>
      </c>
      <c r="H1998" s="88"/>
      <c r="I1998" s="82">
        <f t="shared" si="11"/>
        <v>0.8165680473</v>
      </c>
      <c r="J1998" s="82">
        <f t="shared" si="6"/>
        <v>0.5504885993</v>
      </c>
    </row>
    <row r="1999">
      <c r="A1999" s="101">
        <v>44819.0</v>
      </c>
      <c r="B1999" s="111">
        <v>2093.0</v>
      </c>
      <c r="C1999" s="111">
        <v>3.0</v>
      </c>
      <c r="D1999" s="110" t="s">
        <v>228</v>
      </c>
      <c r="E1999" s="112">
        <v>1.0</v>
      </c>
      <c r="F1999" s="111">
        <v>1.0728</v>
      </c>
      <c r="G1999" s="111">
        <v>0.6412</v>
      </c>
      <c r="H1999" s="88"/>
      <c r="I1999" s="82">
        <f t="shared" si="11"/>
        <v>0.6731129133</v>
      </c>
      <c r="J1999" s="82">
        <f t="shared" si="6"/>
        <v>0.5976882923</v>
      </c>
    </row>
    <row r="2000">
      <c r="A2000" s="101">
        <v>44819.0</v>
      </c>
      <c r="B2000" s="111">
        <v>2093.0</v>
      </c>
      <c r="C2000" s="111">
        <v>3.0</v>
      </c>
      <c r="D2000" s="110" t="s">
        <v>227</v>
      </c>
      <c r="E2000" s="112">
        <v>0.0</v>
      </c>
      <c r="F2000" s="111">
        <v>0.0283</v>
      </c>
      <c r="G2000" s="111">
        <v>0.0147</v>
      </c>
      <c r="H2000" s="88"/>
      <c r="I2000" s="82">
        <f t="shared" si="11"/>
        <v>0.925170068</v>
      </c>
      <c r="J2000" s="82">
        <f t="shared" si="6"/>
        <v>0.519434629</v>
      </c>
    </row>
    <row r="2001">
      <c r="A2001" s="101">
        <v>44819.0</v>
      </c>
      <c r="B2001" s="111">
        <v>2093.0</v>
      </c>
      <c r="C2001" s="111">
        <v>3.0</v>
      </c>
      <c r="D2001" s="110" t="s">
        <v>228</v>
      </c>
      <c r="E2001" s="112">
        <v>0.0</v>
      </c>
      <c r="F2001" s="111">
        <v>1.0231</v>
      </c>
      <c r="G2001" s="111">
        <v>0.5424</v>
      </c>
      <c r="H2001" s="88"/>
      <c r="I2001" s="82">
        <f t="shared" si="11"/>
        <v>0.8862463127</v>
      </c>
      <c r="J2001" s="82">
        <f t="shared" si="6"/>
        <v>0.5301534552</v>
      </c>
    </row>
    <row r="2002">
      <c r="A2002" s="83"/>
      <c r="B2002" s="66"/>
      <c r="C2002" s="66"/>
      <c r="D2002" s="66"/>
      <c r="F2002" s="66"/>
      <c r="G2002" s="66"/>
    </row>
    <row r="2003">
      <c r="A2003" s="83"/>
      <c r="B2003" s="66"/>
      <c r="C2003" s="66"/>
      <c r="D2003" s="66"/>
      <c r="F2003" s="66"/>
      <c r="G2003" s="66"/>
    </row>
    <row r="2004">
      <c r="A2004" s="83"/>
      <c r="B2004" s="66"/>
      <c r="C2004" s="66"/>
      <c r="D2004" s="66"/>
      <c r="F2004" s="66"/>
      <c r="G2004" s="66"/>
    </row>
    <row r="2005">
      <c r="A2005" s="83"/>
      <c r="B2005" s="66"/>
      <c r="C2005" s="66"/>
      <c r="D2005" s="66"/>
      <c r="F2005" s="66"/>
      <c r="G2005" s="66"/>
    </row>
    <row r="2006">
      <c r="A2006" s="83"/>
      <c r="B2006" s="66"/>
      <c r="C2006" s="66"/>
      <c r="D2006" s="66"/>
      <c r="F2006" s="66"/>
      <c r="G2006" s="66"/>
    </row>
    <row r="2007">
      <c r="A2007" s="83"/>
      <c r="B2007" s="66"/>
      <c r="C2007" s="66"/>
      <c r="D2007" s="66"/>
      <c r="F2007" s="66"/>
      <c r="G2007" s="66"/>
    </row>
    <row r="2008">
      <c r="A2008" s="83"/>
      <c r="B2008" s="66"/>
      <c r="C2008" s="66"/>
      <c r="D2008" s="66"/>
      <c r="F2008" s="66"/>
      <c r="G2008" s="66"/>
    </row>
    <row r="2009">
      <c r="A2009" s="83"/>
      <c r="B2009" s="66"/>
      <c r="C2009" s="66"/>
      <c r="D2009" s="66"/>
      <c r="F2009" s="66"/>
      <c r="G2009" s="66"/>
    </row>
    <row r="2010">
      <c r="A2010" s="83"/>
      <c r="B2010" s="66"/>
      <c r="C2010" s="66"/>
      <c r="D2010" s="66"/>
      <c r="F2010" s="66"/>
      <c r="G2010" s="66"/>
    </row>
    <row r="2011">
      <c r="A2011" s="83"/>
      <c r="B2011" s="66"/>
      <c r="C2011" s="66"/>
      <c r="D2011" s="66"/>
      <c r="F2011" s="66"/>
      <c r="G2011" s="66"/>
    </row>
    <row r="2012">
      <c r="A2012" s="83"/>
      <c r="B2012" s="66"/>
      <c r="C2012" s="66"/>
      <c r="D2012" s="66"/>
      <c r="F2012" s="66"/>
      <c r="G2012" s="66"/>
    </row>
    <row r="2013">
      <c r="A2013" s="83"/>
      <c r="B2013" s="66"/>
      <c r="C2013" s="66"/>
      <c r="D2013" s="66"/>
      <c r="F2013" s="66"/>
      <c r="G2013" s="66"/>
    </row>
    <row r="2014">
      <c r="A2014" s="83"/>
      <c r="B2014" s="66"/>
      <c r="C2014" s="66"/>
      <c r="D2014" s="66"/>
      <c r="F2014" s="66"/>
      <c r="G2014" s="66"/>
    </row>
    <row r="2015">
      <c r="A2015" s="83"/>
      <c r="B2015" s="66"/>
      <c r="C2015" s="66"/>
      <c r="D2015" s="66"/>
      <c r="F2015" s="66"/>
      <c r="G2015" s="66"/>
    </row>
    <row r="2016">
      <c r="A2016" s="83"/>
      <c r="B2016" s="66"/>
      <c r="C2016" s="66"/>
      <c r="D2016" s="66"/>
      <c r="F2016" s="66"/>
      <c r="G2016" s="66"/>
    </row>
    <row r="2017">
      <c r="A2017" s="83"/>
      <c r="B2017" s="66"/>
      <c r="C2017" s="66"/>
      <c r="D2017" s="66"/>
      <c r="F2017" s="66"/>
      <c r="G2017" s="66"/>
    </row>
    <row r="2018">
      <c r="A2018" s="83"/>
      <c r="B2018" s="66"/>
      <c r="C2018" s="66"/>
      <c r="D2018" s="66"/>
      <c r="F2018" s="66"/>
      <c r="G2018" s="66"/>
    </row>
    <row r="2019">
      <c r="A2019" s="83"/>
      <c r="B2019" s="66"/>
      <c r="C2019" s="66"/>
      <c r="D2019" s="66"/>
      <c r="F2019" s="66"/>
      <c r="G2019" s="66"/>
    </row>
    <row r="2020">
      <c r="A2020" s="83"/>
      <c r="B2020" s="66"/>
      <c r="C2020" s="66"/>
      <c r="D2020" s="66"/>
      <c r="F2020" s="66"/>
      <c r="G2020" s="66"/>
    </row>
    <row r="2021">
      <c r="A2021" s="83"/>
      <c r="B2021" s="66"/>
      <c r="C2021" s="66"/>
      <c r="D2021" s="66"/>
      <c r="F2021" s="66"/>
      <c r="G2021" s="66"/>
    </row>
    <row r="2022">
      <c r="A2022" s="83"/>
      <c r="B2022" s="66"/>
      <c r="C2022" s="66"/>
      <c r="D2022" s="66"/>
      <c r="F2022" s="66"/>
      <c r="G2022" s="66"/>
    </row>
    <row r="2023">
      <c r="A2023" s="83"/>
      <c r="B2023" s="66"/>
      <c r="C2023" s="66"/>
      <c r="D2023" s="66"/>
      <c r="F2023" s="66"/>
      <c r="G2023" s="66"/>
    </row>
    <row r="2024">
      <c r="A2024" s="83"/>
      <c r="B2024" s="66"/>
      <c r="C2024" s="66"/>
      <c r="D2024" s="66"/>
      <c r="F2024" s="66"/>
      <c r="G2024" s="66"/>
    </row>
    <row r="2025">
      <c r="A2025" s="83"/>
      <c r="B2025" s="66"/>
      <c r="C2025" s="66"/>
      <c r="D2025" s="66"/>
      <c r="F2025" s="66"/>
      <c r="G2025" s="66"/>
    </row>
    <row r="2026">
      <c r="A2026" s="83"/>
      <c r="B2026" s="66"/>
      <c r="C2026" s="66"/>
      <c r="D2026" s="66"/>
      <c r="F2026" s="66"/>
      <c r="G2026" s="66"/>
    </row>
    <row r="2027">
      <c r="A2027" s="83"/>
      <c r="B2027" s="66"/>
      <c r="C2027" s="66"/>
      <c r="D2027" s="66"/>
      <c r="F2027" s="66"/>
      <c r="G2027" s="66"/>
    </row>
    <row r="2028">
      <c r="A2028" s="83"/>
      <c r="B2028" s="66"/>
      <c r="C2028" s="66"/>
      <c r="D2028" s="66"/>
      <c r="F2028" s="66"/>
      <c r="G2028" s="66"/>
    </row>
    <row r="2029">
      <c r="A2029" s="83"/>
      <c r="B2029" s="66"/>
      <c r="C2029" s="66"/>
      <c r="D2029" s="66"/>
      <c r="F2029" s="66"/>
      <c r="G2029" s="66"/>
    </row>
    <row r="2030">
      <c r="A2030" s="83"/>
      <c r="B2030" s="66"/>
      <c r="C2030" s="66"/>
      <c r="D2030" s="66"/>
      <c r="F2030" s="66"/>
      <c r="G2030" s="66"/>
    </row>
    <row r="2031">
      <c r="A2031" s="83"/>
      <c r="B2031" s="66"/>
      <c r="C2031" s="66"/>
      <c r="D2031" s="66"/>
      <c r="F2031" s="66"/>
      <c r="G2031" s="66"/>
    </row>
    <row r="2032">
      <c r="A2032" s="83"/>
      <c r="B2032" s="66"/>
      <c r="C2032" s="66"/>
      <c r="D2032" s="66"/>
      <c r="F2032" s="66"/>
      <c r="G2032" s="66"/>
    </row>
    <row r="2033">
      <c r="A2033" s="83"/>
      <c r="B2033" s="66"/>
      <c r="C2033" s="66"/>
      <c r="D2033" s="66"/>
      <c r="F2033" s="66"/>
      <c r="G2033" s="66"/>
    </row>
    <row r="2034">
      <c r="A2034" s="83"/>
      <c r="B2034" s="66"/>
      <c r="C2034" s="66"/>
      <c r="D2034" s="66"/>
      <c r="F2034" s="66"/>
      <c r="G2034" s="66"/>
    </row>
    <row r="2035">
      <c r="A2035" s="83"/>
      <c r="B2035" s="66"/>
      <c r="C2035" s="66"/>
      <c r="D2035" s="66"/>
      <c r="F2035" s="66"/>
      <c r="G2035" s="66"/>
    </row>
    <row r="2036">
      <c r="A2036" s="83"/>
      <c r="B2036" s="66"/>
      <c r="C2036" s="66"/>
      <c r="D2036" s="66"/>
      <c r="F2036" s="66"/>
      <c r="G2036" s="66"/>
    </row>
    <row r="2037">
      <c r="A2037" s="83"/>
      <c r="B2037" s="66"/>
      <c r="C2037" s="66"/>
      <c r="D2037" s="66"/>
      <c r="F2037" s="66"/>
      <c r="G2037" s="66"/>
    </row>
    <row r="2038">
      <c r="A2038" s="83"/>
      <c r="B2038" s="66"/>
      <c r="C2038" s="66"/>
      <c r="D2038" s="66"/>
      <c r="F2038" s="66"/>
      <c r="G2038" s="66"/>
    </row>
    <row r="2039">
      <c r="A2039" s="83"/>
      <c r="B2039" s="66"/>
      <c r="C2039" s="66"/>
      <c r="D2039" s="66"/>
      <c r="F2039" s="66"/>
      <c r="G2039" s="66"/>
    </row>
    <row r="2040">
      <c r="A2040" s="83"/>
      <c r="B2040" s="66"/>
      <c r="C2040" s="66"/>
      <c r="D2040" s="66"/>
      <c r="F2040" s="66"/>
      <c r="G2040" s="66"/>
    </row>
    <row r="2041">
      <c r="A2041" s="83"/>
      <c r="B2041" s="66"/>
      <c r="C2041" s="66"/>
      <c r="D2041" s="66"/>
      <c r="F2041" s="66"/>
      <c r="G2041" s="66"/>
    </row>
    <row r="2042">
      <c r="A2042" s="83"/>
      <c r="B2042" s="66"/>
      <c r="C2042" s="66"/>
      <c r="D2042" s="66"/>
      <c r="F2042" s="66"/>
      <c r="G2042" s="66"/>
    </row>
    <row r="2043">
      <c r="A2043" s="83"/>
      <c r="B2043" s="66"/>
      <c r="C2043" s="66"/>
      <c r="D2043" s="66"/>
      <c r="F2043" s="66"/>
      <c r="G2043" s="66"/>
    </row>
    <row r="2044">
      <c r="A2044" s="83"/>
      <c r="B2044" s="66"/>
      <c r="C2044" s="66"/>
      <c r="D2044" s="66"/>
      <c r="F2044" s="66"/>
      <c r="G2044" s="66"/>
    </row>
    <row r="2045">
      <c r="A2045" s="83"/>
      <c r="B2045" s="66"/>
      <c r="C2045" s="66"/>
      <c r="D2045" s="66"/>
      <c r="F2045" s="66"/>
      <c r="G2045" s="66"/>
    </row>
    <row r="2046">
      <c r="A2046" s="83"/>
      <c r="B2046" s="66"/>
      <c r="C2046" s="66"/>
      <c r="D2046" s="66"/>
      <c r="F2046" s="66"/>
      <c r="G2046" s="66"/>
    </row>
    <row r="2047">
      <c r="A2047" s="83"/>
      <c r="B2047" s="66"/>
      <c r="C2047" s="66"/>
      <c r="D2047" s="66"/>
      <c r="F2047" s="66"/>
      <c r="G2047" s="66"/>
    </row>
    <row r="2048">
      <c r="A2048" s="83"/>
      <c r="B2048" s="66"/>
      <c r="C2048" s="66"/>
      <c r="D2048" s="66"/>
      <c r="F2048" s="66"/>
      <c r="G2048" s="66"/>
    </row>
    <row r="2049">
      <c r="A2049" s="83"/>
      <c r="B2049" s="66"/>
      <c r="C2049" s="66"/>
      <c r="D2049" s="66"/>
      <c r="F2049" s="66"/>
      <c r="G2049" s="66"/>
    </row>
    <row r="2050">
      <c r="A2050" s="83"/>
      <c r="B2050" s="66"/>
      <c r="C2050" s="66"/>
      <c r="D2050" s="66"/>
      <c r="F2050" s="66"/>
      <c r="G2050" s="66"/>
    </row>
    <row r="2051">
      <c r="A2051" s="83"/>
      <c r="B2051" s="66"/>
      <c r="C2051" s="66"/>
      <c r="D2051" s="66"/>
      <c r="F2051" s="66"/>
      <c r="G2051" s="66"/>
    </row>
    <row r="2052">
      <c r="A2052" s="83"/>
      <c r="B2052" s="66"/>
      <c r="C2052" s="66"/>
      <c r="D2052" s="66"/>
      <c r="F2052" s="66"/>
      <c r="G2052" s="66"/>
    </row>
    <row r="2053">
      <c r="A2053" s="83"/>
      <c r="B2053" s="66"/>
      <c r="C2053" s="66"/>
      <c r="D2053" s="66"/>
      <c r="F2053" s="66"/>
      <c r="G2053" s="66"/>
    </row>
    <row r="2054">
      <c r="A2054" s="83"/>
      <c r="B2054" s="66"/>
      <c r="C2054" s="66"/>
      <c r="D2054" s="66"/>
      <c r="F2054" s="66"/>
      <c r="G2054" s="66"/>
    </row>
    <row r="2055">
      <c r="A2055" s="83"/>
      <c r="B2055" s="66"/>
      <c r="C2055" s="66"/>
      <c r="D2055" s="66"/>
      <c r="F2055" s="66"/>
      <c r="G2055" s="66"/>
    </row>
    <row r="2056">
      <c r="A2056" s="83"/>
      <c r="B2056" s="66"/>
      <c r="C2056" s="66"/>
      <c r="D2056" s="66"/>
      <c r="F2056" s="66"/>
      <c r="G2056" s="66"/>
    </row>
    <row r="2057">
      <c r="A2057" s="83"/>
      <c r="B2057" s="66"/>
      <c r="C2057" s="66"/>
      <c r="D2057" s="66"/>
      <c r="F2057" s="66"/>
      <c r="G2057" s="66"/>
    </row>
    <row r="2058">
      <c r="A2058" s="83"/>
      <c r="B2058" s="66"/>
      <c r="C2058" s="66"/>
      <c r="D2058" s="66"/>
      <c r="F2058" s="66"/>
      <c r="G2058" s="66"/>
    </row>
    <row r="2059">
      <c r="A2059" s="83"/>
      <c r="B2059" s="66"/>
      <c r="C2059" s="66"/>
      <c r="D2059" s="66"/>
      <c r="F2059" s="66"/>
      <c r="G2059" s="66"/>
    </row>
    <row r="2060">
      <c r="A2060" s="83"/>
      <c r="B2060" s="66"/>
      <c r="C2060" s="66"/>
      <c r="D2060" s="66"/>
      <c r="F2060" s="66"/>
      <c r="G2060" s="66"/>
    </row>
    <row r="2061">
      <c r="A2061" s="83"/>
      <c r="B2061" s="66"/>
      <c r="C2061" s="66"/>
      <c r="D2061" s="66"/>
      <c r="F2061" s="66"/>
      <c r="G2061" s="66"/>
    </row>
    <row r="2062">
      <c r="A2062" s="83"/>
      <c r="B2062" s="66"/>
      <c r="C2062" s="66"/>
      <c r="D2062" s="66"/>
      <c r="F2062" s="66"/>
      <c r="G2062" s="66"/>
    </row>
    <row r="2063">
      <c r="A2063" s="83"/>
      <c r="B2063" s="66"/>
      <c r="C2063" s="66"/>
      <c r="D2063" s="66"/>
      <c r="F2063" s="66"/>
      <c r="G2063" s="66"/>
    </row>
    <row r="2064">
      <c r="A2064" s="83"/>
      <c r="B2064" s="66"/>
      <c r="C2064" s="66"/>
      <c r="D2064" s="66"/>
      <c r="F2064" s="66"/>
      <c r="G2064" s="66"/>
    </row>
    <row r="2065">
      <c r="A2065" s="83"/>
      <c r="B2065" s="66"/>
      <c r="C2065" s="66"/>
      <c r="D2065" s="66"/>
      <c r="F2065" s="66"/>
      <c r="G2065" s="66"/>
    </row>
    <row r="2066">
      <c r="A2066" s="83"/>
      <c r="B2066" s="66"/>
      <c r="C2066" s="66"/>
      <c r="D2066" s="66"/>
      <c r="F2066" s="66"/>
      <c r="G2066" s="66"/>
    </row>
    <row r="2067">
      <c r="A2067" s="83"/>
      <c r="B2067" s="66"/>
      <c r="C2067" s="66"/>
      <c r="D2067" s="66"/>
      <c r="F2067" s="66"/>
      <c r="G2067" s="66"/>
    </row>
    <row r="2068">
      <c r="A2068" s="83"/>
      <c r="B2068" s="66"/>
      <c r="C2068" s="66"/>
      <c r="D2068" s="66"/>
      <c r="F2068" s="66"/>
      <c r="G2068" s="66"/>
    </row>
    <row r="2069">
      <c r="A2069" s="83"/>
      <c r="B2069" s="66"/>
      <c r="C2069" s="66"/>
      <c r="D2069" s="66"/>
      <c r="F2069" s="66"/>
      <c r="G2069" s="66"/>
    </row>
    <row r="2070">
      <c r="A2070" s="83"/>
      <c r="B2070" s="66"/>
      <c r="C2070" s="66"/>
      <c r="D2070" s="66"/>
      <c r="F2070" s="66"/>
      <c r="G2070" s="66"/>
    </row>
    <row r="2071">
      <c r="A2071" s="83"/>
      <c r="B2071" s="66"/>
      <c r="C2071" s="66"/>
      <c r="D2071" s="66"/>
      <c r="F2071" s="66"/>
      <c r="G2071" s="66"/>
    </row>
    <row r="2072">
      <c r="A2072" s="83"/>
      <c r="B2072" s="66"/>
      <c r="C2072" s="66"/>
      <c r="D2072" s="66"/>
      <c r="F2072" s="66"/>
      <c r="G2072" s="66"/>
    </row>
    <row r="2073">
      <c r="A2073" s="83"/>
      <c r="B2073" s="66"/>
      <c r="C2073" s="66"/>
      <c r="D2073" s="66"/>
      <c r="F2073" s="66"/>
      <c r="G2073" s="66"/>
    </row>
    <row r="2074">
      <c r="A2074" s="83"/>
      <c r="B2074" s="66"/>
      <c r="C2074" s="66"/>
      <c r="D2074" s="66"/>
      <c r="F2074" s="66"/>
      <c r="G2074" s="66"/>
    </row>
    <row r="2075">
      <c r="A2075" s="83"/>
      <c r="B2075" s="66"/>
      <c r="C2075" s="66"/>
      <c r="D2075" s="66"/>
      <c r="F2075" s="66"/>
      <c r="G2075" s="66"/>
    </row>
    <row r="2076">
      <c r="A2076" s="83"/>
      <c r="B2076" s="66"/>
      <c r="C2076" s="66"/>
      <c r="D2076" s="66"/>
      <c r="F2076" s="66"/>
      <c r="G2076" s="66"/>
    </row>
    <row r="2077">
      <c r="A2077" s="83"/>
      <c r="B2077" s="66"/>
      <c r="C2077" s="66"/>
      <c r="D2077" s="66"/>
      <c r="F2077" s="66"/>
      <c r="G2077" s="66"/>
    </row>
    <row r="2078">
      <c r="A2078" s="83"/>
      <c r="B2078" s="66"/>
      <c r="C2078" s="66"/>
      <c r="D2078" s="66"/>
      <c r="F2078" s="66"/>
      <c r="G2078" s="66"/>
    </row>
    <row r="2079">
      <c r="A2079" s="83"/>
      <c r="B2079" s="66"/>
      <c r="C2079" s="66"/>
      <c r="D2079" s="66"/>
      <c r="F2079" s="66"/>
      <c r="G2079" s="66"/>
    </row>
    <row r="2080">
      <c r="A2080" s="83"/>
      <c r="B2080" s="66"/>
      <c r="C2080" s="66"/>
      <c r="D2080" s="66"/>
      <c r="F2080" s="66"/>
      <c r="G2080" s="66"/>
    </row>
    <row r="2081">
      <c r="A2081" s="83"/>
      <c r="B2081" s="66"/>
      <c r="C2081" s="66"/>
      <c r="D2081" s="66"/>
      <c r="F2081" s="66"/>
      <c r="G2081" s="66"/>
    </row>
    <row r="2082">
      <c r="A2082" s="83"/>
      <c r="B2082" s="66"/>
      <c r="C2082" s="66"/>
      <c r="D2082" s="66"/>
      <c r="F2082" s="66"/>
      <c r="G2082" s="66"/>
    </row>
    <row r="2083">
      <c r="A2083" s="83"/>
      <c r="B2083" s="66"/>
      <c r="C2083" s="66"/>
      <c r="D2083" s="66"/>
      <c r="F2083" s="66"/>
      <c r="G2083" s="66"/>
    </row>
    <row r="2084">
      <c r="A2084" s="83"/>
      <c r="B2084" s="66"/>
      <c r="C2084" s="66"/>
      <c r="D2084" s="66"/>
      <c r="F2084" s="66"/>
      <c r="G2084" s="66"/>
    </row>
    <row r="2085">
      <c r="A2085" s="83"/>
      <c r="B2085" s="66"/>
      <c r="C2085" s="66"/>
      <c r="D2085" s="66"/>
      <c r="F2085" s="66"/>
      <c r="G2085" s="66"/>
    </row>
    <row r="2086">
      <c r="A2086" s="83"/>
      <c r="B2086" s="66"/>
      <c r="C2086" s="66"/>
      <c r="D2086" s="66"/>
      <c r="F2086" s="66"/>
      <c r="G2086" s="66"/>
    </row>
    <row r="2087">
      <c r="A2087" s="83"/>
      <c r="B2087" s="66"/>
      <c r="C2087" s="66"/>
      <c r="D2087" s="66"/>
      <c r="F2087" s="66"/>
      <c r="G2087" s="66"/>
    </row>
    <row r="2088">
      <c r="A2088" s="83"/>
      <c r="B2088" s="66"/>
      <c r="C2088" s="66"/>
      <c r="D2088" s="66"/>
      <c r="F2088" s="66"/>
      <c r="G2088" s="66"/>
    </row>
    <row r="2089">
      <c r="A2089" s="83"/>
      <c r="B2089" s="66"/>
      <c r="C2089" s="66"/>
      <c r="D2089" s="66"/>
      <c r="F2089" s="66"/>
      <c r="G2089" s="66"/>
    </row>
    <row r="2090">
      <c r="A2090" s="83"/>
      <c r="B2090" s="66"/>
      <c r="C2090" s="66"/>
      <c r="D2090" s="66"/>
      <c r="F2090" s="66"/>
      <c r="G2090" s="66"/>
    </row>
    <row r="2091">
      <c r="A2091" s="83"/>
      <c r="B2091" s="66"/>
      <c r="C2091" s="66"/>
      <c r="D2091" s="66"/>
      <c r="F2091" s="66"/>
      <c r="G2091" s="66"/>
    </row>
    <row r="2092">
      <c r="A2092" s="83"/>
      <c r="B2092" s="66"/>
      <c r="C2092" s="66"/>
      <c r="D2092" s="66"/>
      <c r="F2092" s="66"/>
      <c r="G2092" s="66"/>
    </row>
    <row r="2093">
      <c r="A2093" s="83"/>
      <c r="B2093" s="66"/>
      <c r="C2093" s="66"/>
      <c r="D2093" s="66"/>
      <c r="F2093" s="66"/>
      <c r="G2093" s="66"/>
    </row>
    <row r="2094">
      <c r="A2094" s="83"/>
      <c r="B2094" s="66"/>
      <c r="C2094" s="66"/>
      <c r="D2094" s="66"/>
      <c r="F2094" s="66"/>
      <c r="G2094" s="66"/>
    </row>
    <row r="2095">
      <c r="A2095" s="83"/>
      <c r="B2095" s="66"/>
      <c r="C2095" s="66"/>
      <c r="D2095" s="66"/>
      <c r="F2095" s="66"/>
      <c r="G2095" s="66"/>
    </row>
    <row r="2096">
      <c r="A2096" s="83"/>
      <c r="B2096" s="66"/>
      <c r="C2096" s="66"/>
      <c r="D2096" s="66"/>
      <c r="F2096" s="66"/>
      <c r="G2096" s="66"/>
    </row>
    <row r="2097">
      <c r="A2097" s="83"/>
      <c r="B2097" s="66"/>
      <c r="C2097" s="66"/>
      <c r="D2097" s="66"/>
      <c r="F2097" s="66"/>
      <c r="G2097" s="66"/>
    </row>
    <row r="2098">
      <c r="A2098" s="83"/>
      <c r="B2098" s="66"/>
      <c r="C2098" s="66"/>
      <c r="D2098" s="66"/>
      <c r="F2098" s="66"/>
      <c r="G2098" s="66"/>
    </row>
    <row r="2099">
      <c r="A2099" s="83"/>
      <c r="B2099" s="66"/>
      <c r="C2099" s="66"/>
      <c r="D2099" s="66"/>
      <c r="F2099" s="66"/>
      <c r="G2099" s="66"/>
    </row>
    <row r="2100">
      <c r="A2100" s="83"/>
      <c r="B2100" s="66"/>
      <c r="C2100" s="66"/>
      <c r="D2100" s="66"/>
      <c r="F2100" s="66"/>
      <c r="G2100" s="66"/>
    </row>
    <row r="2101">
      <c r="A2101" s="83"/>
      <c r="B2101" s="66"/>
      <c r="C2101" s="66"/>
      <c r="D2101" s="66"/>
      <c r="F2101" s="66"/>
      <c r="G2101" s="66"/>
    </row>
    <row r="2102">
      <c r="A2102" s="83"/>
      <c r="B2102" s="66"/>
      <c r="C2102" s="66"/>
      <c r="D2102" s="66"/>
      <c r="F2102" s="66"/>
      <c r="G2102" s="66"/>
    </row>
    <row r="2103">
      <c r="A2103" s="83"/>
      <c r="B2103" s="66"/>
      <c r="C2103" s="66"/>
      <c r="D2103" s="66"/>
      <c r="F2103" s="66"/>
      <c r="G2103" s="66"/>
    </row>
    <row r="2104">
      <c r="A2104" s="83"/>
      <c r="B2104" s="66"/>
      <c r="C2104" s="66"/>
      <c r="D2104" s="66"/>
      <c r="F2104" s="66"/>
      <c r="G2104" s="66"/>
    </row>
    <row r="2105">
      <c r="A2105" s="83"/>
      <c r="B2105" s="66"/>
      <c r="C2105" s="66"/>
      <c r="D2105" s="66"/>
      <c r="F2105" s="66"/>
      <c r="G2105" s="66"/>
    </row>
    <row r="2106">
      <c r="A2106" s="83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22.86"/>
    <col customWidth="1" min="8" max="8" width="5.0"/>
    <col customWidth="1" min="9" max="9" width="4.57"/>
    <col customWidth="1" min="10" max="10" width="4.71"/>
  </cols>
  <sheetData>
    <row r="1">
      <c r="A1" s="79" t="s">
        <v>304</v>
      </c>
      <c r="B1" s="79" t="s">
        <v>305</v>
      </c>
      <c r="C1" s="79" t="s">
        <v>306</v>
      </c>
      <c r="D1" s="79" t="s">
        <v>307</v>
      </c>
      <c r="E1" s="79" t="s">
        <v>219</v>
      </c>
      <c r="F1" s="79" t="s">
        <v>308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>
      <c r="A2" s="83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3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3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3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3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3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3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3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3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3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3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3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3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3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3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3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3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3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3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3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3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3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3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3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3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3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3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3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3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3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3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3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3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3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3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3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3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3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3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3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3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3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3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3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3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3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3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3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3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3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3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3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3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3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3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3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3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3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3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3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3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3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3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3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3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3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3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3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3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3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3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3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3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3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3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3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3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3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3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3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3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3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3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3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3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3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3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3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3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3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3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3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3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3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3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3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3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3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3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3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3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3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3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3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3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3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3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3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3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3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3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3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3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3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3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3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3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3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3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3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3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3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3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3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3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3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3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3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3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3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3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3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3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3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3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3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3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3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3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3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3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3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3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3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3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3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3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3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3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3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3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3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3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3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3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3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3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3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3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3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3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3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3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3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3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3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3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3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3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3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3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3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3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3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3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3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3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3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3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3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3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3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3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3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3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3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3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3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3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3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3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3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3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3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3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3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3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3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3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3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3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3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3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3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3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3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3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3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3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3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3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3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3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3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3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3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3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  <row r="219">
      <c r="A219" s="83">
        <v>45126.0</v>
      </c>
      <c r="B219" s="66">
        <v>2369.5</v>
      </c>
      <c r="C219" s="66">
        <v>2369.0</v>
      </c>
      <c r="D219" s="66">
        <v>5.0</v>
      </c>
      <c r="E219" s="66">
        <v>1.6359</v>
      </c>
      <c r="F219" s="66">
        <v>3.0</v>
      </c>
    </row>
    <row r="220">
      <c r="A220" s="83">
        <v>45126.0</v>
      </c>
      <c r="B220" s="66">
        <v>2343.5</v>
      </c>
      <c r="C220" s="66">
        <v>2343.0</v>
      </c>
      <c r="D220" s="66">
        <v>5.0</v>
      </c>
      <c r="E220" s="66">
        <v>0.6617</v>
      </c>
      <c r="F220" s="66">
        <v>3.0</v>
      </c>
    </row>
    <row r="221">
      <c r="A221" s="83">
        <v>45126.0</v>
      </c>
      <c r="B221" s="66">
        <v>2376.1</v>
      </c>
      <c r="C221" s="66">
        <v>2376.0</v>
      </c>
      <c r="D221" s="66">
        <v>1.0</v>
      </c>
      <c r="E221" s="66">
        <v>0.2321</v>
      </c>
      <c r="F221" s="66">
        <v>3.0</v>
      </c>
    </row>
    <row r="222">
      <c r="A222" s="83">
        <v>45126.0</v>
      </c>
      <c r="B222" s="66">
        <v>2343.2</v>
      </c>
      <c r="C222" s="66">
        <v>2343.0</v>
      </c>
      <c r="D222" s="66">
        <v>2.0</v>
      </c>
      <c r="E222" s="66">
        <v>0.8752</v>
      </c>
      <c r="F222" s="66">
        <v>3.0</v>
      </c>
    </row>
    <row r="223">
      <c r="A223" s="83">
        <v>45126.0</v>
      </c>
      <c r="B223" s="66">
        <v>2365.3</v>
      </c>
      <c r="C223" s="66">
        <v>2365.0</v>
      </c>
      <c r="D223" s="66">
        <v>3.0</v>
      </c>
      <c r="E223" s="66">
        <v>0.1353</v>
      </c>
      <c r="F223" s="66">
        <v>3.0</v>
      </c>
      <c r="G223" s="86" t="s">
        <v>309</v>
      </c>
      <c r="H223" s="66"/>
    </row>
    <row r="224">
      <c r="A224" s="83">
        <v>45126.0</v>
      </c>
      <c r="B224" s="66">
        <v>2365.4</v>
      </c>
      <c r="C224" s="66">
        <v>2365.0</v>
      </c>
      <c r="D224" s="66">
        <v>4.0</v>
      </c>
      <c r="E224" s="66">
        <v>0.1179</v>
      </c>
      <c r="F224" s="66">
        <v>3.0</v>
      </c>
    </row>
    <row r="225">
      <c r="A225" s="83">
        <v>45126.0</v>
      </c>
      <c r="B225" s="66">
        <v>2376.5</v>
      </c>
      <c r="C225" s="66">
        <v>2376.0</v>
      </c>
      <c r="D225" s="66">
        <v>5.0</v>
      </c>
      <c r="E225" s="66">
        <v>0.196</v>
      </c>
      <c r="F225" s="66">
        <v>2.0</v>
      </c>
    </row>
    <row r="226">
      <c r="A226" s="83">
        <v>45126.0</v>
      </c>
      <c r="B226" s="66">
        <v>2376.4</v>
      </c>
      <c r="C226" s="66">
        <v>2376.0</v>
      </c>
      <c r="D226" s="66">
        <v>4.0</v>
      </c>
      <c r="E226" s="66">
        <v>0.7816</v>
      </c>
      <c r="F226" s="66">
        <v>2.0</v>
      </c>
    </row>
    <row r="227">
      <c r="A227" s="83">
        <v>45126.0</v>
      </c>
      <c r="B227" s="66">
        <v>2376.3</v>
      </c>
      <c r="C227" s="66">
        <v>2376.0</v>
      </c>
      <c r="D227" s="66">
        <v>3.0</v>
      </c>
      <c r="E227" s="66">
        <v>0.9692</v>
      </c>
      <c r="F227" s="66">
        <v>3.0</v>
      </c>
    </row>
    <row r="228">
      <c r="A228" s="83">
        <v>45126.0</v>
      </c>
      <c r="B228" s="66">
        <v>2347.2</v>
      </c>
      <c r="C228" s="66">
        <v>2347.0</v>
      </c>
      <c r="D228" s="66">
        <v>2.0</v>
      </c>
      <c r="E228" s="66">
        <v>0.6771</v>
      </c>
      <c r="F228" s="66">
        <v>3.0</v>
      </c>
      <c r="G228" s="66" t="s">
        <v>310</v>
      </c>
    </row>
    <row r="229">
      <c r="A229" s="83">
        <v>45126.0</v>
      </c>
      <c r="B229" s="66">
        <v>2365.2</v>
      </c>
      <c r="C229" s="66">
        <v>2365.0</v>
      </c>
      <c r="D229" s="66">
        <v>2.0</v>
      </c>
      <c r="E229" s="66">
        <v>0.8846</v>
      </c>
      <c r="F229" s="66">
        <v>3.0</v>
      </c>
    </row>
    <row r="230">
      <c r="A230" s="83">
        <v>45126.0</v>
      </c>
      <c r="B230" s="66">
        <v>2343.3</v>
      </c>
      <c r="C230" s="66">
        <v>2343.0</v>
      </c>
      <c r="D230" s="66">
        <v>3.0</v>
      </c>
      <c r="E230" s="66">
        <v>0.3591</v>
      </c>
      <c r="F230" s="66">
        <v>3.0</v>
      </c>
    </row>
    <row r="231">
      <c r="A231" s="83">
        <v>45126.0</v>
      </c>
      <c r="B231" s="66">
        <v>2347.3</v>
      </c>
      <c r="C231" s="66">
        <v>2347.0</v>
      </c>
      <c r="D231" s="66">
        <v>3.0</v>
      </c>
      <c r="E231" s="66">
        <v>0.5834</v>
      </c>
      <c r="F231" s="66">
        <v>3.0</v>
      </c>
    </row>
    <row r="232">
      <c r="A232" s="83">
        <v>45126.0</v>
      </c>
      <c r="B232" s="66">
        <v>2347.4</v>
      </c>
      <c r="C232" s="66">
        <v>2347.0</v>
      </c>
      <c r="D232" s="66">
        <v>4.0</v>
      </c>
      <c r="E232" s="66">
        <v>1.2657</v>
      </c>
      <c r="F232" s="66">
        <v>3.0</v>
      </c>
    </row>
    <row r="233">
      <c r="A233" s="83">
        <v>45126.0</v>
      </c>
      <c r="B233" s="66">
        <v>2343.4</v>
      </c>
      <c r="C233" s="66">
        <v>2343.0</v>
      </c>
      <c r="D233" s="66">
        <v>4.0</v>
      </c>
      <c r="E233" s="66">
        <v>0.9978</v>
      </c>
      <c r="F233" s="66">
        <v>3.0</v>
      </c>
    </row>
    <row r="234">
      <c r="A234" s="83">
        <v>45126.0</v>
      </c>
      <c r="B234" s="66">
        <v>2365.1</v>
      </c>
      <c r="C234" s="66">
        <v>2365.0</v>
      </c>
      <c r="D234" s="66">
        <v>1.0</v>
      </c>
      <c r="E234" s="66">
        <v>0.4054</v>
      </c>
      <c r="F234" s="66">
        <v>3.0</v>
      </c>
    </row>
    <row r="235">
      <c r="A235" s="83">
        <v>45126.0</v>
      </c>
      <c r="B235" s="66">
        <v>2367.5</v>
      </c>
      <c r="C235" s="66">
        <v>2367.0</v>
      </c>
      <c r="D235" s="66">
        <v>5.0</v>
      </c>
      <c r="E235" s="66">
        <v>1.1803</v>
      </c>
      <c r="F235" s="66">
        <v>3.0</v>
      </c>
    </row>
    <row r="236">
      <c r="A236" s="83">
        <v>45126.0</v>
      </c>
      <c r="B236" s="66">
        <v>2367.4</v>
      </c>
      <c r="C236" s="66">
        <v>2367.0</v>
      </c>
      <c r="D236" s="66">
        <v>4.0</v>
      </c>
      <c r="E236" s="66">
        <v>0.878</v>
      </c>
      <c r="F236" s="66">
        <v>3.0</v>
      </c>
    </row>
    <row r="237">
      <c r="A237" s="83">
        <v>45126.0</v>
      </c>
      <c r="B237" s="66">
        <v>2343.1</v>
      </c>
      <c r="C237" s="66">
        <v>2343.0</v>
      </c>
      <c r="D237" s="66">
        <v>1.0</v>
      </c>
      <c r="E237" s="66">
        <v>1.4069</v>
      </c>
      <c r="F237" s="66">
        <v>3.0</v>
      </c>
    </row>
    <row r="238">
      <c r="A238" s="83">
        <v>45126.0</v>
      </c>
      <c r="B238" s="66">
        <v>2367.3</v>
      </c>
      <c r="C238" s="66">
        <v>2367.0</v>
      </c>
      <c r="D238" s="66">
        <v>3.0</v>
      </c>
      <c r="E238" s="66">
        <v>0.5384</v>
      </c>
      <c r="F238" s="66">
        <v>3.0</v>
      </c>
    </row>
    <row r="239">
      <c r="A239" s="83">
        <v>45126.0</v>
      </c>
      <c r="B239" s="66">
        <v>2347.2</v>
      </c>
      <c r="C239" s="66">
        <v>2347.0</v>
      </c>
      <c r="D239" s="66">
        <v>2.0</v>
      </c>
      <c r="E239" s="66">
        <v>0.6965</v>
      </c>
      <c r="F239" s="66">
        <v>3.0</v>
      </c>
    </row>
    <row r="240">
      <c r="A240" s="83">
        <v>45126.0</v>
      </c>
      <c r="B240" s="66">
        <v>2347.5</v>
      </c>
      <c r="C240" s="66">
        <v>2347.0</v>
      </c>
      <c r="D240" s="66">
        <v>5.0</v>
      </c>
      <c r="E240" s="66">
        <v>0.5189</v>
      </c>
      <c r="F240" s="66">
        <v>3.0</v>
      </c>
    </row>
    <row r="241">
      <c r="A241" s="83">
        <v>45126.0</v>
      </c>
      <c r="B241" s="66">
        <v>2369.5</v>
      </c>
      <c r="C241" s="66">
        <v>2369.0</v>
      </c>
      <c r="D241" s="66">
        <v>5.0</v>
      </c>
      <c r="E241" s="66">
        <v>1.21</v>
      </c>
      <c r="F241" s="66">
        <v>3.0</v>
      </c>
      <c r="G241" s="66" t="s">
        <v>311</v>
      </c>
    </row>
    <row r="242">
      <c r="A242" s="83">
        <v>45126.0</v>
      </c>
      <c r="B242" s="66">
        <v>2367.1</v>
      </c>
      <c r="C242" s="66">
        <v>2367.0</v>
      </c>
      <c r="D242" s="66">
        <v>1.0</v>
      </c>
      <c r="E242" s="66">
        <v>0.8756</v>
      </c>
      <c r="F242" s="66">
        <v>3.0</v>
      </c>
    </row>
    <row r="243">
      <c r="A243" s="83">
        <v>45126.0</v>
      </c>
      <c r="B243" s="66">
        <v>2376.2</v>
      </c>
      <c r="C243" s="66">
        <v>2376.0</v>
      </c>
      <c r="D243" s="66">
        <v>2.0</v>
      </c>
      <c r="E243" s="66">
        <v>1.2319</v>
      </c>
      <c r="F243" s="66">
        <v>3.0</v>
      </c>
    </row>
    <row r="244">
      <c r="A244" s="83">
        <v>45126.0</v>
      </c>
      <c r="B244" s="66">
        <v>2347.1</v>
      </c>
      <c r="C244" s="66">
        <v>2347.0</v>
      </c>
      <c r="D244" s="66">
        <v>1.0</v>
      </c>
      <c r="E244" s="66">
        <v>0.984</v>
      </c>
      <c r="F244" s="66">
        <v>3.0</v>
      </c>
    </row>
    <row r="245">
      <c r="A245" s="83">
        <v>45126.0</v>
      </c>
      <c r="B245" s="66">
        <v>2369.4</v>
      </c>
      <c r="C245" s="66">
        <v>2369.0</v>
      </c>
      <c r="D245" s="66">
        <v>4.0</v>
      </c>
      <c r="E245" s="66">
        <v>0.3601</v>
      </c>
      <c r="F245" s="66">
        <v>3.0</v>
      </c>
    </row>
    <row r="246">
      <c r="A246" s="83">
        <v>45126.0</v>
      </c>
      <c r="B246" s="66">
        <v>2369.3</v>
      </c>
      <c r="C246" s="66">
        <v>2369.0</v>
      </c>
      <c r="D246" s="66">
        <v>3.0</v>
      </c>
      <c r="E246" s="66">
        <v>0.3613</v>
      </c>
      <c r="F246" s="66">
        <v>3.0</v>
      </c>
    </row>
    <row r="247">
      <c r="A247" s="83">
        <v>45126.0</v>
      </c>
      <c r="B247" s="66">
        <v>2369.2</v>
      </c>
      <c r="C247" s="66">
        <v>2369.0</v>
      </c>
      <c r="D247" s="66">
        <v>2.0</v>
      </c>
      <c r="E247" s="66">
        <v>0.3675</v>
      </c>
      <c r="F247" s="66">
        <v>3.0</v>
      </c>
    </row>
    <row r="248">
      <c r="A248" s="83">
        <v>45126.0</v>
      </c>
      <c r="B248" s="66">
        <v>2365.5</v>
      </c>
      <c r="C248" s="66">
        <v>2365.0</v>
      </c>
      <c r="D248" s="66">
        <v>5.0</v>
      </c>
      <c r="E248" s="66">
        <v>0.0695</v>
      </c>
      <c r="F248" s="66">
        <v>3.0</v>
      </c>
    </row>
    <row r="249">
      <c r="A249" s="83">
        <v>45126.0</v>
      </c>
      <c r="B249" s="66">
        <v>2369.1</v>
      </c>
      <c r="C249" s="66">
        <v>2369.0</v>
      </c>
      <c r="D249" s="66">
        <v>1.0</v>
      </c>
      <c r="E249" s="66">
        <v>0.7785</v>
      </c>
      <c r="F249" s="66">
        <v>3.0</v>
      </c>
    </row>
    <row r="250">
      <c r="A250" s="83">
        <v>45126.0</v>
      </c>
      <c r="B250" s="66">
        <v>2367.2</v>
      </c>
      <c r="C250" s="66">
        <v>2367.0</v>
      </c>
      <c r="D250" s="66">
        <v>2.0</v>
      </c>
      <c r="E250" s="66">
        <v>0.6421</v>
      </c>
      <c r="F250" s="66">
        <v>3.0</v>
      </c>
    </row>
    <row r="251">
      <c r="A251" s="83">
        <v>45126.0</v>
      </c>
      <c r="B251" s="66">
        <v>2347.4</v>
      </c>
      <c r="C251" s="66">
        <v>2347.0</v>
      </c>
      <c r="D251" s="66">
        <v>4.0</v>
      </c>
      <c r="E251" s="66">
        <v>1.2657</v>
      </c>
      <c r="F251" s="66">
        <v>3.0</v>
      </c>
      <c r="G251" s="86" t="s">
        <v>309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304</v>
      </c>
      <c r="B1" s="79" t="s">
        <v>306</v>
      </c>
      <c r="C1" s="79" t="s">
        <v>312</v>
      </c>
      <c r="D1" s="79" t="s">
        <v>313</v>
      </c>
      <c r="E1" s="79" t="s">
        <v>314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118">
        <v>44650.0</v>
      </c>
      <c r="B2" s="66">
        <v>2381.0</v>
      </c>
      <c r="C2" s="66" t="s">
        <v>184</v>
      </c>
      <c r="D2" s="66">
        <v>0.3</v>
      </c>
      <c r="E2" s="66">
        <v>0.596</v>
      </c>
    </row>
    <row r="3">
      <c r="A3" s="118">
        <v>44650.0</v>
      </c>
      <c r="B3" s="66">
        <v>2384.0</v>
      </c>
      <c r="C3" s="66" t="s">
        <v>184</v>
      </c>
      <c r="D3" s="66">
        <v>0.213</v>
      </c>
      <c r="E3" s="66">
        <v>0.294</v>
      </c>
    </row>
    <row r="4">
      <c r="A4" s="83">
        <v>44650.0</v>
      </c>
      <c r="B4" s="66">
        <v>2365.0</v>
      </c>
      <c r="C4" s="66" t="s">
        <v>184</v>
      </c>
      <c r="D4" s="66">
        <v>0.471</v>
      </c>
      <c r="E4" s="66">
        <v>0.622</v>
      </c>
    </row>
    <row r="5">
      <c r="A5" s="83">
        <v>44650.0</v>
      </c>
      <c r="B5" s="66">
        <v>2343.0</v>
      </c>
      <c r="C5" s="66" t="s">
        <v>185</v>
      </c>
      <c r="D5" s="66">
        <v>0.316</v>
      </c>
      <c r="E5" s="66">
        <v>0.427</v>
      </c>
    </row>
    <row r="6">
      <c r="A6" s="83">
        <v>44650.0</v>
      </c>
      <c r="B6" s="66">
        <v>2343.0</v>
      </c>
      <c r="C6" s="66" t="s">
        <v>184</v>
      </c>
      <c r="D6" s="66">
        <v>0.402</v>
      </c>
      <c r="E6" s="66">
        <v>0.512</v>
      </c>
    </row>
    <row r="7">
      <c r="A7" s="83">
        <v>44650.0</v>
      </c>
      <c r="B7" s="66">
        <v>2382.0</v>
      </c>
      <c r="C7" s="66" t="s">
        <v>184</v>
      </c>
      <c r="D7" s="66">
        <v>0.206</v>
      </c>
      <c r="E7" s="66">
        <v>0.648</v>
      </c>
    </row>
    <row r="8">
      <c r="A8" s="83">
        <v>44650.0</v>
      </c>
      <c r="B8" s="66">
        <v>2009.0</v>
      </c>
      <c r="C8" s="66" t="s">
        <v>184</v>
      </c>
      <c r="D8" s="66">
        <v>0.242</v>
      </c>
      <c r="E8" s="66">
        <v>0.574</v>
      </c>
    </row>
    <row r="9">
      <c r="A9" s="83">
        <v>44650.0</v>
      </c>
      <c r="B9" s="66">
        <v>2360.0</v>
      </c>
      <c r="C9" s="66" t="s">
        <v>184</v>
      </c>
      <c r="D9" s="66">
        <v>0.261</v>
      </c>
      <c r="E9" s="66">
        <v>0.415</v>
      </c>
    </row>
    <row r="10">
      <c r="A10" s="83">
        <v>44650.0</v>
      </c>
      <c r="B10" s="66">
        <v>2383.0</v>
      </c>
      <c r="C10" s="66" t="s">
        <v>184</v>
      </c>
      <c r="D10" s="66">
        <v>0.065</v>
      </c>
      <c r="E10" s="66">
        <v>0.29</v>
      </c>
    </row>
    <row r="11">
      <c r="A11" s="83">
        <v>44650.0</v>
      </c>
      <c r="B11" s="66">
        <v>2343.0</v>
      </c>
      <c r="C11" s="66" t="s">
        <v>185</v>
      </c>
      <c r="D11" s="66">
        <v>0.123</v>
      </c>
      <c r="E11" s="66">
        <v>0.36</v>
      </c>
    </row>
    <row r="12">
      <c r="A12" s="83">
        <v>44650.0</v>
      </c>
      <c r="B12" s="66">
        <v>2381.0</v>
      </c>
      <c r="C12" s="66" t="s">
        <v>186</v>
      </c>
      <c r="D12" s="66">
        <v>0.118</v>
      </c>
      <c r="E12" s="66">
        <v>0.575</v>
      </c>
    </row>
    <row r="13">
      <c r="A13" s="83">
        <v>44650.0</v>
      </c>
      <c r="B13" s="66">
        <v>2382.0</v>
      </c>
      <c r="C13" s="66" t="s">
        <v>184</v>
      </c>
      <c r="D13" s="66">
        <v>0.174</v>
      </c>
      <c r="E13" s="66">
        <v>0.721</v>
      </c>
    </row>
    <row r="14">
      <c r="A14" s="83">
        <v>44650.0</v>
      </c>
      <c r="B14" s="66">
        <v>2347.0</v>
      </c>
      <c r="C14" s="66" t="s">
        <v>184</v>
      </c>
      <c r="D14" s="66">
        <v>0.432</v>
      </c>
      <c r="E14" s="66">
        <v>0.593</v>
      </c>
    </row>
    <row r="15">
      <c r="A15" s="83">
        <v>44684.0</v>
      </c>
      <c r="B15" s="66">
        <v>2009.0</v>
      </c>
      <c r="C15" s="66" t="s">
        <v>184</v>
      </c>
      <c r="D15" s="66">
        <v>0.096</v>
      </c>
      <c r="E15" s="66">
        <v>0.332</v>
      </c>
    </row>
    <row r="16">
      <c r="A16" s="83">
        <v>44683.0</v>
      </c>
      <c r="B16" s="66">
        <v>2369.0</v>
      </c>
      <c r="C16" s="66" t="s">
        <v>184</v>
      </c>
      <c r="D16" s="66">
        <v>0.144</v>
      </c>
      <c r="E16" s="66">
        <v>0.359</v>
      </c>
    </row>
    <row r="17">
      <c r="A17" s="83">
        <v>44683.0</v>
      </c>
      <c r="B17" s="66">
        <v>2346.0</v>
      </c>
      <c r="C17" s="66" t="s">
        <v>185</v>
      </c>
      <c r="D17" s="66">
        <v>0.158</v>
      </c>
      <c r="E17" s="66">
        <v>0.504</v>
      </c>
    </row>
    <row r="18">
      <c r="A18" s="83">
        <v>44684.0</v>
      </c>
      <c r="B18" s="66">
        <v>2347.0</v>
      </c>
      <c r="C18" s="66" t="s">
        <v>184</v>
      </c>
      <c r="D18" s="66">
        <v>0.281</v>
      </c>
      <c r="E18" s="66">
        <v>0.708</v>
      </c>
    </row>
    <row r="19">
      <c r="A19" s="83">
        <v>44684.0</v>
      </c>
      <c r="B19" s="66">
        <v>2009.0</v>
      </c>
      <c r="C19" s="66" t="s">
        <v>185</v>
      </c>
      <c r="D19" s="66">
        <v>0.247</v>
      </c>
      <c r="E19" s="66">
        <v>0.684</v>
      </c>
    </row>
    <row r="20">
      <c r="A20" s="83">
        <v>44684.0</v>
      </c>
      <c r="B20" s="66">
        <v>2369.0</v>
      </c>
      <c r="C20" s="66" t="s">
        <v>185</v>
      </c>
      <c r="D20" s="66">
        <v>0.295</v>
      </c>
      <c r="E20" s="66">
        <v>0.788</v>
      </c>
    </row>
    <row r="21">
      <c r="A21" s="83">
        <v>44684.0</v>
      </c>
      <c r="B21" s="66">
        <v>2347.0</v>
      </c>
      <c r="C21" s="66" t="s">
        <v>185</v>
      </c>
      <c r="D21" s="66">
        <v>0.102</v>
      </c>
      <c r="E21" s="66">
        <v>0.45</v>
      </c>
    </row>
    <row r="22">
      <c r="A22" s="83">
        <v>44684.0</v>
      </c>
      <c r="B22" s="66">
        <v>2381.0</v>
      </c>
      <c r="C22" s="66" t="s">
        <v>185</v>
      </c>
      <c r="D22" s="66">
        <v>0.091</v>
      </c>
      <c r="E22" s="66">
        <v>0.682</v>
      </c>
    </row>
    <row r="23">
      <c r="A23" s="83">
        <v>44684.0</v>
      </c>
      <c r="B23" s="66">
        <v>2346.0</v>
      </c>
      <c r="C23" s="66" t="s">
        <v>184</v>
      </c>
      <c r="D23" s="66">
        <v>0.101</v>
      </c>
      <c r="E23" s="66">
        <v>0.226</v>
      </c>
    </row>
    <row r="24">
      <c r="A24" s="83">
        <v>44684.0</v>
      </c>
      <c r="B24" s="66">
        <v>2367.0</v>
      </c>
      <c r="C24" s="66" t="s">
        <v>185</v>
      </c>
      <c r="D24" s="66">
        <v>0.046</v>
      </c>
      <c r="E24" s="66">
        <v>0.226</v>
      </c>
    </row>
    <row r="25">
      <c r="A25" s="83">
        <v>44684.0</v>
      </c>
      <c r="B25" s="66">
        <v>2381.0</v>
      </c>
      <c r="C25" s="66" t="s">
        <v>184</v>
      </c>
      <c r="D25" s="66">
        <v>0.784</v>
      </c>
      <c r="E25" s="66">
        <v>0.535</v>
      </c>
    </row>
    <row r="26">
      <c r="A26" s="83">
        <v>44684.0</v>
      </c>
      <c r="B26" s="66">
        <v>2367.0</v>
      </c>
      <c r="C26" s="66" t="s">
        <v>184</v>
      </c>
      <c r="D26" s="66">
        <v>0.101</v>
      </c>
      <c r="E26" s="66">
        <v>0.445</v>
      </c>
    </row>
    <row r="27">
      <c r="A27" s="83">
        <v>44684.0</v>
      </c>
      <c r="B27" s="66">
        <v>2343.0</v>
      </c>
      <c r="C27" s="66" t="s">
        <v>184</v>
      </c>
      <c r="D27" s="66">
        <v>0.098</v>
      </c>
      <c r="E27" s="66">
        <v>0.682</v>
      </c>
    </row>
    <row r="28">
      <c r="A28" s="83">
        <v>44684.0</v>
      </c>
      <c r="B28" s="66">
        <v>2365.0</v>
      </c>
      <c r="C28" s="66" t="s">
        <v>184</v>
      </c>
      <c r="D28" s="82">
        <f>0.045+0.058</f>
        <v>0.103</v>
      </c>
      <c r="E28" s="66">
        <v>0.45</v>
      </c>
    </row>
    <row r="29">
      <c r="A29" s="83">
        <v>44684.0</v>
      </c>
      <c r="B29" s="66">
        <v>2384.0</v>
      </c>
      <c r="C29" s="66" t="s">
        <v>184</v>
      </c>
      <c r="D29" s="82">
        <f>0.034+0.008</f>
        <v>0.042</v>
      </c>
      <c r="E29" s="66">
        <v>0.183</v>
      </c>
    </row>
    <row r="30">
      <c r="A30" s="83">
        <v>44684.0</v>
      </c>
      <c r="B30" s="66">
        <v>2010.0</v>
      </c>
      <c r="C30" s="66" t="s">
        <v>184</v>
      </c>
      <c r="D30" s="82">
        <f>0.035+0.035</f>
        <v>0.07</v>
      </c>
      <c r="E30" s="66">
        <v>0.405</v>
      </c>
    </row>
    <row r="31">
      <c r="A31" s="83">
        <v>44684.0</v>
      </c>
      <c r="B31" s="66">
        <v>2360.0</v>
      </c>
      <c r="C31" s="66" t="s">
        <v>184</v>
      </c>
      <c r="D31" s="66">
        <v>0.083</v>
      </c>
      <c r="E31" s="66">
        <v>0.576</v>
      </c>
    </row>
    <row r="32">
      <c r="A32" s="83">
        <v>44684.0</v>
      </c>
      <c r="B32" s="66">
        <v>2365.0</v>
      </c>
      <c r="C32" s="66" t="s">
        <v>185</v>
      </c>
      <c r="D32" s="82">
        <f>0.043+0.042</f>
        <v>0.085</v>
      </c>
      <c r="E32" s="66">
        <v>0.362</v>
      </c>
    </row>
    <row r="33">
      <c r="A33" s="83">
        <v>44684.0</v>
      </c>
      <c r="B33" s="66">
        <v>2360.0</v>
      </c>
      <c r="C33" s="66" t="s">
        <v>185</v>
      </c>
      <c r="D33" s="82">
        <f>0.049+0.053</f>
        <v>0.102</v>
      </c>
      <c r="E33" s="66">
        <v>0.348</v>
      </c>
    </row>
    <row r="34">
      <c r="A34" s="83">
        <v>44684.0</v>
      </c>
      <c r="B34" s="66">
        <v>2382.0</v>
      </c>
      <c r="C34" s="66" t="s">
        <v>184</v>
      </c>
      <c r="D34" s="82">
        <f>0.074+0.044</f>
        <v>0.118</v>
      </c>
      <c r="E34" s="66">
        <v>0.755</v>
      </c>
    </row>
    <row r="35">
      <c r="A35" s="83">
        <v>44706.0</v>
      </c>
      <c r="B35" s="66">
        <v>2347.0</v>
      </c>
      <c r="C35" s="66" t="s">
        <v>184</v>
      </c>
      <c r="D35" s="66">
        <v>0.36</v>
      </c>
      <c r="E35" s="66">
        <v>0.878</v>
      </c>
    </row>
    <row r="36">
      <c r="A36" s="83">
        <v>44706.0</v>
      </c>
      <c r="B36" s="66">
        <v>2354.0</v>
      </c>
      <c r="C36" s="66" t="s">
        <v>184</v>
      </c>
      <c r="D36" s="66">
        <v>0.107</v>
      </c>
      <c r="E36" s="66">
        <v>0.589</v>
      </c>
    </row>
    <row r="37">
      <c r="A37" s="83">
        <v>44706.0</v>
      </c>
      <c r="B37" s="66">
        <v>2369.0</v>
      </c>
      <c r="C37" s="66" t="s">
        <v>184</v>
      </c>
      <c r="D37" s="66">
        <v>0.26</v>
      </c>
      <c r="E37" s="66">
        <v>0.997</v>
      </c>
    </row>
    <row r="38">
      <c r="A38" s="83">
        <v>44706.0</v>
      </c>
      <c r="B38" s="66">
        <v>2365.0</v>
      </c>
      <c r="C38" s="66" t="s">
        <v>184</v>
      </c>
      <c r="D38" s="66">
        <v>0.288</v>
      </c>
      <c r="E38" s="66">
        <v>0.69</v>
      </c>
    </row>
    <row r="39">
      <c r="A39" s="83">
        <v>44706.0</v>
      </c>
      <c r="B39" s="66">
        <v>2343.0</v>
      </c>
      <c r="C39" s="66" t="s">
        <v>184</v>
      </c>
      <c r="D39" s="66">
        <v>0.396</v>
      </c>
      <c r="E39" s="66">
        <v>1.043</v>
      </c>
    </row>
    <row r="40">
      <c r="A40" s="83">
        <v>44706.0</v>
      </c>
      <c r="B40" s="66">
        <v>2380.0</v>
      </c>
      <c r="C40" s="66" t="s">
        <v>184</v>
      </c>
      <c r="D40" s="66">
        <v>0.408</v>
      </c>
      <c r="E40" s="66">
        <v>1.908</v>
      </c>
    </row>
    <row r="41">
      <c r="A41" s="83">
        <v>44706.0</v>
      </c>
      <c r="B41" s="66">
        <v>2376.0</v>
      </c>
      <c r="C41" s="66" t="s">
        <v>184</v>
      </c>
      <c r="D41" s="66">
        <v>0.18</v>
      </c>
      <c r="E41" s="66">
        <v>0.885</v>
      </c>
    </row>
    <row r="42">
      <c r="A42" s="83">
        <v>44706.0</v>
      </c>
      <c r="B42" s="66">
        <v>2352.0</v>
      </c>
      <c r="C42" s="66" t="s">
        <v>184</v>
      </c>
      <c r="D42" s="66">
        <v>0.145</v>
      </c>
      <c r="E42" s="66">
        <v>0.612</v>
      </c>
    </row>
    <row r="43">
      <c r="A43" s="83">
        <v>44706.0</v>
      </c>
      <c r="B43" s="66">
        <v>2346.0</v>
      </c>
      <c r="C43" s="66" t="s">
        <v>184</v>
      </c>
      <c r="D43" s="66">
        <v>0.204</v>
      </c>
      <c r="E43" s="66">
        <v>0.317</v>
      </c>
    </row>
    <row r="44">
      <c r="A44" s="83">
        <v>44706.0</v>
      </c>
      <c r="B44" s="66">
        <v>2345.0</v>
      </c>
      <c r="C44" s="66" t="s">
        <v>184</v>
      </c>
      <c r="D44" s="66">
        <v>0.265</v>
      </c>
      <c r="E44" s="66">
        <v>0.774</v>
      </c>
    </row>
    <row r="45">
      <c r="A45" s="83">
        <v>44706.0</v>
      </c>
      <c r="B45" s="66">
        <v>2367.0</v>
      </c>
      <c r="C45" s="66" t="s">
        <v>184</v>
      </c>
      <c r="D45" s="66">
        <v>0.343</v>
      </c>
      <c r="E45" s="66">
        <v>0.136</v>
      </c>
    </row>
    <row r="46">
      <c r="A46" s="83">
        <v>44706.0</v>
      </c>
      <c r="B46" s="66">
        <v>2331.0</v>
      </c>
      <c r="C46" s="66" t="s">
        <v>184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22" t="s">
        <v>317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F10" s="66">
        <v>2.0</v>
      </c>
      <c r="G10" s="66">
        <v>1.0</v>
      </c>
      <c r="H10" s="83">
        <v>44610.0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F12" s="66">
        <v>3.0</v>
      </c>
      <c r="G12" s="66">
        <v>0.0</v>
      </c>
      <c r="H12" s="83">
        <v>44610.0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F13" s="66">
        <v>2.0</v>
      </c>
      <c r="G13" s="66">
        <v>3.0</v>
      </c>
      <c r="H13" s="83">
        <v>44610.0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F15" s="66">
        <v>1.0</v>
      </c>
      <c r="G15" s="66">
        <v>2.0</v>
      </c>
      <c r="H15" s="83">
        <v>44610.0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F16" s="66">
        <v>0.0</v>
      </c>
      <c r="G16" s="66">
        <v>2.0</v>
      </c>
      <c r="H16" s="83">
        <v>44610.0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F18" s="66">
        <v>0.0</v>
      </c>
      <c r="G18" s="66">
        <v>5.0</v>
      </c>
      <c r="H18" s="83">
        <v>44610.0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F19" s="66">
        <v>3.0</v>
      </c>
      <c r="G19" s="66">
        <v>0.0</v>
      </c>
      <c r="H19" s="83">
        <v>44610.0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F21" s="66">
        <v>3.0</v>
      </c>
      <c r="G21" s="83">
        <v>44687.0</v>
      </c>
      <c r="H21" s="83">
        <v>44610.0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F22" s="66">
        <v>3.0</v>
      </c>
      <c r="G22" s="66">
        <v>0.0</v>
      </c>
      <c r="H22" s="83">
        <v>44610.0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F23" s="66">
        <v>3.0</v>
      </c>
      <c r="G23" s="66">
        <v>0.0</v>
      </c>
      <c r="H23" s="83">
        <v>44610.0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F24" s="66">
        <v>3.0</v>
      </c>
      <c r="G24" s="66">
        <v>1.0</v>
      </c>
      <c r="H24" s="83">
        <v>44610.0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F25" s="66">
        <v>3.0</v>
      </c>
      <c r="G25" s="66">
        <v>0.0</v>
      </c>
      <c r="H25" s="83">
        <v>44610.0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F27" s="66">
        <v>2.0</v>
      </c>
      <c r="G27" s="66">
        <v>0.0</v>
      </c>
      <c r="H27" s="83">
        <v>44610.0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F30" s="66">
        <v>3.0</v>
      </c>
      <c r="G30" s="66">
        <v>0.0</v>
      </c>
      <c r="H30" s="83">
        <v>44610.0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F36" s="66">
        <v>0.0</v>
      </c>
      <c r="G36" s="66">
        <v>0.0</v>
      </c>
      <c r="H36" s="83">
        <v>44610.0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F37" s="66">
        <v>0.0</v>
      </c>
      <c r="G37" s="66">
        <v>0.0</v>
      </c>
      <c r="H37" s="83">
        <v>44610.0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F38" s="66">
        <v>1.0</v>
      </c>
      <c r="G38" s="66">
        <v>0.0</v>
      </c>
      <c r="H38" s="83">
        <v>44610.0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F39" s="66">
        <v>0.0</v>
      </c>
      <c r="G39" s="66">
        <v>0.0</v>
      </c>
      <c r="H39" s="83">
        <v>44610.0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F40" s="66">
        <v>0.0</v>
      </c>
      <c r="G40" s="66">
        <v>0.0</v>
      </c>
      <c r="H40" s="83">
        <v>44610.0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F41" s="66">
        <v>0.0</v>
      </c>
      <c r="G41" s="66">
        <v>0.0</v>
      </c>
      <c r="H41" s="83">
        <v>44610.0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F42" s="66">
        <v>1.0</v>
      </c>
      <c r="G42" s="66">
        <v>0.0</v>
      </c>
      <c r="H42" s="83">
        <v>44610.0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F47" s="66">
        <v>2.0</v>
      </c>
      <c r="G47" s="66">
        <v>0.0</v>
      </c>
      <c r="H47" s="83">
        <v>44610.0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F48" s="66">
        <v>2.0</v>
      </c>
      <c r="G48" s="66">
        <v>0.0</v>
      </c>
      <c r="H48" s="83">
        <v>44610.0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F49" s="66">
        <v>1.0</v>
      </c>
      <c r="G49" s="66">
        <v>0.0</v>
      </c>
      <c r="H49" s="83">
        <v>44610.0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F50" s="66">
        <v>1.0</v>
      </c>
      <c r="G50" s="66">
        <v>0.0</v>
      </c>
      <c r="H50" s="83">
        <v>44610.0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F51" s="66">
        <v>1.0</v>
      </c>
      <c r="G51" s="66">
        <v>0.0</v>
      </c>
      <c r="H51" s="83">
        <v>44610.0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F52" s="66">
        <v>1.0</v>
      </c>
      <c r="G52" s="66">
        <v>0.0</v>
      </c>
      <c r="H52" s="83">
        <v>44610.0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F54" s="66">
        <v>1.0</v>
      </c>
      <c r="G54" s="66">
        <v>0.0</v>
      </c>
      <c r="H54" s="83">
        <v>44612.0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F55" s="66">
        <v>0.0</v>
      </c>
      <c r="G55" s="66">
        <v>0.0</v>
      </c>
      <c r="H55" s="83">
        <v>44612.0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F56" s="66">
        <v>0.0</v>
      </c>
      <c r="G56" s="66">
        <v>1.0</v>
      </c>
      <c r="H56" s="83">
        <v>44612.0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F57" s="66">
        <v>4.0</v>
      </c>
      <c r="G57" s="66">
        <v>0.0</v>
      </c>
      <c r="H57" s="83">
        <v>44612.0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F58" s="66">
        <v>1.0</v>
      </c>
      <c r="G58" s="66">
        <v>0.0</v>
      </c>
      <c r="H58" s="83">
        <v>44612.0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F61" s="66">
        <v>2.0</v>
      </c>
      <c r="G61" s="66">
        <v>0.0</v>
      </c>
      <c r="H61" s="83">
        <v>44612.0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F62" s="66">
        <v>1.0</v>
      </c>
      <c r="G62" s="66">
        <v>0.0</v>
      </c>
      <c r="H62" s="83">
        <v>44612.0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F63" s="66">
        <v>2.0</v>
      </c>
      <c r="G63" s="66">
        <v>0.0</v>
      </c>
      <c r="H63" s="83">
        <v>44612.0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F65" s="66">
        <v>1.0</v>
      </c>
      <c r="G65" s="66">
        <v>0.0</v>
      </c>
      <c r="H65" s="83">
        <v>44612.0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F68" s="66">
        <v>0.0</v>
      </c>
      <c r="G68" s="66">
        <v>0.0</v>
      </c>
      <c r="H68" s="83">
        <v>44612.0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F69" s="66">
        <v>1.0</v>
      </c>
      <c r="G69" s="66">
        <v>0.0</v>
      </c>
      <c r="H69" s="83">
        <v>44612.0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F70" s="66">
        <v>0.0</v>
      </c>
      <c r="G70" s="66">
        <v>1.0</v>
      </c>
      <c r="H70" s="83">
        <v>44612.0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F71" s="66">
        <v>0.0</v>
      </c>
      <c r="G71" s="66">
        <v>1.0</v>
      </c>
      <c r="H71" s="83">
        <v>44612.0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F73" s="66">
        <v>0.0</v>
      </c>
      <c r="G73" s="66">
        <v>0.0</v>
      </c>
      <c r="H73" s="83">
        <v>44612.0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F74" s="66">
        <v>3.0</v>
      </c>
      <c r="G74" s="66">
        <v>0.0</v>
      </c>
      <c r="H74" s="83">
        <v>44612.0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F76" s="66">
        <v>1.0</v>
      </c>
      <c r="G76" s="66">
        <v>0.0</v>
      </c>
      <c r="H76" s="83">
        <v>44612.0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F77" s="66">
        <v>1.0</v>
      </c>
      <c r="G77" s="66">
        <v>0.0</v>
      </c>
      <c r="H77" s="83">
        <v>44612.0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F78" s="66">
        <v>1.0</v>
      </c>
      <c r="G78" s="66">
        <v>0.0</v>
      </c>
      <c r="H78" s="83">
        <v>44612.0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F79" s="66">
        <v>0.0</v>
      </c>
      <c r="G79" s="66">
        <v>0.0</v>
      </c>
      <c r="H79" s="83">
        <v>44612.0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F80" s="66">
        <v>0.0</v>
      </c>
      <c r="G80" s="66">
        <v>0.0</v>
      </c>
      <c r="H80" s="83">
        <v>44612.0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F83" s="66">
        <v>0.0</v>
      </c>
      <c r="G83" s="66">
        <v>0.0</v>
      </c>
      <c r="H83" s="83">
        <v>44612.0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F84" s="66">
        <v>0.0</v>
      </c>
      <c r="G84" s="66">
        <v>0.0</v>
      </c>
      <c r="H84" s="83">
        <v>44612.0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F85" s="66">
        <v>0.0</v>
      </c>
      <c r="G85" s="66">
        <v>0.0</v>
      </c>
      <c r="H85" s="83">
        <v>44612.0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F86" s="66">
        <v>0.0</v>
      </c>
      <c r="G86" s="66">
        <v>1.0</v>
      </c>
      <c r="H86" s="83">
        <v>44612.0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F87" s="66">
        <v>1.0</v>
      </c>
      <c r="G87" s="66">
        <v>0.0</v>
      </c>
      <c r="H87" s="83">
        <v>44612.0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F88" s="66">
        <v>0.0</v>
      </c>
      <c r="G88" s="66">
        <v>0.0</v>
      </c>
      <c r="H88" s="83">
        <v>44612.0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F89" s="66">
        <v>3.0</v>
      </c>
      <c r="G89" s="66">
        <v>0.0</v>
      </c>
      <c r="H89" s="83">
        <v>44612.0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F90" s="66">
        <v>0.0</v>
      </c>
      <c r="G90" s="66">
        <v>0.0</v>
      </c>
      <c r="H90" s="83">
        <v>44612.0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119" t="s">
        <v>315</v>
      </c>
      <c r="D1" s="120"/>
      <c r="E1" s="120"/>
      <c r="F1" s="130"/>
      <c r="I1" s="136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8"/>
    </row>
    <row r="2" ht="8.25" customHeight="1">
      <c r="F2" s="130"/>
      <c r="I2" s="139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0"/>
    </row>
    <row r="3" ht="15.75" customHeight="1">
      <c r="C3" s="121" t="s">
        <v>1</v>
      </c>
      <c r="D3" s="122" t="s">
        <v>316</v>
      </c>
      <c r="E3" s="121"/>
      <c r="F3" s="130"/>
      <c r="I3" s="13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0"/>
    </row>
    <row r="4" ht="15.75" customHeight="1">
      <c r="C4" s="121" t="s">
        <v>3</v>
      </c>
      <c r="D4" s="141">
        <v>44620.0</v>
      </c>
      <c r="F4" s="130"/>
      <c r="I4" s="122" t="s">
        <v>375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0"/>
    </row>
    <row r="5" ht="21.75" customHeight="1">
      <c r="F5" s="130"/>
      <c r="I5" s="139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0" t="s">
        <v>7</v>
      </c>
    </row>
    <row r="6" ht="15.75" customHeight="1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142" t="s">
        <v>376</v>
      </c>
      <c r="G6" s="142" t="s">
        <v>377</v>
      </c>
      <c r="H6" s="143" t="s">
        <v>45</v>
      </c>
      <c r="I6" s="36" t="s">
        <v>28</v>
      </c>
      <c r="J6" s="36" t="s">
        <v>29</v>
      </c>
      <c r="K6" s="35" t="s">
        <v>318</v>
      </c>
      <c r="L6" s="35" t="s">
        <v>319</v>
      </c>
      <c r="M6" s="35" t="s">
        <v>320</v>
      </c>
      <c r="N6" s="35" t="s">
        <v>321</v>
      </c>
      <c r="O6" s="35" t="s">
        <v>322</v>
      </c>
      <c r="P6" s="35" t="s">
        <v>323</v>
      </c>
      <c r="Q6" s="35" t="s">
        <v>324</v>
      </c>
      <c r="R6" s="35" t="s">
        <v>325</v>
      </c>
      <c r="S6" s="35" t="s">
        <v>326</v>
      </c>
      <c r="T6" s="35" t="s">
        <v>327</v>
      </c>
      <c r="U6" s="35" t="s">
        <v>328</v>
      </c>
      <c r="V6" s="35" t="s">
        <v>329</v>
      </c>
      <c r="W6" s="35" t="s">
        <v>330</v>
      </c>
      <c r="X6" s="35" t="s">
        <v>331</v>
      </c>
      <c r="Y6" s="35" t="s">
        <v>332</v>
      </c>
      <c r="Z6" s="35" t="s">
        <v>333</v>
      </c>
      <c r="AA6" s="35" t="s">
        <v>342</v>
      </c>
      <c r="AB6" s="35" t="s">
        <v>343</v>
      </c>
      <c r="AC6" s="35" t="s">
        <v>344</v>
      </c>
      <c r="AD6" s="35" t="s">
        <v>345</v>
      </c>
      <c r="AE6" s="35" t="s">
        <v>346</v>
      </c>
      <c r="AF6" s="35" t="s">
        <v>347</v>
      </c>
      <c r="AG6" s="35" t="s">
        <v>348</v>
      </c>
      <c r="AH6" s="35" t="s">
        <v>349</v>
      </c>
      <c r="AI6" s="35" t="s">
        <v>350</v>
      </c>
      <c r="AJ6" s="35" t="s">
        <v>351</v>
      </c>
      <c r="AK6" s="35" t="s">
        <v>352</v>
      </c>
      <c r="AL6" s="35" t="s">
        <v>353</v>
      </c>
      <c r="AM6" s="35" t="s">
        <v>354</v>
      </c>
      <c r="AN6" s="35" t="s">
        <v>355</v>
      </c>
      <c r="AO6" s="35" t="s">
        <v>356</v>
      </c>
      <c r="AP6" s="35" t="s">
        <v>357</v>
      </c>
      <c r="AQ6" s="35" t="s">
        <v>358</v>
      </c>
      <c r="AR6" s="35" t="s">
        <v>359</v>
      </c>
      <c r="AS6" s="35" t="s">
        <v>360</v>
      </c>
      <c r="AT6" s="35" t="s">
        <v>361</v>
      </c>
      <c r="AU6" s="35" t="s">
        <v>362</v>
      </c>
      <c r="AV6" s="35" t="s">
        <v>363</v>
      </c>
      <c r="AW6" s="35" t="s">
        <v>364</v>
      </c>
      <c r="AX6" s="35" t="s">
        <v>365</v>
      </c>
      <c r="AY6" s="35" t="s">
        <v>366</v>
      </c>
      <c r="AZ6" s="35" t="s">
        <v>367</v>
      </c>
      <c r="BA6" s="35" t="s">
        <v>368</v>
      </c>
      <c r="BB6" s="36" t="s">
        <v>45</v>
      </c>
    </row>
    <row r="7" ht="17.25" customHeight="1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F7" s="144">
        <v>0.7</v>
      </c>
      <c r="G7" s="144">
        <v>0.5</v>
      </c>
      <c r="I7" s="13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40"/>
    </row>
    <row r="8" ht="18.75" customHeight="1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F8" s="144">
        <v>0.6</v>
      </c>
      <c r="G8" s="144">
        <v>0.4</v>
      </c>
      <c r="I8" s="139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40"/>
    </row>
    <row r="9" ht="17.25" customHeight="1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F9" s="144">
        <v>0.2</v>
      </c>
      <c r="G9" s="144">
        <v>0.4</v>
      </c>
      <c r="H9" s="14" t="s">
        <v>378</v>
      </c>
      <c r="I9" s="13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40"/>
    </row>
    <row r="10" ht="17.25" customHeight="1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F10" s="144">
        <v>0.5</v>
      </c>
      <c r="G10" s="144">
        <v>0.6</v>
      </c>
      <c r="I10" s="145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40"/>
    </row>
    <row r="11" ht="17.25" customHeight="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  <c r="F11" s="144">
        <v>0.7</v>
      </c>
      <c r="G11" s="144">
        <v>0.1</v>
      </c>
      <c r="H11" s="14" t="s">
        <v>379</v>
      </c>
      <c r="I11" s="139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40"/>
    </row>
    <row r="12" ht="17.25" customHeight="1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F12" s="144">
        <v>0.1</v>
      </c>
      <c r="G12" s="144">
        <v>0.05</v>
      </c>
      <c r="I12" s="145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40"/>
    </row>
    <row r="13" ht="17.25" customHeight="1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F13" s="144">
        <v>0.2</v>
      </c>
      <c r="G13" s="144">
        <v>0.1</v>
      </c>
      <c r="H13" s="14" t="s">
        <v>380</v>
      </c>
      <c r="I13" s="145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40"/>
    </row>
    <row r="14" ht="17.25" customHeight="1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  <c r="F14" s="144">
        <v>0.8</v>
      </c>
      <c r="G14" s="144">
        <v>0.3</v>
      </c>
      <c r="H14" s="14" t="s">
        <v>381</v>
      </c>
      <c r="I14" s="139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40"/>
    </row>
    <row r="15" ht="17.25" customHeight="1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F15" s="144">
        <v>0.8</v>
      </c>
      <c r="G15" s="144">
        <v>0.3</v>
      </c>
      <c r="I15" s="145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40"/>
    </row>
    <row r="16" ht="17.25" customHeight="1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F16" s="144">
        <v>0.8</v>
      </c>
      <c r="G16" s="144">
        <v>0.1</v>
      </c>
      <c r="H16" s="121"/>
      <c r="I16" s="145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40"/>
    </row>
    <row r="17" ht="17.25" customHeight="1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  <c r="F17" s="144">
        <v>0.6</v>
      </c>
      <c r="G17" s="144">
        <v>0.1</v>
      </c>
      <c r="H17" s="14" t="s">
        <v>379</v>
      </c>
      <c r="I17" s="13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40"/>
    </row>
    <row r="18" ht="17.25" customHeight="1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F18" s="144">
        <v>0.7</v>
      </c>
      <c r="G18" s="144">
        <v>0.4</v>
      </c>
      <c r="I18" s="145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40"/>
    </row>
    <row r="19" ht="17.25" customHeight="1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F19" s="144">
        <v>0.8</v>
      </c>
      <c r="G19" s="144">
        <v>0.1</v>
      </c>
      <c r="H19" s="121"/>
      <c r="I19" s="145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40"/>
    </row>
    <row r="20" ht="17.25" customHeight="1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  <c r="F20" s="144">
        <v>0.7</v>
      </c>
      <c r="G20" s="144">
        <v>0.4</v>
      </c>
      <c r="H20" s="14" t="s">
        <v>379</v>
      </c>
      <c r="I20" s="13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40"/>
    </row>
    <row r="21" ht="17.25" customHeight="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F21" s="144">
        <v>0.7</v>
      </c>
      <c r="G21" s="144">
        <v>0.3</v>
      </c>
      <c r="H21" s="14" t="s">
        <v>382</v>
      </c>
      <c r="I21" s="145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40"/>
    </row>
    <row r="22" ht="17.25" customHeight="1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F22" s="144">
        <v>0.8</v>
      </c>
      <c r="G22" s="144">
        <v>0.3</v>
      </c>
      <c r="I22" s="145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40"/>
    </row>
    <row r="23" ht="17.25" customHeight="1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F23" s="144">
        <v>0.6</v>
      </c>
      <c r="G23" s="144">
        <v>0.4</v>
      </c>
      <c r="I23" s="145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40"/>
    </row>
    <row r="24" ht="17.25" customHeight="1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F24" s="144">
        <v>0.8</v>
      </c>
      <c r="G24" s="144">
        <v>0.3</v>
      </c>
      <c r="I24" s="145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40"/>
    </row>
    <row r="25" ht="17.25" customHeight="1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F25" s="144">
        <v>0.7</v>
      </c>
      <c r="G25" s="144">
        <v>0.3</v>
      </c>
      <c r="I25" s="145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40"/>
    </row>
    <row r="26" ht="17.25" customHeight="1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  <c r="F26" s="144">
        <v>0.7</v>
      </c>
      <c r="G26" s="144">
        <v>0.4</v>
      </c>
      <c r="H26" s="14" t="s">
        <v>379</v>
      </c>
      <c r="I26" s="13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40"/>
    </row>
    <row r="27" ht="17.25" customHeight="1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F27" s="144">
        <v>0.5</v>
      </c>
      <c r="G27" s="144">
        <v>0.3</v>
      </c>
      <c r="I27" s="145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40"/>
    </row>
    <row r="28" ht="17.25" customHeight="1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  <c r="F28" s="144">
        <v>0.7</v>
      </c>
      <c r="G28" s="144">
        <v>0.4</v>
      </c>
      <c r="H28" s="14" t="s">
        <v>379</v>
      </c>
      <c r="I28" s="13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40"/>
    </row>
    <row r="29" ht="17.25" customHeight="1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  <c r="F29" s="144">
        <v>0.05</v>
      </c>
      <c r="G29" s="144">
        <v>0.1</v>
      </c>
      <c r="H29" s="14" t="s">
        <v>379</v>
      </c>
      <c r="I29" s="13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40"/>
    </row>
    <row r="30" ht="17.25" customHeight="1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F30" s="144">
        <v>0.5</v>
      </c>
      <c r="G30" s="144">
        <v>0.3</v>
      </c>
      <c r="I30" s="145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40"/>
    </row>
    <row r="31" ht="17.25" customHeight="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F31" s="144"/>
      <c r="G31" s="144"/>
      <c r="I31" s="13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F32" s="144"/>
      <c r="G32" s="144"/>
      <c r="I32" s="13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F33" s="144"/>
      <c r="G33" s="144"/>
      <c r="I33" s="145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F34" s="144"/>
      <c r="G34" s="144"/>
      <c r="I34" s="145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F35" s="144"/>
      <c r="G35" s="144"/>
      <c r="I35" s="13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40"/>
    </row>
    <row r="36" ht="17.25" customHeight="1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F36" s="144">
        <v>0.5</v>
      </c>
      <c r="G36" s="144">
        <v>0.5</v>
      </c>
      <c r="I36" s="13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40"/>
    </row>
    <row r="37" ht="17.25" customHeight="1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F37" s="144">
        <v>0.6</v>
      </c>
      <c r="G37" s="144">
        <v>0.3</v>
      </c>
      <c r="I37" s="13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40"/>
    </row>
    <row r="38" ht="17.25" customHeight="1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F38" s="144">
        <v>0.3</v>
      </c>
      <c r="G38" s="144">
        <v>0.4</v>
      </c>
      <c r="I38" s="13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40"/>
    </row>
    <row r="39" ht="17.25" customHeight="1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F39" s="144">
        <v>0.7</v>
      </c>
      <c r="G39" s="144">
        <v>0.3</v>
      </c>
      <c r="H39" s="121"/>
      <c r="I39" s="13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40"/>
    </row>
    <row r="40" ht="17.25" customHeight="1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F40" s="144">
        <v>0.5</v>
      </c>
      <c r="G40" s="144">
        <v>0.4</v>
      </c>
      <c r="I40" s="13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40"/>
    </row>
    <row r="41" ht="17.25" customHeight="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F41" s="144">
        <v>0.5</v>
      </c>
      <c r="G41" s="144">
        <v>0.5</v>
      </c>
      <c r="H41" s="121" t="s">
        <v>383</v>
      </c>
      <c r="I41" s="13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40"/>
    </row>
    <row r="42" ht="17.25" customHeight="1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F42" s="144">
        <v>0.5</v>
      </c>
      <c r="G42" s="144">
        <v>0.6</v>
      </c>
      <c r="I42" s="145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  <c r="F43" s="146">
        <v>0.3</v>
      </c>
      <c r="G43" s="146">
        <v>0.2</v>
      </c>
      <c r="H43" s="147" t="s">
        <v>384</v>
      </c>
      <c r="I43" s="13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40"/>
    </row>
    <row r="44" ht="17.25" customHeight="1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F44" s="144">
        <v>0.4</v>
      </c>
      <c r="G44" s="144">
        <v>0.5</v>
      </c>
      <c r="I44" s="139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40"/>
    </row>
    <row r="45" ht="17.25" customHeight="1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  <c r="F45" s="146">
        <v>0.7</v>
      </c>
      <c r="G45" s="146">
        <v>0.4</v>
      </c>
      <c r="H45" s="128" t="s">
        <v>385</v>
      </c>
      <c r="I45" s="13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40"/>
    </row>
    <row r="46" ht="17.25" customHeight="1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F46" s="144">
        <v>0.2</v>
      </c>
      <c r="G46" s="144">
        <v>0.2</v>
      </c>
      <c r="H46" s="14" t="s">
        <v>386</v>
      </c>
      <c r="I46" s="139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40"/>
    </row>
    <row r="47" ht="17.25" customHeight="1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F47" s="144">
        <v>0.7</v>
      </c>
      <c r="G47" s="144">
        <v>0.4</v>
      </c>
      <c r="I47" s="145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F48" s="144">
        <v>0.8</v>
      </c>
      <c r="G48" s="144">
        <v>0.2</v>
      </c>
      <c r="I48" s="145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F49" s="144">
        <v>0.7</v>
      </c>
      <c r="G49" s="144">
        <v>0.2</v>
      </c>
      <c r="H49" s="14" t="s">
        <v>387</v>
      </c>
      <c r="I49" s="145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40"/>
    </row>
    <row r="50" ht="17.25" customHeight="1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F50" s="144">
        <v>0.7</v>
      </c>
      <c r="G50" s="144">
        <v>0.2</v>
      </c>
      <c r="I50" s="145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F51" s="144">
        <v>0.2</v>
      </c>
      <c r="G51" s="121" t="s">
        <v>388</v>
      </c>
      <c r="H51" s="121"/>
      <c r="I51" s="145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40"/>
    </row>
    <row r="52" ht="17.25" customHeight="1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F52" s="144">
        <v>0.05</v>
      </c>
      <c r="G52" s="121" t="s">
        <v>388</v>
      </c>
      <c r="H52" s="121"/>
      <c r="I52" s="145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40"/>
    </row>
    <row r="53" ht="15.75" customHeight="1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F53" s="144"/>
      <c r="G53" s="144"/>
      <c r="I53" s="145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F54" s="144">
        <v>0.5</v>
      </c>
      <c r="G54" s="144">
        <v>0.5</v>
      </c>
      <c r="I54" s="14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40"/>
    </row>
    <row r="55" ht="17.25" customHeight="1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F55" s="144">
        <v>0.7</v>
      </c>
      <c r="G55" s="144">
        <v>0.5</v>
      </c>
      <c r="I55" s="13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40"/>
    </row>
    <row r="56" ht="17.25" customHeight="1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F56" s="144">
        <v>0.8</v>
      </c>
      <c r="G56" s="144">
        <v>0.5</v>
      </c>
      <c r="I56" s="13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40"/>
    </row>
    <row r="57" ht="17.25" customHeight="1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F57" s="144">
        <v>0.6</v>
      </c>
      <c r="G57" s="144">
        <v>0.4</v>
      </c>
      <c r="I57" s="139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40"/>
    </row>
    <row r="58" ht="17.25" customHeight="1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F58" s="144">
        <v>0.9</v>
      </c>
      <c r="G58" s="144">
        <v>0.5</v>
      </c>
      <c r="I58" s="13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40"/>
    </row>
    <row r="59" ht="17.25" customHeight="1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F59" s="144">
        <v>0.2</v>
      </c>
      <c r="G59" s="144">
        <v>0.6</v>
      </c>
      <c r="I59" s="13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40"/>
    </row>
    <row r="60" ht="17.25" customHeight="1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F60" s="144">
        <v>0.6</v>
      </c>
      <c r="G60" s="144">
        <v>0.6</v>
      </c>
      <c r="I60" s="13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40"/>
    </row>
    <row r="61" ht="17.25" customHeight="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F61" s="144">
        <v>0.7</v>
      </c>
      <c r="G61" s="144">
        <v>0.5</v>
      </c>
      <c r="I61" s="13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40"/>
    </row>
    <row r="62" ht="17.25" customHeight="1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F62" s="144">
        <v>0.6</v>
      </c>
      <c r="G62" s="144">
        <v>0.6</v>
      </c>
      <c r="I62" s="13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40"/>
    </row>
    <row r="63" ht="17.25" customHeight="1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F63" s="144">
        <v>0.7</v>
      </c>
      <c r="G63" s="144">
        <v>0.5</v>
      </c>
      <c r="I63" s="13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40"/>
    </row>
    <row r="64" ht="17.25" customHeight="1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F64" s="144">
        <v>0.1</v>
      </c>
      <c r="G64" s="144">
        <v>0.1</v>
      </c>
      <c r="I64" s="13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40"/>
    </row>
    <row r="65" ht="17.25" customHeight="1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F65" s="144">
        <v>0.6</v>
      </c>
      <c r="G65" s="144">
        <v>0.5</v>
      </c>
      <c r="I65" s="13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40"/>
    </row>
    <row r="66" ht="17.25" customHeight="1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F66" s="144">
        <v>0.05</v>
      </c>
      <c r="G66" s="144">
        <v>0.05</v>
      </c>
      <c r="I66" s="139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40"/>
    </row>
    <row r="67" ht="17.25" customHeight="1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F67" s="144">
        <v>0.2</v>
      </c>
      <c r="G67" s="144">
        <v>0.6</v>
      </c>
      <c r="I67" s="13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40"/>
    </row>
    <row r="68" ht="17.25" customHeight="1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F68" s="144">
        <v>0.6</v>
      </c>
      <c r="G68" s="144">
        <v>0.4</v>
      </c>
      <c r="I68" s="13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40"/>
    </row>
    <row r="69" ht="17.25" customHeight="1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F69" s="144">
        <v>0.6</v>
      </c>
      <c r="G69" s="144">
        <v>0.5</v>
      </c>
      <c r="H69" s="121" t="s">
        <v>389</v>
      </c>
      <c r="I69" s="13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40"/>
    </row>
    <row r="70" ht="17.25" customHeight="1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F70" s="144">
        <v>0.6</v>
      </c>
      <c r="G70" s="144">
        <v>0.6</v>
      </c>
      <c r="H70" s="121" t="s">
        <v>390</v>
      </c>
      <c r="I70" s="13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40"/>
    </row>
    <row r="71" ht="17.25" customHeight="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F71" s="144">
        <v>0.2</v>
      </c>
      <c r="G71" s="144">
        <v>0.1</v>
      </c>
      <c r="H71" s="121" t="s">
        <v>391</v>
      </c>
      <c r="I71" s="13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40"/>
    </row>
    <row r="72" ht="17.25" customHeight="1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F72" s="144"/>
      <c r="G72" s="144"/>
      <c r="H72" s="121" t="s">
        <v>392</v>
      </c>
      <c r="I72" s="13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40"/>
    </row>
    <row r="73" ht="17.25" customHeight="1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F73" s="144">
        <v>0.4</v>
      </c>
      <c r="G73" s="144">
        <v>0.2</v>
      </c>
      <c r="I73" s="13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40"/>
    </row>
    <row r="74" ht="17.25" customHeight="1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F74" s="144"/>
      <c r="G74" s="144"/>
      <c r="H74" s="121" t="s">
        <v>393</v>
      </c>
      <c r="I74" s="13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40"/>
    </row>
    <row r="75" ht="15.75" customHeight="1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F75" s="144">
        <v>0.1</v>
      </c>
      <c r="G75" s="144">
        <v>0.5</v>
      </c>
      <c r="I75" s="139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40"/>
    </row>
    <row r="76" ht="15.75" customHeight="1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F76" s="144">
        <v>0.7</v>
      </c>
      <c r="G76" s="144">
        <v>0.4</v>
      </c>
      <c r="H76" s="121" t="s">
        <v>394</v>
      </c>
      <c r="I76" s="145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40"/>
    </row>
    <row r="77" ht="15.75" customHeight="1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F77" s="144">
        <v>0.7</v>
      </c>
      <c r="G77" s="144">
        <v>0.6</v>
      </c>
      <c r="I77" s="145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40"/>
    </row>
    <row r="78" ht="15.75" customHeight="1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F78" s="144">
        <v>0.5</v>
      </c>
      <c r="G78" s="144">
        <v>0.5</v>
      </c>
      <c r="H78" s="14" t="s">
        <v>395</v>
      </c>
      <c r="I78" s="145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40"/>
    </row>
    <row r="79" ht="15.75" customHeight="1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F79" s="144">
        <v>0.5</v>
      </c>
      <c r="G79" s="144">
        <v>0.5</v>
      </c>
      <c r="H79" s="14" t="s">
        <v>396</v>
      </c>
      <c r="I79" s="145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40"/>
    </row>
    <row r="80" ht="15.75" customHeight="1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F80" s="144">
        <v>0.4</v>
      </c>
      <c r="G80" s="144">
        <v>0.5</v>
      </c>
      <c r="H80" s="14" t="s">
        <v>397</v>
      </c>
      <c r="I80" s="145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40"/>
    </row>
    <row r="81" ht="15.75" customHeight="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F81" s="144"/>
      <c r="G81" s="144"/>
      <c r="H81" s="121"/>
      <c r="I81" s="145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40"/>
    </row>
    <row r="82" ht="15.75" customHeight="1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F82" s="144">
        <v>0.05</v>
      </c>
      <c r="G82" s="144">
        <v>0.05</v>
      </c>
      <c r="H82" s="121" t="s">
        <v>398</v>
      </c>
      <c r="I82" s="139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40"/>
    </row>
    <row r="83" ht="15.75" customHeight="1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F83" s="144">
        <v>0.4</v>
      </c>
      <c r="G83" s="144">
        <v>0.5</v>
      </c>
      <c r="I83" s="145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40"/>
    </row>
    <row r="84" ht="15.75" customHeight="1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F84" s="144">
        <v>0.7</v>
      </c>
      <c r="G84" s="144">
        <v>0.6</v>
      </c>
      <c r="I84" s="145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40"/>
    </row>
    <row r="85" ht="17.25" customHeight="1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F85" s="144">
        <v>0.4</v>
      </c>
      <c r="G85" s="144">
        <v>0.4</v>
      </c>
      <c r="I85" s="145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40"/>
    </row>
    <row r="86" ht="17.25" customHeight="1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F86" s="144">
        <v>0.5</v>
      </c>
      <c r="G86" s="144">
        <v>0.4</v>
      </c>
      <c r="H86" s="14" t="s">
        <v>399</v>
      </c>
      <c r="I86" s="145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40"/>
    </row>
    <row r="87" ht="17.25" customHeight="1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F87" s="144">
        <v>0.5</v>
      </c>
      <c r="G87" s="144">
        <v>0.4</v>
      </c>
      <c r="H87" s="121" t="s">
        <v>400</v>
      </c>
      <c r="I87" s="145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40"/>
    </row>
    <row r="88" ht="17.25" customHeight="1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F88" s="144">
        <v>0.6</v>
      </c>
      <c r="G88" s="144">
        <v>0.5</v>
      </c>
      <c r="I88" s="145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40"/>
    </row>
    <row r="89" ht="17.25" customHeight="1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F89" s="144">
        <v>0.7</v>
      </c>
      <c r="G89" s="144">
        <v>0.7</v>
      </c>
      <c r="I89" s="145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40"/>
    </row>
    <row r="90" ht="17.25" customHeight="1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F90" s="144">
        <v>0.7</v>
      </c>
      <c r="G90" s="144">
        <v>0.5</v>
      </c>
      <c r="I90" s="145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F91" s="144"/>
      <c r="G91" s="144"/>
      <c r="I91" s="145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F92" s="144"/>
      <c r="G92" s="144"/>
      <c r="I92" s="145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F93" s="144"/>
      <c r="G93" s="144"/>
      <c r="I93" s="145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F94" s="144"/>
      <c r="G94" s="144"/>
      <c r="I94" s="145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29"/>
      <c r="B95" s="124" t="s">
        <v>58</v>
      </c>
      <c r="C95" s="129" t="s">
        <v>87</v>
      </c>
      <c r="D95" s="130" t="s">
        <v>61</v>
      </c>
      <c r="E95" s="130"/>
      <c r="F95" s="144">
        <v>0.3</v>
      </c>
      <c r="G95" s="144">
        <v>0.4</v>
      </c>
      <c r="I95" s="13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40"/>
    </row>
    <row r="96" ht="15.75" customHeight="1">
      <c r="A96" s="129"/>
      <c r="B96" s="124" t="s">
        <v>58</v>
      </c>
      <c r="C96" s="129" t="s">
        <v>87</v>
      </c>
      <c r="D96" s="130" t="s">
        <v>61</v>
      </c>
      <c r="E96" s="130"/>
      <c r="F96" s="144">
        <v>0.2</v>
      </c>
      <c r="G96" s="144">
        <v>0.25</v>
      </c>
      <c r="I96" s="13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40"/>
    </row>
    <row r="97" ht="15.75" customHeight="1">
      <c r="A97" s="129"/>
      <c r="B97" s="124" t="s">
        <v>58</v>
      </c>
      <c r="C97" s="129" t="s">
        <v>87</v>
      </c>
      <c r="D97" s="130" t="s">
        <v>61</v>
      </c>
      <c r="E97" s="130"/>
      <c r="F97" s="144">
        <v>0.3</v>
      </c>
      <c r="G97" s="144">
        <v>0.25</v>
      </c>
      <c r="I97" s="13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40"/>
    </row>
    <row r="98" ht="15.75" customHeight="1">
      <c r="A98" s="129"/>
      <c r="B98" s="124" t="s">
        <v>58</v>
      </c>
      <c r="C98" s="129" t="s">
        <v>87</v>
      </c>
      <c r="D98" s="130" t="s">
        <v>61</v>
      </c>
      <c r="E98" s="130"/>
      <c r="F98" s="144">
        <v>0.75</v>
      </c>
      <c r="G98" s="144">
        <v>0.6</v>
      </c>
      <c r="I98" s="13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40"/>
    </row>
    <row r="99" ht="15.75" customHeight="1">
      <c r="A99" s="129"/>
      <c r="B99" s="124" t="s">
        <v>58</v>
      </c>
      <c r="C99" s="129" t="s">
        <v>87</v>
      </c>
      <c r="D99" s="130" t="s">
        <v>61</v>
      </c>
      <c r="E99" s="130"/>
      <c r="F99" s="144">
        <v>0.7</v>
      </c>
      <c r="G99" s="144">
        <v>0.5</v>
      </c>
      <c r="I99" s="13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40"/>
    </row>
    <row r="100" ht="15.75" customHeight="1">
      <c r="A100" s="129"/>
      <c r="B100" s="124" t="s">
        <v>58</v>
      </c>
      <c r="C100" s="129" t="s">
        <v>88</v>
      </c>
      <c r="D100" s="130" t="s">
        <v>61</v>
      </c>
      <c r="E100" s="130"/>
      <c r="F100" s="144">
        <v>0.5</v>
      </c>
      <c r="G100" s="144">
        <v>0.2</v>
      </c>
      <c r="I100" s="13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40"/>
    </row>
    <row r="101" ht="15.75" customHeight="1">
      <c r="A101" s="129"/>
      <c r="B101" s="124" t="s">
        <v>58</v>
      </c>
      <c r="C101" s="129" t="s">
        <v>88</v>
      </c>
      <c r="D101" s="130" t="s">
        <v>61</v>
      </c>
      <c r="E101" s="130"/>
      <c r="F101" s="144">
        <v>0.2</v>
      </c>
      <c r="G101" s="144">
        <v>0.2</v>
      </c>
      <c r="I101" s="13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40"/>
    </row>
    <row r="102" ht="15.75" customHeight="1">
      <c r="A102" s="129"/>
      <c r="B102" s="124" t="s">
        <v>58</v>
      </c>
      <c r="C102" s="129" t="s">
        <v>88</v>
      </c>
      <c r="D102" s="130" t="s">
        <v>61</v>
      </c>
      <c r="E102" s="130"/>
      <c r="F102" s="144">
        <v>0.3</v>
      </c>
      <c r="G102" s="144">
        <v>0.35</v>
      </c>
      <c r="I102" s="13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40"/>
    </row>
    <row r="103" ht="15.75" customHeight="1">
      <c r="A103" s="129"/>
      <c r="B103" s="124" t="s">
        <v>58</v>
      </c>
      <c r="C103" s="129" t="s">
        <v>88</v>
      </c>
      <c r="D103" s="130" t="s">
        <v>61</v>
      </c>
      <c r="E103" s="130"/>
      <c r="F103" s="144">
        <v>0.15</v>
      </c>
      <c r="G103" s="144">
        <v>0.25</v>
      </c>
      <c r="I103" s="13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40"/>
    </row>
    <row r="104" ht="15.75" customHeight="1">
      <c r="A104" s="129"/>
      <c r="B104" s="124" t="s">
        <v>58</v>
      </c>
      <c r="C104" s="129" t="s">
        <v>88</v>
      </c>
      <c r="D104" s="130" t="s">
        <v>61</v>
      </c>
      <c r="E104" s="130"/>
      <c r="F104" s="144">
        <v>0.1</v>
      </c>
      <c r="G104" s="144">
        <v>0.4</v>
      </c>
      <c r="I104" s="13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40"/>
    </row>
    <row r="105" ht="15.75" customHeight="1">
      <c r="A105" s="121"/>
      <c r="B105" s="124" t="s">
        <v>58</v>
      </c>
      <c r="C105" s="121" t="s">
        <v>89</v>
      </c>
      <c r="D105" s="121" t="s">
        <v>56</v>
      </c>
      <c r="E105" s="121"/>
      <c r="F105" s="144">
        <v>0.05</v>
      </c>
      <c r="G105" s="144">
        <v>0.05</v>
      </c>
      <c r="I105" s="13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40"/>
    </row>
    <row r="106" ht="15.75" customHeight="1">
      <c r="A106" s="121"/>
      <c r="B106" s="124" t="s">
        <v>58</v>
      </c>
      <c r="C106" s="121" t="s">
        <v>89</v>
      </c>
      <c r="D106" s="121" t="s">
        <v>56</v>
      </c>
      <c r="E106" s="121"/>
      <c r="F106" s="144">
        <v>0.2</v>
      </c>
      <c r="G106" s="144">
        <v>0.05</v>
      </c>
      <c r="H106" s="121" t="s">
        <v>401</v>
      </c>
      <c r="I106" s="13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40"/>
    </row>
    <row r="107" ht="15.75" customHeight="1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F107" s="144"/>
      <c r="G107" s="144"/>
      <c r="H107" s="82" t="s">
        <v>402</v>
      </c>
      <c r="I107" s="145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  <c r="F108" s="144"/>
      <c r="G108" s="144"/>
      <c r="H108" s="82" t="s">
        <v>403</v>
      </c>
      <c r="I108" s="13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40"/>
    </row>
    <row r="109" ht="15.75" customHeight="1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  <c r="F109" s="144"/>
      <c r="G109" s="144"/>
      <c r="H109" s="82" t="s">
        <v>404</v>
      </c>
      <c r="I109" s="13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40"/>
    </row>
    <row r="110" ht="15.75" customHeight="1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F110" s="144"/>
      <c r="G110" s="144"/>
      <c r="H110" s="82" t="s">
        <v>405</v>
      </c>
      <c r="I110" s="145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31" t="s">
        <v>89</v>
      </c>
      <c r="B111" s="124" t="s">
        <v>91</v>
      </c>
      <c r="C111" s="66" t="s">
        <v>406</v>
      </c>
      <c r="D111" s="132" t="s">
        <v>61</v>
      </c>
      <c r="E111" s="135">
        <v>2383.0</v>
      </c>
      <c r="F111" s="130"/>
      <c r="G111" s="144"/>
      <c r="H111" s="144"/>
      <c r="I111" s="145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40"/>
    </row>
    <row r="112" ht="15.75" customHeight="1">
      <c r="A112" s="131" t="s">
        <v>89</v>
      </c>
      <c r="B112" s="124" t="s">
        <v>91</v>
      </c>
      <c r="C112" s="66" t="s">
        <v>407</v>
      </c>
      <c r="D112" s="132" t="s">
        <v>61</v>
      </c>
      <c r="E112" s="66">
        <v>2384.0</v>
      </c>
      <c r="F112" s="130"/>
      <c r="G112" s="144"/>
      <c r="H112" s="144"/>
      <c r="I112" s="13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40"/>
    </row>
    <row r="113" ht="15.75" customHeight="1">
      <c r="D113" s="130"/>
      <c r="F113" s="130"/>
      <c r="I113" s="13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0"/>
    </row>
    <row r="114" ht="15.75" customHeight="1">
      <c r="D114" s="130"/>
      <c r="F114" s="130"/>
      <c r="I114" s="13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0"/>
    </row>
    <row r="115" ht="15.75" customHeight="1">
      <c r="D115" s="130"/>
      <c r="F115" s="130"/>
      <c r="I115" s="13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0"/>
    </row>
    <row r="116" ht="15.75" customHeight="1">
      <c r="D116" s="130"/>
      <c r="F116" s="130"/>
      <c r="I116" s="13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0"/>
    </row>
    <row r="117" ht="15.75" customHeight="1">
      <c r="D117" s="130"/>
      <c r="F117" s="130"/>
      <c r="I117" s="13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0"/>
    </row>
    <row r="118" ht="15.75" customHeight="1">
      <c r="D118" s="130"/>
      <c r="F118" s="130"/>
      <c r="I118" s="13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0"/>
    </row>
    <row r="119" ht="15.75" customHeight="1">
      <c r="D119" s="130"/>
      <c r="F119" s="130"/>
      <c r="I119" s="13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0"/>
    </row>
    <row r="120" ht="15.75" customHeight="1">
      <c r="D120" s="130"/>
      <c r="F120" s="130"/>
      <c r="I120" s="13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0"/>
    </row>
    <row r="121" ht="15.75" customHeight="1">
      <c r="D121" s="130"/>
      <c r="F121" s="130"/>
      <c r="I121" s="13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0"/>
    </row>
    <row r="122" ht="15.75" customHeight="1">
      <c r="D122" s="130"/>
      <c r="F122" s="130"/>
      <c r="I122" s="13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0"/>
    </row>
    <row r="123" ht="15.75" customHeight="1">
      <c r="D123" s="130"/>
      <c r="F123" s="130"/>
      <c r="I123" s="13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0"/>
    </row>
    <row r="124" ht="15.75" customHeight="1">
      <c r="D124" s="130"/>
      <c r="F124" s="130"/>
      <c r="I124" s="13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0"/>
    </row>
    <row r="125" ht="15.75" customHeight="1">
      <c r="D125" s="130"/>
      <c r="F125" s="130"/>
      <c r="I125" s="13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0"/>
    </row>
    <row r="126" ht="15.75" customHeight="1">
      <c r="D126" s="130"/>
      <c r="F126" s="130"/>
      <c r="I126" s="13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0"/>
    </row>
    <row r="127" ht="15.75" customHeight="1">
      <c r="D127" s="130"/>
      <c r="F127" s="130"/>
      <c r="I127" s="13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0"/>
    </row>
    <row r="128" ht="15.75" customHeight="1">
      <c r="D128" s="130"/>
      <c r="F128" s="130"/>
      <c r="I128" s="13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0"/>
    </row>
    <row r="129" ht="15.75" customHeight="1">
      <c r="D129" s="130"/>
      <c r="F129" s="130"/>
      <c r="I129" s="13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0"/>
    </row>
    <row r="130" ht="15.75" customHeight="1">
      <c r="D130" s="130"/>
      <c r="F130" s="130"/>
      <c r="I130" s="13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0"/>
    </row>
    <row r="131" ht="15.75" customHeight="1">
      <c r="D131" s="130"/>
      <c r="F131" s="130"/>
      <c r="I131" s="13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0"/>
    </row>
    <row r="132" ht="15.75" customHeight="1">
      <c r="D132" s="130"/>
      <c r="F132" s="130"/>
      <c r="I132" s="13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0"/>
    </row>
    <row r="133" ht="15.75" customHeight="1">
      <c r="D133" s="130"/>
      <c r="F133" s="130"/>
      <c r="I133" s="13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0"/>
    </row>
    <row r="134" ht="15.75" customHeight="1">
      <c r="D134" s="130"/>
      <c r="F134" s="130"/>
      <c r="I134" s="13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0"/>
    </row>
    <row r="135" ht="15.75" customHeight="1">
      <c r="D135" s="130"/>
      <c r="F135" s="130"/>
      <c r="I135" s="13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0"/>
    </row>
    <row r="136" ht="15.75" customHeight="1">
      <c r="D136" s="130"/>
      <c r="F136" s="130"/>
      <c r="I136" s="13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0"/>
    </row>
    <row r="137" ht="15.75" customHeight="1">
      <c r="D137" s="130"/>
      <c r="F137" s="130"/>
      <c r="I137" s="13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0"/>
    </row>
    <row r="138" ht="15.75" customHeight="1">
      <c r="D138" s="130"/>
      <c r="F138" s="130"/>
      <c r="I138" s="13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0"/>
    </row>
    <row r="139" ht="15.75" customHeight="1">
      <c r="D139" s="130"/>
      <c r="F139" s="130"/>
      <c r="I139" s="13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0"/>
    </row>
    <row r="140" ht="15.75" customHeight="1">
      <c r="D140" s="130"/>
      <c r="F140" s="130"/>
      <c r="I140" s="13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0"/>
    </row>
    <row r="141" ht="15.75" customHeight="1">
      <c r="D141" s="130"/>
      <c r="F141" s="130"/>
      <c r="I141" s="13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0"/>
    </row>
    <row r="142" ht="15.75" customHeight="1">
      <c r="D142" s="130"/>
      <c r="F142" s="130"/>
      <c r="I142" s="13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0"/>
    </row>
    <row r="143" ht="15.75" customHeight="1">
      <c r="D143" s="130"/>
      <c r="F143" s="130"/>
      <c r="I143" s="13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0"/>
    </row>
    <row r="144" ht="15.75" customHeight="1">
      <c r="D144" s="130"/>
      <c r="F144" s="130"/>
      <c r="I144" s="13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0"/>
    </row>
    <row r="145" ht="15.75" customHeight="1">
      <c r="D145" s="130"/>
      <c r="F145" s="130"/>
      <c r="I145" s="13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0"/>
    </row>
    <row r="146" ht="15.75" customHeight="1">
      <c r="D146" s="130"/>
      <c r="F146" s="130"/>
      <c r="I146" s="13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0"/>
    </row>
    <row r="147" ht="15.75" customHeight="1">
      <c r="D147" s="130"/>
      <c r="F147" s="130"/>
      <c r="I147" s="13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0"/>
    </row>
    <row r="148" ht="15.75" customHeight="1">
      <c r="D148" s="130"/>
      <c r="F148" s="130"/>
      <c r="I148" s="13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0"/>
    </row>
    <row r="149" ht="15.75" customHeight="1">
      <c r="D149" s="130"/>
      <c r="F149" s="130"/>
      <c r="I149" s="13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0"/>
    </row>
    <row r="150" ht="15.75" customHeight="1">
      <c r="D150" s="130"/>
      <c r="F150" s="130"/>
      <c r="I150" s="13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0"/>
    </row>
    <row r="151" ht="15.75" customHeight="1">
      <c r="D151" s="130"/>
      <c r="F151" s="130"/>
      <c r="I151" s="13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0"/>
    </row>
    <row r="152" ht="15.75" customHeight="1">
      <c r="D152" s="130"/>
      <c r="F152" s="130"/>
      <c r="I152" s="13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0"/>
    </row>
    <row r="153" ht="15.75" customHeight="1">
      <c r="D153" s="130"/>
      <c r="F153" s="130"/>
      <c r="I153" s="13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0"/>
    </row>
    <row r="154" ht="15.75" customHeight="1">
      <c r="D154" s="130"/>
      <c r="F154" s="130"/>
      <c r="I154" s="13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0"/>
    </row>
    <row r="155" ht="15.75" customHeight="1">
      <c r="D155" s="130"/>
      <c r="F155" s="130"/>
      <c r="I155" s="13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0"/>
    </row>
    <row r="156" ht="15.75" customHeight="1">
      <c r="D156" s="130"/>
      <c r="F156" s="130"/>
      <c r="I156" s="13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0"/>
    </row>
    <row r="157" ht="15.75" customHeight="1">
      <c r="D157" s="130"/>
      <c r="F157" s="130"/>
      <c r="I157" s="13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0"/>
    </row>
    <row r="158" ht="15.75" customHeight="1">
      <c r="D158" s="130"/>
      <c r="F158" s="130"/>
      <c r="I158" s="13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0"/>
    </row>
    <row r="159" ht="15.75" customHeight="1">
      <c r="D159" s="130"/>
      <c r="F159" s="130"/>
      <c r="I159" s="13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0"/>
    </row>
    <row r="160" ht="15.75" customHeight="1">
      <c r="D160" s="130"/>
      <c r="F160" s="130"/>
      <c r="I160" s="13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0"/>
    </row>
    <row r="161" ht="15.75" customHeight="1">
      <c r="D161" s="130"/>
      <c r="F161" s="130"/>
      <c r="I161" s="13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0"/>
    </row>
    <row r="162" ht="15.75" customHeight="1">
      <c r="D162" s="130"/>
      <c r="F162" s="130"/>
      <c r="I162" s="13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0"/>
    </row>
    <row r="163" ht="15.75" customHeight="1">
      <c r="D163" s="130"/>
      <c r="F163" s="130"/>
      <c r="I163" s="13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0"/>
    </row>
    <row r="164" ht="15.75" customHeight="1">
      <c r="D164" s="130"/>
      <c r="F164" s="130"/>
      <c r="I164" s="13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0"/>
    </row>
    <row r="165" ht="15.75" customHeight="1">
      <c r="D165" s="130"/>
      <c r="F165" s="130"/>
      <c r="I165" s="13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0"/>
    </row>
    <row r="166" ht="15.75" customHeight="1">
      <c r="D166" s="130"/>
      <c r="F166" s="130"/>
      <c r="I166" s="13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0"/>
    </row>
    <row r="167" ht="15.75" customHeight="1">
      <c r="D167" s="130"/>
      <c r="F167" s="130"/>
      <c r="I167" s="13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0"/>
    </row>
    <row r="168" ht="15.75" customHeight="1">
      <c r="D168" s="130"/>
      <c r="F168" s="130"/>
      <c r="I168" s="13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0"/>
    </row>
    <row r="169" ht="15.75" customHeight="1">
      <c r="D169" s="130"/>
      <c r="F169" s="130"/>
      <c r="I169" s="13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0"/>
    </row>
    <row r="170" ht="15.75" customHeight="1">
      <c r="D170" s="130"/>
      <c r="F170" s="130"/>
      <c r="I170" s="13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0"/>
    </row>
    <row r="171" ht="15.75" customHeight="1">
      <c r="D171" s="130"/>
      <c r="F171" s="130"/>
      <c r="I171" s="13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0"/>
    </row>
    <row r="172" ht="15.75" customHeight="1">
      <c r="D172" s="130"/>
      <c r="F172" s="130"/>
      <c r="I172" s="13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0"/>
    </row>
    <row r="173" ht="15.75" customHeight="1">
      <c r="D173" s="130"/>
      <c r="F173" s="130"/>
      <c r="I173" s="13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0"/>
    </row>
    <row r="174" ht="15.75" customHeight="1">
      <c r="D174" s="130"/>
      <c r="F174" s="130"/>
      <c r="I174" s="13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0"/>
    </row>
    <row r="175" ht="15.75" customHeight="1">
      <c r="D175" s="130"/>
      <c r="F175" s="130"/>
      <c r="I175" s="13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0"/>
    </row>
    <row r="176" ht="15.75" customHeight="1">
      <c r="D176" s="130"/>
      <c r="F176" s="130"/>
      <c r="I176" s="13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0"/>
    </row>
    <row r="177" ht="15.75" customHeight="1">
      <c r="D177" s="130"/>
      <c r="F177" s="130"/>
      <c r="I177" s="13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0"/>
    </row>
    <row r="178" ht="15.75" customHeight="1">
      <c r="D178" s="130"/>
      <c r="F178" s="130"/>
      <c r="I178" s="13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0"/>
    </row>
    <row r="179" ht="15.75" customHeight="1">
      <c r="D179" s="130"/>
      <c r="F179" s="130"/>
      <c r="I179" s="13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0"/>
    </row>
    <row r="180" ht="15.75" customHeight="1">
      <c r="D180" s="130"/>
      <c r="F180" s="130"/>
      <c r="I180" s="13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0"/>
    </row>
    <row r="181" ht="15.75" customHeight="1">
      <c r="D181" s="130"/>
      <c r="F181" s="130"/>
      <c r="I181" s="13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0"/>
    </row>
    <row r="182" ht="15.75" customHeight="1">
      <c r="D182" s="130"/>
      <c r="F182" s="130"/>
      <c r="I182" s="13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0"/>
    </row>
    <row r="183" ht="15.75" customHeight="1">
      <c r="D183" s="130"/>
      <c r="F183" s="130"/>
      <c r="I183" s="13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0"/>
    </row>
    <row r="184" ht="15.75" customHeight="1">
      <c r="D184" s="130"/>
      <c r="F184" s="130"/>
      <c r="I184" s="13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0"/>
    </row>
    <row r="185" ht="15.75" customHeight="1">
      <c r="D185" s="130"/>
      <c r="F185" s="130"/>
      <c r="I185" s="13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0"/>
    </row>
    <row r="186" ht="15.75" customHeight="1">
      <c r="D186" s="130"/>
      <c r="F186" s="130"/>
      <c r="I186" s="13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0"/>
    </row>
    <row r="187" ht="15.75" customHeight="1">
      <c r="D187" s="130"/>
      <c r="F187" s="130"/>
      <c r="I187" s="13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0"/>
    </row>
    <row r="188" ht="15.75" customHeight="1">
      <c r="D188" s="130"/>
      <c r="F188" s="130"/>
      <c r="I188" s="13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0"/>
    </row>
    <row r="189" ht="15.75" customHeight="1">
      <c r="D189" s="130"/>
      <c r="F189" s="130"/>
      <c r="I189" s="13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0"/>
    </row>
    <row r="190" ht="15.75" customHeight="1">
      <c r="D190" s="130"/>
      <c r="F190" s="130"/>
      <c r="I190" s="13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0"/>
    </row>
    <row r="191" ht="15.75" customHeight="1">
      <c r="D191" s="130"/>
      <c r="F191" s="130"/>
      <c r="I191" s="13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0"/>
    </row>
    <row r="192" ht="15.75" customHeight="1">
      <c r="D192" s="130"/>
      <c r="F192" s="130"/>
      <c r="I192" s="13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0"/>
    </row>
    <row r="193" ht="15.75" customHeight="1">
      <c r="D193" s="130"/>
      <c r="F193" s="130"/>
      <c r="I193" s="13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0"/>
    </row>
    <row r="194" ht="15.75" customHeight="1">
      <c r="D194" s="130"/>
      <c r="F194" s="130"/>
      <c r="I194" s="13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0"/>
    </row>
    <row r="195" ht="15.75" customHeight="1">
      <c r="D195" s="130"/>
      <c r="F195" s="130"/>
      <c r="I195" s="13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0"/>
    </row>
    <row r="196" ht="15.75" customHeight="1">
      <c r="D196" s="130"/>
      <c r="F196" s="130"/>
      <c r="I196" s="13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0"/>
    </row>
    <row r="197" ht="15.75" customHeight="1">
      <c r="D197" s="130"/>
      <c r="F197" s="130"/>
      <c r="I197" s="13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0"/>
    </row>
    <row r="198" ht="15.75" customHeight="1">
      <c r="D198" s="130"/>
      <c r="F198" s="130"/>
      <c r="I198" s="13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0"/>
    </row>
    <row r="199" ht="15.75" customHeight="1">
      <c r="D199" s="130"/>
      <c r="F199" s="130"/>
      <c r="I199" s="13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0"/>
    </row>
    <row r="200" ht="15.75" customHeight="1">
      <c r="D200" s="130"/>
      <c r="F200" s="130"/>
      <c r="I200" s="13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0"/>
    </row>
    <row r="201" ht="15.75" customHeight="1">
      <c r="D201" s="130"/>
      <c r="F201" s="130"/>
      <c r="I201" s="13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0"/>
    </row>
    <row r="202" ht="15.75" customHeight="1">
      <c r="D202" s="130"/>
      <c r="F202" s="130"/>
      <c r="I202" s="13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0"/>
    </row>
    <row r="203" ht="15.75" customHeight="1">
      <c r="D203" s="130"/>
      <c r="F203" s="130"/>
      <c r="I203" s="13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0"/>
    </row>
    <row r="204" ht="15.75" customHeight="1">
      <c r="D204" s="130"/>
      <c r="F204" s="130"/>
      <c r="I204" s="13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0"/>
    </row>
    <row r="205" ht="15.75" customHeight="1">
      <c r="D205" s="130"/>
      <c r="F205" s="130"/>
      <c r="I205" s="13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0"/>
    </row>
    <row r="206" ht="15.75" customHeight="1">
      <c r="D206" s="130"/>
      <c r="F206" s="130"/>
      <c r="I206" s="13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0"/>
    </row>
    <row r="207" ht="15.75" customHeight="1">
      <c r="D207" s="130"/>
      <c r="F207" s="130"/>
      <c r="I207" s="13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0"/>
    </row>
    <row r="208" ht="15.75" customHeight="1">
      <c r="D208" s="130"/>
      <c r="F208" s="130"/>
      <c r="I208" s="13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0"/>
    </row>
    <row r="209" ht="15.75" customHeight="1">
      <c r="D209" s="130"/>
      <c r="F209" s="130"/>
      <c r="I209" s="13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0"/>
    </row>
    <row r="210" ht="15.75" customHeight="1">
      <c r="D210" s="130"/>
      <c r="F210" s="130"/>
      <c r="I210" s="13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0"/>
    </row>
    <row r="211" ht="15.75" customHeight="1">
      <c r="D211" s="130"/>
      <c r="F211" s="130"/>
      <c r="I211" s="13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0"/>
    </row>
    <row r="212" ht="15.75" customHeight="1">
      <c r="D212" s="130"/>
      <c r="F212" s="130"/>
      <c r="I212" s="13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0"/>
    </row>
    <row r="213" ht="15.75" customHeight="1">
      <c r="D213" s="130"/>
      <c r="F213" s="130"/>
      <c r="I213" s="13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0"/>
    </row>
    <row r="214" ht="15.75" customHeight="1">
      <c r="D214" s="130"/>
      <c r="F214" s="130"/>
      <c r="I214" s="13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0"/>
    </row>
    <row r="215" ht="15.75" customHeight="1">
      <c r="D215" s="130"/>
      <c r="F215" s="130"/>
      <c r="I215" s="13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0"/>
    </row>
    <row r="216" ht="15.75" customHeight="1">
      <c r="D216" s="130"/>
      <c r="F216" s="130"/>
      <c r="I216" s="13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0"/>
    </row>
    <row r="217" ht="15.75" customHeight="1">
      <c r="D217" s="130"/>
      <c r="F217" s="130"/>
      <c r="I217" s="13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0"/>
    </row>
    <row r="218" ht="15.75" customHeight="1">
      <c r="D218" s="130"/>
      <c r="F218" s="130"/>
      <c r="I218" s="13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0"/>
    </row>
    <row r="219" ht="15.75" customHeight="1">
      <c r="D219" s="130"/>
      <c r="F219" s="130"/>
      <c r="I219" s="13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0"/>
    </row>
    <row r="220" ht="15.75" customHeight="1">
      <c r="D220" s="130"/>
      <c r="F220" s="130"/>
      <c r="I220" s="13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0"/>
    </row>
    <row r="221" ht="15.75" customHeight="1">
      <c r="D221" s="130"/>
      <c r="F221" s="130"/>
      <c r="I221" s="13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0"/>
    </row>
    <row r="222" ht="15.75" customHeight="1">
      <c r="D222" s="130"/>
      <c r="F222" s="130"/>
      <c r="I222" s="13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0"/>
    </row>
    <row r="223" ht="15.75" customHeight="1">
      <c r="D223" s="130"/>
      <c r="F223" s="130"/>
      <c r="I223" s="13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0"/>
    </row>
    <row r="224" ht="15.75" customHeight="1">
      <c r="D224" s="130"/>
      <c r="F224" s="130"/>
      <c r="I224" s="13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0"/>
    </row>
    <row r="225" ht="15.75" customHeight="1">
      <c r="D225" s="130"/>
      <c r="F225" s="130"/>
      <c r="I225" s="13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0"/>
    </row>
    <row r="226" ht="15.75" customHeight="1">
      <c r="D226" s="130"/>
      <c r="F226" s="130"/>
      <c r="I226" s="13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0"/>
    </row>
    <row r="227" ht="15.75" customHeight="1">
      <c r="D227" s="130"/>
      <c r="F227" s="130"/>
      <c r="I227" s="13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0"/>
    </row>
    <row r="228" ht="15.75" customHeight="1">
      <c r="D228" s="130"/>
      <c r="F228" s="130"/>
      <c r="I228" s="13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0"/>
    </row>
    <row r="229" ht="15.75" customHeight="1">
      <c r="D229" s="130"/>
      <c r="F229" s="130"/>
      <c r="I229" s="13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0"/>
    </row>
    <row r="230" ht="15.75" customHeight="1">
      <c r="D230" s="130"/>
      <c r="F230" s="130"/>
      <c r="I230" s="13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0"/>
    </row>
    <row r="231" ht="15.75" customHeight="1">
      <c r="D231" s="130"/>
      <c r="F231" s="130"/>
      <c r="I231" s="13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0"/>
    </row>
    <row r="232" ht="15.75" customHeight="1">
      <c r="D232" s="130"/>
      <c r="F232" s="130"/>
      <c r="I232" s="13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0"/>
    </row>
    <row r="233" ht="15.75" customHeight="1">
      <c r="D233" s="130"/>
      <c r="F233" s="130"/>
      <c r="I233" s="13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0"/>
    </row>
    <row r="234" ht="15.75" customHeight="1">
      <c r="D234" s="130"/>
      <c r="F234" s="130"/>
      <c r="I234" s="13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0"/>
    </row>
    <row r="235" ht="15.75" customHeight="1">
      <c r="D235" s="130"/>
      <c r="F235" s="130"/>
      <c r="I235" s="13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0"/>
    </row>
    <row r="236" ht="15.75" customHeight="1">
      <c r="D236" s="130"/>
      <c r="F236" s="130"/>
      <c r="I236" s="13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0"/>
    </row>
    <row r="237" ht="15.75" customHeight="1">
      <c r="D237" s="130"/>
      <c r="F237" s="130"/>
      <c r="I237" s="13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0"/>
    </row>
    <row r="238" ht="15.75" customHeight="1">
      <c r="D238" s="130"/>
      <c r="F238" s="130"/>
      <c r="I238" s="13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0"/>
    </row>
    <row r="239" ht="15.75" customHeight="1">
      <c r="D239" s="130"/>
      <c r="F239" s="130"/>
      <c r="I239" s="13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0"/>
    </row>
    <row r="240" ht="15.75" customHeight="1">
      <c r="D240" s="130"/>
      <c r="F240" s="130"/>
      <c r="I240" s="13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0"/>
    </row>
    <row r="241" ht="15.75" customHeight="1">
      <c r="D241" s="130"/>
      <c r="F241" s="130"/>
      <c r="I241" s="13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0"/>
    </row>
    <row r="242" ht="15.75" customHeight="1">
      <c r="D242" s="130"/>
      <c r="F242" s="130"/>
      <c r="I242" s="13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0"/>
    </row>
    <row r="243" ht="15.75" customHeight="1">
      <c r="D243" s="130"/>
      <c r="F243" s="130"/>
      <c r="I243" s="13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0"/>
    </row>
    <row r="244" ht="15.75" customHeight="1">
      <c r="D244" s="130"/>
      <c r="F244" s="130"/>
      <c r="I244" s="13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0"/>
    </row>
    <row r="245" ht="15.75" customHeight="1">
      <c r="D245" s="130"/>
      <c r="F245" s="130"/>
      <c r="I245" s="13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0"/>
    </row>
    <row r="246" ht="15.75" customHeight="1">
      <c r="D246" s="130"/>
      <c r="F246" s="130"/>
      <c r="I246" s="13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0"/>
    </row>
    <row r="247" ht="15.75" customHeight="1">
      <c r="D247" s="130"/>
      <c r="F247" s="130"/>
      <c r="I247" s="13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0"/>
    </row>
    <row r="248" ht="15.75" customHeight="1">
      <c r="D248" s="130"/>
      <c r="F248" s="130"/>
      <c r="I248" s="13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0"/>
    </row>
    <row r="249" ht="15.75" customHeight="1">
      <c r="D249" s="130"/>
      <c r="F249" s="130"/>
      <c r="I249" s="13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0"/>
    </row>
    <row r="250" ht="15.75" customHeight="1">
      <c r="D250" s="130"/>
      <c r="F250" s="130"/>
      <c r="I250" s="13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0"/>
    </row>
    <row r="251" ht="15.75" customHeight="1">
      <c r="D251" s="130"/>
      <c r="F251" s="130"/>
      <c r="I251" s="13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0"/>
    </row>
    <row r="252" ht="15.75" customHeight="1">
      <c r="D252" s="130"/>
      <c r="F252" s="130"/>
      <c r="I252" s="13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0"/>
    </row>
    <row r="253" ht="15.75" customHeight="1">
      <c r="D253" s="130"/>
      <c r="F253" s="130"/>
      <c r="I253" s="13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0"/>
    </row>
    <row r="254" ht="15.75" customHeight="1">
      <c r="D254" s="130"/>
      <c r="F254" s="130"/>
      <c r="I254" s="13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0"/>
    </row>
    <row r="255" ht="15.75" customHeight="1">
      <c r="D255" s="130"/>
      <c r="F255" s="130"/>
      <c r="I255" s="13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0"/>
    </row>
    <row r="256" ht="15.75" customHeight="1">
      <c r="D256" s="130"/>
      <c r="F256" s="130"/>
      <c r="I256" s="13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0"/>
    </row>
    <row r="257" ht="15.75" customHeight="1">
      <c r="D257" s="130"/>
      <c r="F257" s="130"/>
      <c r="I257" s="13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0"/>
    </row>
    <row r="258" ht="15.75" customHeight="1">
      <c r="D258" s="130"/>
      <c r="F258" s="130"/>
      <c r="I258" s="13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0"/>
    </row>
    <row r="259" ht="15.75" customHeight="1">
      <c r="D259" s="130"/>
      <c r="F259" s="130"/>
      <c r="I259" s="13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0"/>
    </row>
    <row r="260" ht="15.75" customHeight="1">
      <c r="D260" s="130"/>
      <c r="F260" s="130"/>
      <c r="I260" s="13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0"/>
    </row>
    <row r="261" ht="15.75" customHeight="1">
      <c r="D261" s="130"/>
      <c r="F261" s="130"/>
      <c r="I261" s="13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0"/>
    </row>
    <row r="262" ht="15.75" customHeight="1">
      <c r="D262" s="130"/>
      <c r="F262" s="130"/>
      <c r="I262" s="13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0"/>
    </row>
    <row r="263" ht="15.75" customHeight="1">
      <c r="D263" s="130"/>
      <c r="F263" s="130"/>
      <c r="I263" s="13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0"/>
    </row>
    <row r="264" ht="15.75" customHeight="1">
      <c r="D264" s="130"/>
      <c r="F264" s="130"/>
      <c r="I264" s="13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0"/>
    </row>
    <row r="265" ht="15.75" customHeight="1">
      <c r="D265" s="130"/>
      <c r="F265" s="130"/>
      <c r="I265" s="13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0"/>
    </row>
    <row r="266" ht="15.75" customHeight="1">
      <c r="D266" s="130"/>
      <c r="F266" s="130"/>
      <c r="I266" s="13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0"/>
    </row>
    <row r="267" ht="15.75" customHeight="1">
      <c r="D267" s="130"/>
      <c r="F267" s="130"/>
      <c r="I267" s="13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0"/>
    </row>
    <row r="268" ht="15.75" customHeight="1">
      <c r="D268" s="130"/>
      <c r="F268" s="130"/>
      <c r="I268" s="13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0"/>
    </row>
    <row r="269" ht="15.75" customHeight="1">
      <c r="D269" s="130"/>
      <c r="F269" s="130"/>
      <c r="I269" s="13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0"/>
    </row>
    <row r="270" ht="15.75" customHeight="1">
      <c r="I270" s="13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0"/>
    </row>
    <row r="271" ht="15.75" customHeight="1">
      <c r="I271" s="13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0"/>
    </row>
    <row r="272" ht="15.75" customHeight="1">
      <c r="I272" s="13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0"/>
    </row>
    <row r="273" ht="15.75" customHeight="1">
      <c r="I273" s="13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0"/>
    </row>
    <row r="274" ht="15.75" customHeight="1">
      <c r="I274" s="13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0"/>
    </row>
    <row r="275" ht="15.75" customHeight="1">
      <c r="I275" s="13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0"/>
    </row>
    <row r="276" ht="15.75" customHeight="1">
      <c r="I276" s="13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0"/>
    </row>
    <row r="277" ht="15.75" customHeight="1">
      <c r="I277" s="13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0"/>
    </row>
    <row r="278" ht="15.75" customHeight="1">
      <c r="I278" s="13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0"/>
    </row>
    <row r="279" ht="15.75" customHeight="1">
      <c r="I279" s="13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0"/>
    </row>
    <row r="280" ht="15.75" customHeight="1">
      <c r="I280" s="13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0"/>
    </row>
    <row r="281" ht="15.75" customHeight="1">
      <c r="I281" s="13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0"/>
    </row>
    <row r="282" ht="15.75" customHeight="1">
      <c r="I282" s="13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0"/>
    </row>
    <row r="283" ht="15.75" customHeight="1">
      <c r="I283" s="13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0"/>
    </row>
    <row r="284" ht="15.75" customHeight="1">
      <c r="I284" s="13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0"/>
    </row>
    <row r="285" ht="15.75" customHeight="1">
      <c r="I285" s="13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0"/>
    </row>
    <row r="286" ht="15.75" customHeight="1">
      <c r="I286" s="13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0"/>
    </row>
    <row r="287" ht="15.75" customHeight="1">
      <c r="I287" s="13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0"/>
    </row>
    <row r="288" ht="15.75" customHeight="1">
      <c r="I288" s="13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0"/>
    </row>
    <row r="289" ht="15.75" customHeight="1">
      <c r="I289" s="13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0"/>
    </row>
    <row r="290" ht="15.75" customHeight="1">
      <c r="I290" s="13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0"/>
    </row>
    <row r="291" ht="15.75" customHeight="1">
      <c r="I291" s="13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0"/>
    </row>
    <row r="292" ht="15.75" customHeight="1">
      <c r="I292" s="13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0"/>
    </row>
    <row r="293" ht="15.75" customHeight="1">
      <c r="I293" s="13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0"/>
    </row>
    <row r="294" ht="15.75" customHeight="1">
      <c r="I294" s="13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0"/>
    </row>
    <row r="295" ht="15.75" customHeight="1">
      <c r="I295" s="13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0"/>
    </row>
    <row r="296" ht="15.75" customHeight="1">
      <c r="I296" s="13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0"/>
    </row>
    <row r="297" ht="15.75" customHeight="1">
      <c r="I297" s="13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0"/>
    </row>
    <row r="298" ht="15.75" customHeight="1">
      <c r="I298" s="13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0"/>
    </row>
    <row r="299" ht="15.75" customHeight="1">
      <c r="I299" s="13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0"/>
    </row>
    <row r="300" ht="15.75" customHeight="1">
      <c r="I300" s="13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0"/>
    </row>
    <row r="301" ht="15.75" customHeight="1">
      <c r="I301" s="13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0"/>
    </row>
    <row r="302" ht="15.75" customHeight="1">
      <c r="I302" s="13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0"/>
    </row>
    <row r="303" ht="15.75" customHeight="1">
      <c r="I303" s="13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0"/>
    </row>
    <row r="304" ht="15.75" customHeight="1">
      <c r="I304" s="13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0"/>
    </row>
    <row r="305" ht="15.75" customHeight="1">
      <c r="I305" s="13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0"/>
    </row>
    <row r="306" ht="15.75" customHeight="1">
      <c r="I306" s="13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0"/>
    </row>
    <row r="307" ht="15.75" customHeight="1">
      <c r="I307" s="13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0"/>
    </row>
    <row r="308" ht="15.75" customHeight="1">
      <c r="I308" s="13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0"/>
    </row>
    <row r="309" ht="15.75" customHeight="1">
      <c r="I309" s="13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0"/>
    </row>
    <row r="310" ht="15.75" customHeight="1">
      <c r="I310" s="13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0"/>
    </row>
    <row r="311" ht="15.75" customHeight="1">
      <c r="I311" s="13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0"/>
    </row>
    <row r="312" ht="15.75" customHeight="1">
      <c r="I312" s="13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0"/>
    </row>
    <row r="313" ht="15.75" customHeight="1">
      <c r="I313" s="13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0"/>
    </row>
    <row r="314" ht="15.75" customHeight="1">
      <c r="I314" s="13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0"/>
    </row>
    <row r="315" ht="15.75" customHeight="1">
      <c r="I315" s="13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0"/>
    </row>
    <row r="316" ht="15.75" customHeight="1">
      <c r="I316" s="13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0"/>
    </row>
    <row r="317" ht="15.75" customHeight="1">
      <c r="I317" s="13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0"/>
    </row>
    <row r="318" ht="15.75" customHeight="1">
      <c r="I318" s="13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0"/>
    </row>
    <row r="319" ht="15.75" customHeight="1">
      <c r="I319" s="13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0"/>
    </row>
    <row r="320" ht="15.75" customHeight="1">
      <c r="I320" s="13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0"/>
    </row>
    <row r="321" ht="15.75" customHeight="1">
      <c r="I321" s="13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0"/>
    </row>
    <row r="322" ht="15.75" customHeight="1">
      <c r="I322" s="13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0"/>
    </row>
    <row r="323" ht="15.75" customHeight="1">
      <c r="I323" s="13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0"/>
    </row>
    <row r="324" ht="15.75" customHeight="1">
      <c r="I324" s="13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0"/>
    </row>
    <row r="325" ht="15.75" customHeight="1">
      <c r="I325" s="13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0"/>
    </row>
    <row r="326" ht="15.75" customHeight="1">
      <c r="I326" s="13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0"/>
    </row>
    <row r="327" ht="15.75" customHeight="1">
      <c r="I327" s="13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0"/>
    </row>
    <row r="328" ht="15.75" customHeight="1">
      <c r="I328" s="13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0"/>
    </row>
    <row r="329" ht="15.75" customHeight="1">
      <c r="I329" s="13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0"/>
    </row>
    <row r="330" ht="15.75" customHeight="1">
      <c r="I330" s="13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0"/>
    </row>
    <row r="331" ht="15.75" customHeight="1">
      <c r="I331" s="13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0"/>
    </row>
    <row r="332" ht="15.75" customHeight="1">
      <c r="I332" s="13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0"/>
    </row>
    <row r="333" ht="15.75" customHeight="1">
      <c r="I333" s="13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0"/>
    </row>
    <row r="334" ht="15.75" customHeight="1">
      <c r="I334" s="13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0"/>
    </row>
    <row r="335" ht="15.75" customHeight="1">
      <c r="I335" s="13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0"/>
    </row>
    <row r="336" ht="15.75" customHeight="1">
      <c r="I336" s="13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0"/>
    </row>
    <row r="337" ht="15.75" customHeight="1">
      <c r="I337" s="13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0"/>
    </row>
    <row r="338" ht="15.75" customHeight="1">
      <c r="I338" s="13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0"/>
    </row>
    <row r="339" ht="15.75" customHeight="1">
      <c r="I339" s="13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0"/>
    </row>
    <row r="340" ht="15.75" customHeight="1">
      <c r="I340" s="13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0"/>
    </row>
    <row r="341" ht="15.75" customHeight="1">
      <c r="I341" s="13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0"/>
    </row>
    <row r="342" ht="15.75" customHeight="1">
      <c r="I342" s="13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0"/>
    </row>
    <row r="343" ht="15.75" customHeight="1">
      <c r="I343" s="13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0"/>
    </row>
    <row r="344" ht="15.75" customHeight="1">
      <c r="I344" s="13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0"/>
    </row>
    <row r="345" ht="15.75" customHeight="1">
      <c r="I345" s="13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0"/>
    </row>
    <row r="346" ht="15.75" customHeight="1">
      <c r="I346" s="13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0"/>
    </row>
    <row r="347" ht="15.75" customHeight="1">
      <c r="I347" s="13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0"/>
    </row>
    <row r="348" ht="15.75" customHeight="1">
      <c r="I348" s="13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0"/>
    </row>
    <row r="349" ht="15.75" customHeight="1">
      <c r="I349" s="13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0"/>
    </row>
    <row r="350" ht="15.75" customHeight="1">
      <c r="I350" s="13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0"/>
    </row>
    <row r="351" ht="15.75" customHeight="1">
      <c r="I351" s="13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0"/>
    </row>
    <row r="352" ht="15.75" customHeight="1">
      <c r="I352" s="13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0"/>
    </row>
    <row r="353" ht="15.75" customHeight="1">
      <c r="I353" s="13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0"/>
    </row>
    <row r="354" ht="15.75" customHeight="1">
      <c r="I354" s="13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0"/>
    </row>
    <row r="355" ht="15.75" customHeight="1">
      <c r="I355" s="13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0"/>
    </row>
    <row r="356" ht="15.75" customHeight="1">
      <c r="I356" s="13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0"/>
    </row>
    <row r="357" ht="15.75" customHeight="1">
      <c r="I357" s="13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0"/>
    </row>
    <row r="358" ht="15.75" customHeight="1">
      <c r="I358" s="13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0"/>
    </row>
    <row r="359" ht="15.75" customHeight="1">
      <c r="I359" s="13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0"/>
    </row>
    <row r="360" ht="15.75" customHeight="1">
      <c r="I360" s="13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0"/>
    </row>
    <row r="361" ht="15.75" customHeight="1">
      <c r="I361" s="13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0"/>
    </row>
    <row r="362" ht="15.75" customHeight="1">
      <c r="I362" s="13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0"/>
    </row>
    <row r="363" ht="15.75" customHeight="1">
      <c r="I363" s="13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0"/>
    </row>
    <row r="364" ht="15.75" customHeight="1">
      <c r="I364" s="13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0"/>
    </row>
    <row r="365" ht="15.75" customHeight="1">
      <c r="I365" s="13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0"/>
    </row>
    <row r="366" ht="15.75" customHeight="1">
      <c r="I366" s="13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0"/>
    </row>
    <row r="367" ht="15.75" customHeight="1">
      <c r="I367" s="13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0"/>
    </row>
    <row r="368" ht="15.75" customHeight="1">
      <c r="I368" s="13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0"/>
    </row>
    <row r="369" ht="15.75" customHeight="1">
      <c r="I369" s="13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0"/>
    </row>
    <row r="370" ht="15.75" customHeight="1">
      <c r="I370" s="13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0"/>
    </row>
    <row r="371" ht="15.75" customHeight="1">
      <c r="I371" s="13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0"/>
    </row>
    <row r="372" ht="15.75" customHeight="1">
      <c r="I372" s="13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0"/>
    </row>
    <row r="373" ht="15.75" customHeight="1">
      <c r="I373" s="13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0"/>
    </row>
    <row r="374" ht="15.75" customHeight="1">
      <c r="I374" s="13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0"/>
    </row>
    <row r="375" ht="15.75" customHeight="1">
      <c r="I375" s="13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0"/>
    </row>
    <row r="376" ht="15.75" customHeight="1">
      <c r="I376" s="13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0"/>
    </row>
    <row r="377" ht="15.75" customHeight="1">
      <c r="I377" s="13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0"/>
    </row>
    <row r="378" ht="15.75" customHeight="1">
      <c r="I378" s="13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0"/>
    </row>
    <row r="379" ht="15.75" customHeight="1">
      <c r="I379" s="13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0"/>
    </row>
    <row r="380" ht="15.75" customHeight="1">
      <c r="I380" s="13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0"/>
    </row>
    <row r="381" ht="15.75" customHeight="1">
      <c r="I381" s="13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0"/>
    </row>
    <row r="382" ht="15.75" customHeight="1">
      <c r="I382" s="13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0"/>
    </row>
    <row r="383" ht="15.75" customHeight="1">
      <c r="I383" s="13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0"/>
    </row>
    <row r="384" ht="15.75" customHeight="1">
      <c r="I384" s="13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0"/>
    </row>
    <row r="385" ht="15.75" customHeight="1">
      <c r="I385" s="13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0"/>
    </row>
    <row r="386" ht="15.75" customHeight="1">
      <c r="I386" s="13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0"/>
    </row>
    <row r="387" ht="15.75" customHeight="1">
      <c r="I387" s="13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0"/>
    </row>
    <row r="388" ht="15.75" customHeight="1">
      <c r="I388" s="13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0"/>
    </row>
    <row r="389" ht="15.75" customHeight="1">
      <c r="I389" s="13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0"/>
    </row>
    <row r="390" ht="15.75" customHeight="1">
      <c r="I390" s="13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0"/>
    </row>
    <row r="391" ht="15.75" customHeight="1">
      <c r="I391" s="13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0"/>
    </row>
    <row r="392" ht="15.75" customHeight="1">
      <c r="I392" s="13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0"/>
    </row>
    <row r="393" ht="15.75" customHeight="1">
      <c r="I393" s="13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0"/>
    </row>
    <row r="394" ht="15.75" customHeight="1">
      <c r="I394" s="13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0"/>
    </row>
    <row r="395" ht="15.75" customHeight="1">
      <c r="I395" s="13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0"/>
    </row>
    <row r="396" ht="15.75" customHeight="1">
      <c r="I396" s="13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0"/>
    </row>
    <row r="397" ht="15.75" customHeight="1">
      <c r="I397" s="13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0"/>
    </row>
    <row r="398" ht="15.75" customHeight="1">
      <c r="I398" s="13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0"/>
    </row>
    <row r="399" ht="15.75" customHeight="1">
      <c r="I399" s="13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0"/>
    </row>
    <row r="400" ht="15.75" customHeight="1">
      <c r="I400" s="13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0"/>
    </row>
    <row r="401" ht="15.75" customHeight="1">
      <c r="I401" s="13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0"/>
    </row>
    <row r="402" ht="15.75" customHeight="1">
      <c r="I402" s="13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0"/>
    </row>
    <row r="403" ht="15.75" customHeight="1">
      <c r="I403" s="13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0"/>
    </row>
    <row r="404" ht="15.75" customHeight="1">
      <c r="I404" s="13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0"/>
    </row>
    <row r="405" ht="15.75" customHeight="1">
      <c r="I405" s="13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0"/>
    </row>
    <row r="406" ht="15.75" customHeight="1">
      <c r="I406" s="13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0"/>
    </row>
    <row r="407" ht="15.75" customHeight="1">
      <c r="I407" s="13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0"/>
    </row>
    <row r="408" ht="15.75" customHeight="1">
      <c r="I408" s="13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0"/>
    </row>
    <row r="409" ht="15.75" customHeight="1">
      <c r="I409" s="13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0"/>
    </row>
    <row r="410" ht="15.75" customHeight="1">
      <c r="I410" s="13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0"/>
    </row>
    <row r="411" ht="15.75" customHeight="1">
      <c r="I411" s="13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0"/>
    </row>
    <row r="412" ht="15.75" customHeight="1">
      <c r="I412" s="13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0"/>
    </row>
    <row r="413" ht="15.75" customHeight="1">
      <c r="I413" s="13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0"/>
    </row>
    <row r="414" ht="15.75" customHeight="1">
      <c r="I414" s="13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0"/>
    </row>
    <row r="415" ht="15.75" customHeight="1">
      <c r="I415" s="13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0"/>
    </row>
    <row r="416" ht="15.75" customHeight="1">
      <c r="I416" s="13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0"/>
    </row>
    <row r="417" ht="15.75" customHeight="1">
      <c r="I417" s="13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0"/>
    </row>
    <row r="418" ht="15.75" customHeight="1">
      <c r="I418" s="13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0"/>
    </row>
    <row r="419" ht="15.75" customHeight="1">
      <c r="I419" s="13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0"/>
    </row>
    <row r="420" ht="15.75" customHeight="1">
      <c r="I420" s="13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0"/>
    </row>
    <row r="421" ht="15.75" customHeight="1">
      <c r="I421" s="13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0"/>
    </row>
    <row r="422" ht="15.75" customHeight="1">
      <c r="I422" s="13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0"/>
    </row>
    <row r="423" ht="15.75" customHeight="1">
      <c r="I423" s="13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0"/>
    </row>
    <row r="424" ht="15.75" customHeight="1">
      <c r="I424" s="13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0"/>
    </row>
    <row r="425" ht="15.75" customHeight="1">
      <c r="I425" s="13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0"/>
    </row>
    <row r="426" ht="15.75" customHeight="1">
      <c r="I426" s="13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0"/>
    </row>
    <row r="427" ht="15.75" customHeight="1">
      <c r="I427" s="13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0"/>
    </row>
    <row r="428" ht="15.75" customHeight="1">
      <c r="I428" s="13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0"/>
    </row>
    <row r="429" ht="15.75" customHeight="1">
      <c r="I429" s="13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0"/>
    </row>
    <row r="430" ht="15.75" customHeight="1">
      <c r="I430" s="13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0"/>
    </row>
    <row r="431" ht="15.75" customHeight="1">
      <c r="I431" s="13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0"/>
    </row>
    <row r="432" ht="15.75" customHeight="1">
      <c r="I432" s="13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0"/>
    </row>
    <row r="433" ht="15.75" customHeight="1">
      <c r="I433" s="13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0"/>
    </row>
    <row r="434" ht="15.75" customHeight="1">
      <c r="I434" s="13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0"/>
    </row>
    <row r="435" ht="15.75" customHeight="1">
      <c r="I435" s="13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0"/>
    </row>
    <row r="436" ht="15.75" customHeight="1">
      <c r="I436" s="13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0"/>
    </row>
    <row r="437" ht="15.75" customHeight="1">
      <c r="I437" s="13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0"/>
    </row>
    <row r="438" ht="15.75" customHeight="1">
      <c r="I438" s="13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0"/>
    </row>
    <row r="439" ht="15.75" customHeight="1">
      <c r="I439" s="13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0"/>
    </row>
    <row r="440" ht="15.75" customHeight="1">
      <c r="I440" s="13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0"/>
    </row>
    <row r="441" ht="15.75" customHeight="1">
      <c r="I441" s="13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0"/>
    </row>
    <row r="442" ht="15.75" customHeight="1">
      <c r="I442" s="13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0"/>
    </row>
    <row r="443" ht="15.75" customHeight="1">
      <c r="I443" s="13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0"/>
    </row>
    <row r="444" ht="15.75" customHeight="1">
      <c r="I444" s="13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0"/>
    </row>
    <row r="445" ht="15.75" customHeight="1">
      <c r="I445" s="13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0"/>
    </row>
    <row r="446" ht="15.75" customHeight="1">
      <c r="I446" s="13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0"/>
    </row>
    <row r="447" ht="15.75" customHeight="1">
      <c r="I447" s="13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0"/>
    </row>
    <row r="448" ht="15.75" customHeight="1">
      <c r="I448" s="13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0"/>
    </row>
    <row r="449" ht="15.75" customHeight="1">
      <c r="I449" s="13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0"/>
    </row>
    <row r="450" ht="15.75" customHeight="1">
      <c r="I450" s="13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0"/>
    </row>
    <row r="451" ht="15.75" customHeight="1">
      <c r="I451" s="13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0"/>
    </row>
    <row r="452" ht="15.75" customHeight="1">
      <c r="I452" s="13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0"/>
    </row>
    <row r="453" ht="15.75" customHeight="1">
      <c r="I453" s="13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0"/>
    </row>
    <row r="454" ht="15.75" customHeight="1">
      <c r="I454" s="13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0"/>
    </row>
    <row r="455" ht="15.75" customHeight="1">
      <c r="I455" s="13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0"/>
    </row>
    <row r="456" ht="15.75" customHeight="1">
      <c r="I456" s="13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0"/>
    </row>
    <row r="457" ht="15.75" customHeight="1">
      <c r="I457" s="13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0"/>
    </row>
    <row r="458" ht="15.75" customHeight="1">
      <c r="I458" s="13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0"/>
    </row>
    <row r="459" ht="15.75" customHeight="1">
      <c r="I459" s="13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0"/>
    </row>
    <row r="460" ht="15.75" customHeight="1">
      <c r="I460" s="13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0"/>
    </row>
    <row r="461" ht="15.75" customHeight="1">
      <c r="I461" s="13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0"/>
    </row>
    <row r="462" ht="15.75" customHeight="1">
      <c r="I462" s="13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0"/>
    </row>
    <row r="463" ht="15.75" customHeight="1">
      <c r="I463" s="13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0"/>
    </row>
    <row r="464" ht="15.75" customHeight="1">
      <c r="I464" s="13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0"/>
    </row>
    <row r="465" ht="15.75" customHeight="1">
      <c r="I465" s="13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0"/>
    </row>
    <row r="466" ht="15.75" customHeight="1">
      <c r="I466" s="13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0"/>
    </row>
    <row r="467" ht="15.75" customHeight="1">
      <c r="I467" s="13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0"/>
    </row>
    <row r="468" ht="15.75" customHeight="1">
      <c r="I468" s="13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0"/>
    </row>
    <row r="469" ht="15.75" customHeight="1">
      <c r="I469" s="13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0"/>
    </row>
    <row r="470" ht="15.75" customHeight="1">
      <c r="I470" s="13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0"/>
    </row>
    <row r="471" ht="15.75" customHeight="1">
      <c r="I471" s="13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0"/>
    </row>
    <row r="472" ht="15.75" customHeight="1">
      <c r="I472" s="13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0"/>
    </row>
    <row r="473" ht="15.75" customHeight="1">
      <c r="I473" s="13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0"/>
    </row>
    <row r="474" ht="15.75" customHeight="1">
      <c r="I474" s="13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0"/>
    </row>
    <row r="475" ht="15.75" customHeight="1">
      <c r="I475" s="13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0"/>
    </row>
    <row r="476" ht="15.75" customHeight="1">
      <c r="I476" s="13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0"/>
    </row>
    <row r="477" ht="15.75" customHeight="1">
      <c r="I477" s="13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0"/>
    </row>
    <row r="478" ht="15.75" customHeight="1">
      <c r="I478" s="13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0"/>
    </row>
    <row r="479" ht="15.75" customHeight="1">
      <c r="I479" s="13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0"/>
    </row>
    <row r="480" ht="15.75" customHeight="1">
      <c r="I480" s="13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0"/>
    </row>
    <row r="481" ht="15.75" customHeight="1">
      <c r="I481" s="13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0"/>
    </row>
    <row r="482" ht="15.75" customHeight="1">
      <c r="I482" s="13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0"/>
    </row>
    <row r="483" ht="15.75" customHeight="1">
      <c r="I483" s="13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0"/>
    </row>
    <row r="484" ht="15.75" customHeight="1">
      <c r="I484" s="13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0"/>
    </row>
    <row r="485" ht="15.75" customHeight="1">
      <c r="I485" s="13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0"/>
    </row>
    <row r="486" ht="15.75" customHeight="1">
      <c r="I486" s="13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0"/>
    </row>
    <row r="487" ht="15.75" customHeight="1">
      <c r="I487" s="13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0"/>
    </row>
    <row r="488" ht="15.75" customHeight="1">
      <c r="I488" s="13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0"/>
    </row>
    <row r="489" ht="15.75" customHeight="1">
      <c r="I489" s="13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0"/>
    </row>
    <row r="490" ht="15.75" customHeight="1">
      <c r="I490" s="13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0"/>
    </row>
    <row r="491" ht="15.75" customHeight="1">
      <c r="I491" s="13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0"/>
    </row>
    <row r="492" ht="15.75" customHeight="1">
      <c r="I492" s="13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0"/>
    </row>
    <row r="493" ht="15.75" customHeight="1">
      <c r="I493" s="13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0"/>
    </row>
    <row r="494" ht="15.75" customHeight="1">
      <c r="I494" s="13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0"/>
    </row>
    <row r="495" ht="15.75" customHeight="1">
      <c r="I495" s="13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0"/>
    </row>
    <row r="496" ht="15.75" customHeight="1">
      <c r="I496" s="13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0"/>
    </row>
    <row r="497" ht="15.75" customHeight="1">
      <c r="I497" s="13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0"/>
    </row>
    <row r="498" ht="15.75" customHeight="1">
      <c r="I498" s="13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0"/>
    </row>
    <row r="499" ht="15.75" customHeight="1">
      <c r="I499" s="13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0"/>
    </row>
    <row r="500" ht="15.75" customHeight="1">
      <c r="I500" s="13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0"/>
    </row>
    <row r="501" ht="15.75" customHeight="1">
      <c r="I501" s="13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0"/>
    </row>
    <row r="502" ht="15.75" customHeight="1">
      <c r="I502" s="13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0"/>
    </row>
    <row r="503" ht="15.75" customHeight="1">
      <c r="I503" s="13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0"/>
    </row>
    <row r="504" ht="15.75" customHeight="1">
      <c r="I504" s="13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0"/>
    </row>
    <row r="505" ht="15.75" customHeight="1">
      <c r="I505" s="13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0"/>
    </row>
    <row r="506" ht="15.75" customHeight="1">
      <c r="I506" s="13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0"/>
    </row>
    <row r="507" ht="15.75" customHeight="1">
      <c r="I507" s="13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0"/>
    </row>
    <row r="508" ht="15.75" customHeight="1">
      <c r="I508" s="13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0"/>
    </row>
    <row r="509" ht="15.75" customHeight="1">
      <c r="I509" s="13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0"/>
    </row>
    <row r="510" ht="15.75" customHeight="1">
      <c r="I510" s="13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0"/>
    </row>
    <row r="511" ht="15.75" customHeight="1">
      <c r="I511" s="13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0"/>
    </row>
    <row r="512" ht="15.75" customHeight="1">
      <c r="I512" s="13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0"/>
    </row>
    <row r="513" ht="15.75" customHeight="1">
      <c r="I513" s="13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0"/>
    </row>
    <row r="514" ht="15.75" customHeight="1">
      <c r="I514" s="13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0"/>
    </row>
    <row r="515" ht="15.75" customHeight="1">
      <c r="I515" s="13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0"/>
    </row>
    <row r="516" ht="15.75" customHeight="1">
      <c r="I516" s="13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0"/>
    </row>
    <row r="517" ht="15.75" customHeight="1">
      <c r="I517" s="13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0"/>
    </row>
    <row r="518" ht="15.75" customHeight="1">
      <c r="I518" s="13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0"/>
    </row>
    <row r="519" ht="15.75" customHeight="1">
      <c r="I519" s="13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0"/>
    </row>
    <row r="520" ht="15.75" customHeight="1">
      <c r="I520" s="13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0"/>
    </row>
    <row r="521" ht="15.75" customHeight="1">
      <c r="I521" s="13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0"/>
    </row>
    <row r="522" ht="15.75" customHeight="1">
      <c r="I522" s="13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0"/>
    </row>
    <row r="523" ht="15.75" customHeight="1">
      <c r="I523" s="13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0"/>
    </row>
    <row r="524" ht="15.75" customHeight="1">
      <c r="I524" s="13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0"/>
    </row>
    <row r="525" ht="15.75" customHeight="1">
      <c r="I525" s="13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0"/>
    </row>
    <row r="526" ht="15.75" customHeight="1">
      <c r="I526" s="13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0"/>
    </row>
    <row r="527" ht="15.75" customHeight="1">
      <c r="I527" s="13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0"/>
    </row>
    <row r="528" ht="15.75" customHeight="1">
      <c r="I528" s="13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0"/>
    </row>
    <row r="529" ht="15.75" customHeight="1">
      <c r="I529" s="13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0"/>
    </row>
    <row r="530" ht="15.75" customHeight="1">
      <c r="I530" s="13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0"/>
    </row>
    <row r="531" ht="15.75" customHeight="1">
      <c r="I531" s="13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0"/>
    </row>
    <row r="532" ht="15.75" customHeight="1">
      <c r="I532" s="13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0"/>
    </row>
    <row r="533" ht="15.75" customHeight="1">
      <c r="I533" s="13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0"/>
    </row>
    <row r="534" ht="15.75" customHeight="1">
      <c r="I534" s="13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0"/>
    </row>
    <row r="535" ht="15.75" customHeight="1">
      <c r="I535" s="13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0"/>
    </row>
    <row r="536" ht="15.75" customHeight="1">
      <c r="I536" s="13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0"/>
    </row>
    <row r="537" ht="15.75" customHeight="1">
      <c r="I537" s="13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0"/>
    </row>
    <row r="538" ht="15.75" customHeight="1">
      <c r="I538" s="13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0"/>
    </row>
    <row r="539" ht="15.75" customHeight="1">
      <c r="I539" s="13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0"/>
    </row>
    <row r="540" ht="15.75" customHeight="1">
      <c r="I540" s="13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0"/>
    </row>
    <row r="541" ht="15.75" customHeight="1">
      <c r="I541" s="13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0"/>
    </row>
    <row r="542" ht="15.75" customHeight="1">
      <c r="I542" s="13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0"/>
    </row>
    <row r="543" ht="15.75" customHeight="1">
      <c r="I543" s="13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0"/>
    </row>
    <row r="544" ht="15.75" customHeight="1">
      <c r="I544" s="13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0"/>
    </row>
    <row r="545" ht="15.75" customHeight="1">
      <c r="I545" s="13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0"/>
    </row>
    <row r="546" ht="15.75" customHeight="1">
      <c r="I546" s="13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0"/>
    </row>
    <row r="547" ht="15.75" customHeight="1">
      <c r="I547" s="13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0"/>
    </row>
    <row r="548" ht="15.75" customHeight="1">
      <c r="I548" s="13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0"/>
    </row>
    <row r="549" ht="15.75" customHeight="1">
      <c r="I549" s="13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0"/>
    </row>
    <row r="550" ht="15.75" customHeight="1">
      <c r="I550" s="13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0"/>
    </row>
    <row r="551" ht="15.75" customHeight="1">
      <c r="I551" s="13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0"/>
    </row>
    <row r="552" ht="15.75" customHeight="1">
      <c r="I552" s="13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0"/>
    </row>
    <row r="553" ht="15.75" customHeight="1">
      <c r="I553" s="13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0"/>
    </row>
    <row r="554" ht="15.75" customHeight="1">
      <c r="I554" s="13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0"/>
    </row>
    <row r="555" ht="15.75" customHeight="1">
      <c r="I555" s="13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0"/>
    </row>
    <row r="556" ht="15.75" customHeight="1">
      <c r="I556" s="13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0"/>
    </row>
    <row r="557" ht="15.75" customHeight="1">
      <c r="I557" s="13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0"/>
    </row>
    <row r="558" ht="15.75" customHeight="1">
      <c r="I558" s="13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0"/>
    </row>
    <row r="559" ht="15.75" customHeight="1">
      <c r="I559" s="13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0"/>
    </row>
    <row r="560" ht="15.75" customHeight="1">
      <c r="I560" s="13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0"/>
    </row>
    <row r="561" ht="15.75" customHeight="1">
      <c r="I561" s="13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0"/>
    </row>
    <row r="562" ht="15.75" customHeight="1">
      <c r="I562" s="13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0"/>
    </row>
    <row r="563" ht="15.75" customHeight="1">
      <c r="I563" s="13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0"/>
    </row>
    <row r="564" ht="15.75" customHeight="1">
      <c r="I564" s="13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0"/>
    </row>
    <row r="565" ht="15.75" customHeight="1">
      <c r="I565" s="13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0"/>
    </row>
    <row r="566" ht="15.75" customHeight="1">
      <c r="I566" s="13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0"/>
    </row>
    <row r="567" ht="15.75" customHeight="1">
      <c r="I567" s="13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0"/>
    </row>
    <row r="568" ht="15.75" customHeight="1">
      <c r="I568" s="13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0"/>
    </row>
    <row r="569" ht="15.75" customHeight="1">
      <c r="I569" s="13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0"/>
    </row>
    <row r="570" ht="15.75" customHeight="1">
      <c r="I570" s="13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0"/>
    </row>
    <row r="571" ht="15.75" customHeight="1">
      <c r="I571" s="13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0"/>
    </row>
    <row r="572" ht="15.75" customHeight="1">
      <c r="I572" s="13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0"/>
    </row>
    <row r="573" ht="15.75" customHeight="1">
      <c r="I573" s="13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0"/>
    </row>
    <row r="574" ht="15.75" customHeight="1">
      <c r="I574" s="13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0"/>
    </row>
    <row r="575" ht="15.75" customHeight="1">
      <c r="I575" s="13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0"/>
    </row>
    <row r="576" ht="15.75" customHeight="1">
      <c r="I576" s="13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0"/>
    </row>
    <row r="577" ht="15.75" customHeight="1">
      <c r="I577" s="13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0"/>
    </row>
    <row r="578" ht="15.75" customHeight="1">
      <c r="I578" s="13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0"/>
    </row>
    <row r="579" ht="15.75" customHeight="1">
      <c r="I579" s="13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0"/>
    </row>
    <row r="580" ht="15.75" customHeight="1">
      <c r="I580" s="13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0"/>
    </row>
    <row r="581" ht="15.75" customHeight="1">
      <c r="I581" s="13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0"/>
    </row>
    <row r="582" ht="15.75" customHeight="1">
      <c r="I582" s="13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0"/>
    </row>
    <row r="583" ht="15.75" customHeight="1">
      <c r="I583" s="13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0"/>
    </row>
    <row r="584" ht="15.75" customHeight="1">
      <c r="I584" s="13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0"/>
    </row>
    <row r="585" ht="15.75" customHeight="1">
      <c r="I585" s="13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0"/>
    </row>
    <row r="586" ht="15.75" customHeight="1">
      <c r="I586" s="13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0"/>
    </row>
    <row r="587" ht="15.75" customHeight="1">
      <c r="I587" s="13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0"/>
    </row>
    <row r="588" ht="15.75" customHeight="1">
      <c r="I588" s="13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0"/>
    </row>
    <row r="589" ht="15.75" customHeight="1">
      <c r="I589" s="13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0"/>
    </row>
    <row r="590" ht="15.75" customHeight="1">
      <c r="I590" s="13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0"/>
    </row>
    <row r="591" ht="15.75" customHeight="1">
      <c r="I591" s="13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0"/>
    </row>
    <row r="592" ht="15.75" customHeight="1">
      <c r="I592" s="13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0"/>
    </row>
    <row r="593" ht="15.75" customHeight="1">
      <c r="I593" s="13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0"/>
    </row>
    <row r="594" ht="15.75" customHeight="1">
      <c r="I594" s="13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0"/>
    </row>
    <row r="595" ht="15.75" customHeight="1">
      <c r="I595" s="13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0"/>
    </row>
    <row r="596" ht="15.75" customHeight="1">
      <c r="I596" s="13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0"/>
    </row>
    <row r="597" ht="15.75" customHeight="1">
      <c r="I597" s="13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0"/>
    </row>
    <row r="598" ht="15.75" customHeight="1">
      <c r="I598" s="13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0"/>
    </row>
    <row r="599" ht="15.75" customHeight="1">
      <c r="I599" s="13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0"/>
    </row>
    <row r="600" ht="15.75" customHeight="1">
      <c r="I600" s="13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0"/>
    </row>
    <row r="601" ht="15.75" customHeight="1">
      <c r="I601" s="13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0"/>
    </row>
    <row r="602" ht="15.75" customHeight="1">
      <c r="I602" s="13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0"/>
    </row>
    <row r="603" ht="15.75" customHeight="1">
      <c r="I603" s="13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0"/>
    </row>
    <row r="604" ht="15.75" customHeight="1">
      <c r="I604" s="13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0"/>
    </row>
    <row r="605" ht="15.75" customHeight="1">
      <c r="I605" s="13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0"/>
    </row>
    <row r="606" ht="15.75" customHeight="1">
      <c r="I606" s="13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0"/>
    </row>
    <row r="607" ht="15.75" customHeight="1">
      <c r="I607" s="13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0"/>
    </row>
    <row r="608" ht="15.75" customHeight="1">
      <c r="I608" s="13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0"/>
    </row>
    <row r="609" ht="15.75" customHeight="1">
      <c r="I609" s="13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0"/>
    </row>
    <row r="610" ht="15.75" customHeight="1">
      <c r="I610" s="13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0"/>
    </row>
    <row r="611" ht="15.75" customHeight="1">
      <c r="I611" s="13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0"/>
    </row>
    <row r="612" ht="15.75" customHeight="1">
      <c r="I612" s="13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0"/>
    </row>
    <row r="613" ht="15.75" customHeight="1">
      <c r="I613" s="13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0"/>
    </row>
    <row r="614" ht="15.75" customHeight="1">
      <c r="I614" s="13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0"/>
    </row>
    <row r="615" ht="15.75" customHeight="1">
      <c r="I615" s="13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0"/>
    </row>
    <row r="616" ht="15.75" customHeight="1">
      <c r="I616" s="13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0"/>
    </row>
    <row r="617" ht="15.75" customHeight="1">
      <c r="I617" s="13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0"/>
    </row>
    <row r="618" ht="15.75" customHeight="1">
      <c r="I618" s="13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0"/>
    </row>
    <row r="619" ht="15.75" customHeight="1">
      <c r="I619" s="13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0"/>
    </row>
    <row r="620" ht="15.75" customHeight="1">
      <c r="I620" s="13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0"/>
    </row>
    <row r="621" ht="15.75" customHeight="1">
      <c r="I621" s="13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0"/>
    </row>
    <row r="622" ht="15.75" customHeight="1">
      <c r="I622" s="13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0"/>
    </row>
    <row r="623" ht="15.75" customHeight="1">
      <c r="I623" s="13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0"/>
    </row>
    <row r="624" ht="15.75" customHeight="1">
      <c r="I624" s="13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0"/>
    </row>
    <row r="625" ht="15.75" customHeight="1">
      <c r="I625" s="13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0"/>
    </row>
    <row r="626" ht="15.75" customHeight="1">
      <c r="I626" s="13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0"/>
    </row>
    <row r="627" ht="15.75" customHeight="1">
      <c r="I627" s="13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0"/>
    </row>
    <row r="628" ht="15.75" customHeight="1">
      <c r="I628" s="13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0"/>
    </row>
    <row r="629" ht="15.75" customHeight="1">
      <c r="I629" s="13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0"/>
    </row>
    <row r="630" ht="15.75" customHeight="1">
      <c r="I630" s="13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0"/>
    </row>
    <row r="631" ht="15.75" customHeight="1">
      <c r="I631" s="13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0"/>
    </row>
    <row r="632" ht="15.75" customHeight="1">
      <c r="I632" s="13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0"/>
    </row>
    <row r="633" ht="15.75" customHeight="1">
      <c r="I633" s="13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0"/>
    </row>
    <row r="634" ht="15.75" customHeight="1">
      <c r="I634" s="13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0"/>
    </row>
    <row r="635" ht="15.75" customHeight="1">
      <c r="I635" s="13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0"/>
    </row>
    <row r="636" ht="15.75" customHeight="1">
      <c r="I636" s="13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0"/>
    </row>
    <row r="637" ht="15.75" customHeight="1">
      <c r="I637" s="13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0"/>
    </row>
    <row r="638" ht="15.75" customHeight="1">
      <c r="I638" s="13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0"/>
    </row>
    <row r="639" ht="15.75" customHeight="1">
      <c r="I639" s="13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0"/>
    </row>
    <row r="640" ht="15.75" customHeight="1">
      <c r="I640" s="13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0"/>
    </row>
    <row r="641" ht="15.75" customHeight="1">
      <c r="I641" s="13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0"/>
    </row>
    <row r="642" ht="15.75" customHeight="1">
      <c r="I642" s="13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0"/>
    </row>
    <row r="643" ht="15.75" customHeight="1">
      <c r="I643" s="13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0"/>
    </row>
    <row r="644" ht="15.75" customHeight="1">
      <c r="I644" s="13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0"/>
    </row>
    <row r="645" ht="15.75" customHeight="1">
      <c r="I645" s="13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0"/>
    </row>
    <row r="646" ht="15.75" customHeight="1">
      <c r="I646" s="13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0"/>
    </row>
    <row r="647" ht="15.75" customHeight="1">
      <c r="I647" s="13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0"/>
    </row>
    <row r="648" ht="15.75" customHeight="1">
      <c r="I648" s="13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0"/>
    </row>
    <row r="649" ht="15.75" customHeight="1">
      <c r="I649" s="13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0"/>
    </row>
    <row r="650" ht="15.75" customHeight="1">
      <c r="I650" s="13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0"/>
    </row>
    <row r="651" ht="15.75" customHeight="1">
      <c r="I651" s="13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0"/>
    </row>
    <row r="652" ht="15.75" customHeight="1">
      <c r="I652" s="13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0"/>
    </row>
    <row r="653" ht="15.75" customHeight="1">
      <c r="I653" s="13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0"/>
    </row>
    <row r="654" ht="15.75" customHeight="1">
      <c r="I654" s="13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0"/>
    </row>
    <row r="655" ht="15.75" customHeight="1">
      <c r="I655" s="13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0"/>
    </row>
    <row r="656" ht="15.75" customHeight="1">
      <c r="I656" s="13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0"/>
    </row>
    <row r="657" ht="15.75" customHeight="1">
      <c r="I657" s="13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0"/>
    </row>
    <row r="658" ht="15.75" customHeight="1">
      <c r="I658" s="13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0"/>
    </row>
    <row r="659" ht="15.75" customHeight="1">
      <c r="I659" s="13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0"/>
    </row>
    <row r="660" ht="15.75" customHeight="1">
      <c r="I660" s="13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0"/>
    </row>
    <row r="661" ht="15.75" customHeight="1">
      <c r="I661" s="13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0"/>
    </row>
    <row r="662" ht="15.75" customHeight="1">
      <c r="I662" s="13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0"/>
    </row>
    <row r="663" ht="15.75" customHeight="1">
      <c r="I663" s="13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0"/>
    </row>
    <row r="664" ht="15.75" customHeight="1">
      <c r="I664" s="13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0"/>
    </row>
    <row r="665" ht="15.75" customHeight="1">
      <c r="I665" s="13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0"/>
    </row>
    <row r="666" ht="15.75" customHeight="1">
      <c r="I666" s="13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0"/>
    </row>
    <row r="667" ht="15.75" customHeight="1">
      <c r="I667" s="13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0"/>
    </row>
    <row r="668" ht="15.75" customHeight="1">
      <c r="I668" s="13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0"/>
    </row>
    <row r="669" ht="15.75" customHeight="1">
      <c r="I669" s="13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0"/>
    </row>
    <row r="670" ht="15.75" customHeight="1">
      <c r="I670" s="13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0"/>
    </row>
    <row r="671" ht="15.75" customHeight="1">
      <c r="I671" s="13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0"/>
    </row>
    <row r="672" ht="15.75" customHeight="1">
      <c r="I672" s="13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0"/>
    </row>
    <row r="673" ht="15.75" customHeight="1">
      <c r="I673" s="13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0"/>
    </row>
    <row r="674" ht="15.75" customHeight="1">
      <c r="I674" s="13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0"/>
    </row>
    <row r="675" ht="15.75" customHeight="1">
      <c r="I675" s="13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0"/>
    </row>
    <row r="676" ht="15.75" customHeight="1">
      <c r="I676" s="13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0"/>
    </row>
    <row r="677" ht="15.75" customHeight="1">
      <c r="I677" s="13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0"/>
    </row>
    <row r="678" ht="15.75" customHeight="1">
      <c r="I678" s="13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0"/>
    </row>
    <row r="679" ht="15.75" customHeight="1">
      <c r="I679" s="13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0"/>
    </row>
    <row r="680" ht="15.75" customHeight="1">
      <c r="I680" s="13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0"/>
    </row>
    <row r="681" ht="15.75" customHeight="1">
      <c r="I681" s="13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0"/>
    </row>
    <row r="682" ht="15.75" customHeight="1">
      <c r="I682" s="13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0"/>
    </row>
    <row r="683" ht="15.75" customHeight="1">
      <c r="I683" s="13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0"/>
    </row>
    <row r="684" ht="15.75" customHeight="1">
      <c r="I684" s="13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0"/>
    </row>
    <row r="685" ht="15.75" customHeight="1">
      <c r="I685" s="13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0"/>
    </row>
    <row r="686" ht="15.75" customHeight="1">
      <c r="I686" s="13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0"/>
    </row>
    <row r="687" ht="15.75" customHeight="1">
      <c r="I687" s="13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0"/>
    </row>
    <row r="688" ht="15.75" customHeight="1">
      <c r="I688" s="13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0"/>
    </row>
    <row r="689" ht="15.75" customHeight="1">
      <c r="I689" s="13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0"/>
    </row>
    <row r="690" ht="15.75" customHeight="1">
      <c r="I690" s="13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0"/>
    </row>
    <row r="691" ht="15.75" customHeight="1">
      <c r="I691" s="13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0"/>
    </row>
    <row r="692" ht="15.75" customHeight="1">
      <c r="I692" s="13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0"/>
    </row>
    <row r="693" ht="15.75" customHeight="1">
      <c r="I693" s="13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0"/>
    </row>
    <row r="694" ht="15.75" customHeight="1">
      <c r="I694" s="13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0"/>
    </row>
    <row r="695" ht="15.75" customHeight="1">
      <c r="I695" s="13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0"/>
    </row>
    <row r="696" ht="15.75" customHeight="1">
      <c r="I696" s="13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0"/>
    </row>
    <row r="697" ht="15.75" customHeight="1">
      <c r="I697" s="13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0"/>
    </row>
    <row r="698" ht="15.75" customHeight="1">
      <c r="I698" s="13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0"/>
    </row>
    <row r="699" ht="15.75" customHeight="1">
      <c r="I699" s="13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0"/>
    </row>
    <row r="700" ht="15.75" customHeight="1">
      <c r="I700" s="13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0"/>
    </row>
    <row r="701" ht="15.75" customHeight="1">
      <c r="I701" s="13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0"/>
    </row>
    <row r="702" ht="15.75" customHeight="1">
      <c r="I702" s="13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0"/>
    </row>
    <row r="703" ht="15.75" customHeight="1">
      <c r="I703" s="13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0"/>
    </row>
    <row r="704" ht="15.75" customHeight="1">
      <c r="I704" s="13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0"/>
    </row>
    <row r="705" ht="15.75" customHeight="1">
      <c r="I705" s="13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0"/>
    </row>
    <row r="706" ht="15.75" customHeight="1">
      <c r="I706" s="13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0"/>
    </row>
    <row r="707" ht="15.75" customHeight="1">
      <c r="I707" s="13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0"/>
    </row>
    <row r="708" ht="15.75" customHeight="1">
      <c r="I708" s="13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0"/>
    </row>
    <row r="709" ht="15.75" customHeight="1">
      <c r="I709" s="13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0"/>
    </row>
    <row r="710" ht="15.75" customHeight="1">
      <c r="I710" s="13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0"/>
    </row>
    <row r="711" ht="15.75" customHeight="1">
      <c r="I711" s="13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0"/>
    </row>
    <row r="712" ht="15.75" customHeight="1">
      <c r="I712" s="13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0"/>
    </row>
    <row r="713" ht="15.75" customHeight="1">
      <c r="I713" s="13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0"/>
    </row>
    <row r="714" ht="15.75" customHeight="1">
      <c r="I714" s="13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0"/>
    </row>
    <row r="715" ht="15.75" customHeight="1">
      <c r="I715" s="13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0"/>
    </row>
    <row r="716" ht="15.75" customHeight="1">
      <c r="I716" s="13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0"/>
    </row>
    <row r="717" ht="15.75" customHeight="1">
      <c r="I717" s="13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0"/>
    </row>
    <row r="718" ht="15.75" customHeight="1">
      <c r="I718" s="13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0"/>
    </row>
    <row r="719" ht="15.75" customHeight="1">
      <c r="I719" s="13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0"/>
    </row>
    <row r="720" ht="15.75" customHeight="1">
      <c r="I720" s="13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0"/>
    </row>
    <row r="721" ht="15.75" customHeight="1">
      <c r="I721" s="13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0"/>
    </row>
    <row r="722" ht="15.75" customHeight="1">
      <c r="I722" s="13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0"/>
    </row>
    <row r="723" ht="15.75" customHeight="1">
      <c r="I723" s="13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0"/>
    </row>
    <row r="724" ht="15.75" customHeight="1">
      <c r="I724" s="13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0"/>
    </row>
    <row r="725" ht="15.75" customHeight="1">
      <c r="I725" s="13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0"/>
    </row>
    <row r="726" ht="15.75" customHeight="1">
      <c r="I726" s="13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0"/>
    </row>
    <row r="727" ht="15.75" customHeight="1">
      <c r="I727" s="13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0"/>
    </row>
    <row r="728" ht="15.75" customHeight="1">
      <c r="I728" s="13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0"/>
    </row>
    <row r="729" ht="15.75" customHeight="1">
      <c r="I729" s="13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0"/>
    </row>
    <row r="730" ht="15.75" customHeight="1">
      <c r="I730" s="13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0"/>
    </row>
    <row r="731" ht="15.75" customHeight="1">
      <c r="I731" s="13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0"/>
    </row>
    <row r="732" ht="15.75" customHeight="1">
      <c r="I732" s="13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0"/>
    </row>
    <row r="733" ht="15.75" customHeight="1">
      <c r="I733" s="13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0"/>
    </row>
    <row r="734" ht="15.75" customHeight="1">
      <c r="I734" s="13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0"/>
    </row>
    <row r="735" ht="15.75" customHeight="1">
      <c r="I735" s="13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0"/>
    </row>
    <row r="736" ht="15.75" customHeight="1">
      <c r="I736" s="13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0"/>
    </row>
    <row r="737" ht="15.75" customHeight="1">
      <c r="I737" s="13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0"/>
    </row>
    <row r="738" ht="15.75" customHeight="1">
      <c r="I738" s="13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0"/>
    </row>
    <row r="739" ht="15.75" customHeight="1">
      <c r="I739" s="13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0"/>
    </row>
    <row r="740" ht="15.75" customHeight="1">
      <c r="I740" s="13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0"/>
    </row>
    <row r="741" ht="15.75" customHeight="1">
      <c r="I741" s="13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0"/>
    </row>
    <row r="742" ht="15.75" customHeight="1">
      <c r="I742" s="13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0"/>
    </row>
    <row r="743" ht="15.75" customHeight="1">
      <c r="I743" s="13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0"/>
    </row>
    <row r="744" ht="15.75" customHeight="1">
      <c r="I744" s="13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0"/>
    </row>
    <row r="745" ht="15.75" customHeight="1">
      <c r="I745" s="13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0"/>
    </row>
    <row r="746" ht="15.75" customHeight="1">
      <c r="I746" s="13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0"/>
    </row>
    <row r="747" ht="15.75" customHeight="1">
      <c r="I747" s="13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0"/>
    </row>
    <row r="748" ht="15.75" customHeight="1">
      <c r="I748" s="13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0"/>
    </row>
    <row r="749" ht="15.75" customHeight="1">
      <c r="I749" s="13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0"/>
    </row>
    <row r="750" ht="15.75" customHeight="1">
      <c r="I750" s="13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0"/>
    </row>
    <row r="751" ht="15.75" customHeight="1">
      <c r="I751" s="13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0"/>
    </row>
    <row r="752" ht="15.75" customHeight="1">
      <c r="I752" s="13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0"/>
    </row>
    <row r="753" ht="15.75" customHeight="1">
      <c r="I753" s="13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0"/>
    </row>
    <row r="754" ht="15.75" customHeight="1">
      <c r="I754" s="13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0"/>
    </row>
    <row r="755" ht="15.75" customHeight="1">
      <c r="I755" s="13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0"/>
    </row>
    <row r="756" ht="15.75" customHeight="1">
      <c r="I756" s="13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0"/>
    </row>
    <row r="757" ht="15.75" customHeight="1">
      <c r="I757" s="13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0"/>
    </row>
    <row r="758" ht="15.75" customHeight="1">
      <c r="I758" s="13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0"/>
    </row>
    <row r="759" ht="15.75" customHeight="1">
      <c r="I759" s="13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0"/>
    </row>
    <row r="760" ht="15.75" customHeight="1">
      <c r="I760" s="13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0"/>
    </row>
    <row r="761" ht="15.75" customHeight="1">
      <c r="I761" s="13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0"/>
    </row>
    <row r="762" ht="15.75" customHeight="1">
      <c r="I762" s="13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0"/>
    </row>
    <row r="763" ht="15.75" customHeight="1">
      <c r="I763" s="13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0"/>
    </row>
    <row r="764" ht="15.75" customHeight="1">
      <c r="I764" s="13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0"/>
    </row>
    <row r="765" ht="15.75" customHeight="1">
      <c r="I765" s="13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0"/>
    </row>
    <row r="766" ht="15.75" customHeight="1">
      <c r="I766" s="13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0"/>
    </row>
    <row r="767" ht="15.75" customHeight="1">
      <c r="I767" s="13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0"/>
    </row>
    <row r="768" ht="15.75" customHeight="1">
      <c r="I768" s="13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0"/>
    </row>
    <row r="769" ht="15.75" customHeight="1">
      <c r="I769" s="13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0"/>
    </row>
    <row r="770" ht="15.75" customHeight="1">
      <c r="I770" s="13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0"/>
    </row>
    <row r="771" ht="15.75" customHeight="1">
      <c r="I771" s="13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0"/>
    </row>
    <row r="772" ht="15.75" customHeight="1">
      <c r="I772" s="13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0"/>
    </row>
    <row r="773" ht="15.75" customHeight="1">
      <c r="I773" s="13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0"/>
    </row>
    <row r="774" ht="15.75" customHeight="1">
      <c r="I774" s="13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0"/>
    </row>
    <row r="775" ht="15.75" customHeight="1">
      <c r="I775" s="13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0"/>
    </row>
    <row r="776" ht="15.75" customHeight="1">
      <c r="I776" s="13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0"/>
    </row>
    <row r="777" ht="15.75" customHeight="1">
      <c r="I777" s="13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0"/>
    </row>
    <row r="778" ht="15.75" customHeight="1">
      <c r="I778" s="13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0"/>
    </row>
    <row r="779" ht="15.75" customHeight="1">
      <c r="I779" s="13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0"/>
    </row>
    <row r="780" ht="15.75" customHeight="1">
      <c r="I780" s="13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0"/>
    </row>
    <row r="781" ht="15.75" customHeight="1">
      <c r="I781" s="13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0"/>
    </row>
    <row r="782" ht="15.75" customHeight="1">
      <c r="I782" s="13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0"/>
    </row>
    <row r="783" ht="15.75" customHeight="1">
      <c r="I783" s="13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0"/>
    </row>
    <row r="784" ht="15.75" customHeight="1">
      <c r="I784" s="13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0"/>
    </row>
    <row r="785" ht="15.75" customHeight="1">
      <c r="I785" s="13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0"/>
    </row>
    <row r="786" ht="15.75" customHeight="1">
      <c r="I786" s="13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0"/>
    </row>
    <row r="787" ht="15.75" customHeight="1">
      <c r="I787" s="13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0"/>
    </row>
    <row r="788" ht="15.75" customHeight="1">
      <c r="I788" s="13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0"/>
    </row>
    <row r="789" ht="15.75" customHeight="1">
      <c r="I789" s="13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0"/>
    </row>
    <row r="790" ht="15.75" customHeight="1">
      <c r="I790" s="13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0"/>
    </row>
    <row r="791" ht="15.75" customHeight="1">
      <c r="I791" s="13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0"/>
    </row>
    <row r="792" ht="15.75" customHeight="1">
      <c r="I792" s="13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0"/>
    </row>
    <row r="793" ht="15.75" customHeight="1">
      <c r="I793" s="13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0"/>
    </row>
    <row r="794" ht="15.75" customHeight="1">
      <c r="I794" s="13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0"/>
    </row>
    <row r="795" ht="15.75" customHeight="1">
      <c r="I795" s="13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0"/>
    </row>
    <row r="796" ht="15.75" customHeight="1">
      <c r="I796" s="13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0"/>
    </row>
    <row r="797" ht="15.75" customHeight="1">
      <c r="I797" s="13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0"/>
    </row>
    <row r="798" ht="15.75" customHeight="1">
      <c r="I798" s="13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0"/>
    </row>
    <row r="799" ht="15.75" customHeight="1">
      <c r="I799" s="13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0"/>
    </row>
    <row r="800" ht="15.75" customHeight="1">
      <c r="I800" s="13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0"/>
    </row>
    <row r="801" ht="15.75" customHeight="1">
      <c r="I801" s="13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0"/>
    </row>
    <row r="802" ht="15.75" customHeight="1">
      <c r="I802" s="13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0"/>
    </row>
    <row r="803" ht="15.75" customHeight="1">
      <c r="I803" s="13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0"/>
    </row>
    <row r="804" ht="15.75" customHeight="1">
      <c r="I804" s="13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0"/>
    </row>
    <row r="805" ht="15.75" customHeight="1">
      <c r="I805" s="13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0"/>
    </row>
    <row r="806" ht="15.75" customHeight="1">
      <c r="I806" s="13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0"/>
    </row>
    <row r="807" ht="15.75" customHeight="1">
      <c r="I807" s="13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0"/>
    </row>
    <row r="808" ht="15.75" customHeight="1">
      <c r="I808" s="13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0"/>
    </row>
    <row r="809" ht="15.75" customHeight="1">
      <c r="I809" s="13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0"/>
    </row>
    <row r="810" ht="15.75" customHeight="1">
      <c r="I810" s="13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0"/>
    </row>
    <row r="811" ht="15.75" customHeight="1">
      <c r="I811" s="13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0"/>
    </row>
    <row r="812" ht="15.75" customHeight="1">
      <c r="I812" s="13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0"/>
    </row>
    <row r="813" ht="15.75" customHeight="1">
      <c r="I813" s="13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0"/>
    </row>
    <row r="814" ht="15.75" customHeight="1">
      <c r="I814" s="13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0"/>
    </row>
    <row r="815" ht="15.75" customHeight="1">
      <c r="I815" s="13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0"/>
    </row>
    <row r="816" ht="15.75" customHeight="1">
      <c r="I816" s="13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0"/>
    </row>
    <row r="817" ht="15.75" customHeight="1">
      <c r="I817" s="13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0"/>
    </row>
    <row r="818" ht="15.75" customHeight="1">
      <c r="I818" s="13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0"/>
    </row>
    <row r="819" ht="15.75" customHeight="1">
      <c r="I819" s="13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0"/>
    </row>
    <row r="820" ht="15.75" customHeight="1">
      <c r="I820" s="13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0"/>
    </row>
    <row r="821" ht="15.75" customHeight="1">
      <c r="I821" s="13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0"/>
    </row>
    <row r="822" ht="15.75" customHeight="1">
      <c r="I822" s="13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0"/>
    </row>
    <row r="823" ht="15.75" customHeight="1">
      <c r="I823" s="13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0"/>
    </row>
    <row r="824" ht="15.75" customHeight="1">
      <c r="I824" s="13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0"/>
    </row>
    <row r="825" ht="15.75" customHeight="1">
      <c r="I825" s="13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0"/>
    </row>
    <row r="826" ht="15.75" customHeight="1">
      <c r="I826" s="13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0"/>
    </row>
    <row r="827" ht="15.75" customHeight="1">
      <c r="I827" s="13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0"/>
    </row>
    <row r="828" ht="15.75" customHeight="1">
      <c r="I828" s="13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0"/>
    </row>
    <row r="829" ht="15.75" customHeight="1">
      <c r="I829" s="13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0"/>
    </row>
    <row r="830" ht="15.75" customHeight="1">
      <c r="I830" s="13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0"/>
    </row>
    <row r="831" ht="15.75" customHeight="1">
      <c r="I831" s="13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0"/>
    </row>
    <row r="832" ht="15.75" customHeight="1">
      <c r="I832" s="13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0"/>
    </row>
    <row r="833" ht="15.75" customHeight="1">
      <c r="I833" s="13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0"/>
    </row>
    <row r="834" ht="15.75" customHeight="1">
      <c r="I834" s="13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0"/>
    </row>
    <row r="835" ht="15.75" customHeight="1">
      <c r="I835" s="13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0"/>
    </row>
    <row r="836" ht="15.75" customHeight="1">
      <c r="I836" s="13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0"/>
    </row>
    <row r="837" ht="15.75" customHeight="1">
      <c r="I837" s="13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0"/>
    </row>
    <row r="838" ht="15.75" customHeight="1">
      <c r="I838" s="13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0"/>
    </row>
    <row r="839" ht="15.75" customHeight="1">
      <c r="I839" s="13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0"/>
    </row>
    <row r="840" ht="15.75" customHeight="1">
      <c r="I840" s="13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0"/>
    </row>
    <row r="841" ht="15.75" customHeight="1">
      <c r="I841" s="13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0"/>
    </row>
    <row r="842" ht="15.75" customHeight="1">
      <c r="I842" s="13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0"/>
    </row>
    <row r="843" ht="15.75" customHeight="1">
      <c r="I843" s="13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0"/>
    </row>
    <row r="844" ht="15.75" customHeight="1">
      <c r="I844" s="13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0"/>
    </row>
    <row r="845" ht="15.75" customHeight="1">
      <c r="I845" s="13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0"/>
    </row>
    <row r="846" ht="15.75" customHeight="1">
      <c r="I846" s="13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0"/>
    </row>
    <row r="847" ht="15.75" customHeight="1">
      <c r="I847" s="13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0"/>
    </row>
    <row r="848" ht="15.75" customHeight="1">
      <c r="I848" s="13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0"/>
    </row>
    <row r="849" ht="15.75" customHeight="1">
      <c r="I849" s="13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0"/>
    </row>
    <row r="850" ht="15.75" customHeight="1">
      <c r="I850" s="13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0"/>
    </row>
    <row r="851" ht="15.75" customHeight="1">
      <c r="I851" s="13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0"/>
    </row>
    <row r="852" ht="15.75" customHeight="1">
      <c r="I852" s="13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0"/>
    </row>
    <row r="853" ht="15.75" customHeight="1">
      <c r="I853" s="13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0"/>
    </row>
    <row r="854" ht="15.75" customHeight="1">
      <c r="I854" s="13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0"/>
    </row>
    <row r="855" ht="15.75" customHeight="1">
      <c r="I855" s="13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0"/>
    </row>
    <row r="856" ht="15.75" customHeight="1">
      <c r="I856" s="13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0"/>
    </row>
    <row r="857" ht="15.75" customHeight="1">
      <c r="I857" s="13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0"/>
    </row>
    <row r="858" ht="15.75" customHeight="1">
      <c r="I858" s="13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0"/>
    </row>
    <row r="859" ht="15.75" customHeight="1">
      <c r="I859" s="13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0"/>
    </row>
    <row r="860" ht="15.75" customHeight="1">
      <c r="I860" s="13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0"/>
    </row>
    <row r="861" ht="15.75" customHeight="1">
      <c r="I861" s="13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0"/>
    </row>
    <row r="862" ht="15.75" customHeight="1">
      <c r="I862" s="13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0"/>
    </row>
    <row r="863" ht="15.75" customHeight="1">
      <c r="I863" s="13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0"/>
    </row>
    <row r="864" ht="15.75" customHeight="1">
      <c r="I864" s="13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0"/>
    </row>
    <row r="865" ht="15.75" customHeight="1">
      <c r="I865" s="13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0"/>
    </row>
    <row r="866" ht="15.75" customHeight="1">
      <c r="I866" s="13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0"/>
    </row>
    <row r="867" ht="15.75" customHeight="1">
      <c r="I867" s="13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0"/>
    </row>
    <row r="868" ht="15.75" customHeight="1">
      <c r="I868" s="13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0"/>
    </row>
    <row r="869" ht="15.75" customHeight="1">
      <c r="I869" s="13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0"/>
    </row>
    <row r="870" ht="15.75" customHeight="1">
      <c r="I870" s="13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0"/>
    </row>
    <row r="871" ht="15.75" customHeight="1">
      <c r="I871" s="13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0"/>
    </row>
    <row r="872" ht="15.75" customHeight="1">
      <c r="I872" s="13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0"/>
    </row>
    <row r="873" ht="15.75" customHeight="1">
      <c r="I873" s="13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0"/>
    </row>
    <row r="874" ht="15.75" customHeight="1">
      <c r="I874" s="13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0"/>
    </row>
    <row r="875" ht="15.75" customHeight="1">
      <c r="I875" s="13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0"/>
    </row>
    <row r="876" ht="15.75" customHeight="1">
      <c r="I876" s="13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0"/>
    </row>
    <row r="877" ht="15.75" customHeight="1">
      <c r="I877" s="13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0"/>
    </row>
    <row r="878" ht="15.75" customHeight="1">
      <c r="I878" s="13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0"/>
    </row>
    <row r="879" ht="15.75" customHeight="1">
      <c r="I879" s="13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0"/>
    </row>
    <row r="880" ht="15.75" customHeight="1">
      <c r="I880" s="13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0"/>
    </row>
    <row r="881" ht="15.75" customHeight="1">
      <c r="I881" s="13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0"/>
    </row>
    <row r="882" ht="15.75" customHeight="1">
      <c r="I882" s="13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0"/>
    </row>
    <row r="883" ht="15.75" customHeight="1">
      <c r="I883" s="13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0"/>
    </row>
    <row r="884" ht="15.75" customHeight="1">
      <c r="I884" s="13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0"/>
    </row>
    <row r="885" ht="15.75" customHeight="1">
      <c r="I885" s="13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0"/>
    </row>
    <row r="886" ht="15.75" customHeight="1">
      <c r="I886" s="13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0"/>
    </row>
    <row r="887" ht="15.75" customHeight="1">
      <c r="I887" s="13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0"/>
    </row>
    <row r="888" ht="15.75" customHeight="1">
      <c r="I888" s="13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0"/>
    </row>
    <row r="889" ht="15.75" customHeight="1">
      <c r="I889" s="13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0"/>
    </row>
    <row r="890" ht="15.75" customHeight="1">
      <c r="I890" s="13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0"/>
    </row>
    <row r="891" ht="15.75" customHeight="1">
      <c r="I891" s="13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0"/>
    </row>
    <row r="892" ht="15.75" customHeight="1">
      <c r="I892" s="13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0"/>
    </row>
    <row r="893" ht="15.75" customHeight="1">
      <c r="I893" s="13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0"/>
    </row>
    <row r="894" ht="15.75" customHeight="1">
      <c r="I894" s="13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0"/>
    </row>
    <row r="895" ht="15.75" customHeight="1">
      <c r="I895" s="13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0"/>
    </row>
    <row r="896" ht="15.75" customHeight="1">
      <c r="I896" s="13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0"/>
    </row>
    <row r="897" ht="15.75" customHeight="1">
      <c r="I897" s="13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0"/>
    </row>
    <row r="898" ht="15.75" customHeight="1">
      <c r="I898" s="13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0"/>
    </row>
    <row r="899" ht="15.75" customHeight="1">
      <c r="I899" s="13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0"/>
    </row>
    <row r="900" ht="15.75" customHeight="1">
      <c r="I900" s="13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0"/>
    </row>
    <row r="901" ht="15.75" customHeight="1">
      <c r="I901" s="13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0"/>
    </row>
    <row r="902" ht="15.75" customHeight="1">
      <c r="I902" s="13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0"/>
    </row>
    <row r="903" ht="15.75" customHeight="1">
      <c r="I903" s="13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0"/>
    </row>
    <row r="904" ht="15.75" customHeight="1">
      <c r="I904" s="13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0"/>
    </row>
    <row r="905" ht="15.75" customHeight="1">
      <c r="I905" s="13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0"/>
    </row>
    <row r="906" ht="15.75" customHeight="1">
      <c r="I906" s="13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0"/>
    </row>
    <row r="907" ht="15.75" customHeight="1">
      <c r="I907" s="13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0"/>
    </row>
    <row r="908" ht="15.75" customHeight="1">
      <c r="I908" s="13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0"/>
    </row>
    <row r="909" ht="15.75" customHeight="1">
      <c r="I909" s="13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0"/>
    </row>
    <row r="910" ht="15.75" customHeight="1">
      <c r="I910" s="13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0"/>
    </row>
    <row r="911" ht="15.75" customHeight="1">
      <c r="I911" s="13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0"/>
    </row>
    <row r="912" ht="15.75" customHeight="1">
      <c r="I912" s="13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0"/>
    </row>
    <row r="913" ht="15.75" customHeight="1">
      <c r="I913" s="13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0"/>
    </row>
    <row r="914" ht="15.75" customHeight="1">
      <c r="I914" s="13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0"/>
    </row>
    <row r="915" ht="15.75" customHeight="1">
      <c r="I915" s="13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0"/>
    </row>
    <row r="916" ht="15.75" customHeight="1">
      <c r="I916" s="13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0"/>
    </row>
    <row r="917" ht="15.75" customHeight="1">
      <c r="I917" s="13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0"/>
    </row>
    <row r="918" ht="15.75" customHeight="1">
      <c r="I918" s="13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0"/>
    </row>
    <row r="919" ht="15.75" customHeight="1">
      <c r="I919" s="13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0"/>
    </row>
    <row r="920" ht="15.75" customHeight="1">
      <c r="I920" s="13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0"/>
    </row>
    <row r="921" ht="15.75" customHeight="1">
      <c r="I921" s="13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0"/>
    </row>
    <row r="922" ht="15.75" customHeight="1">
      <c r="I922" s="13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0"/>
    </row>
    <row r="923" ht="15.75" customHeight="1">
      <c r="I923" s="13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0"/>
    </row>
    <row r="924" ht="15.75" customHeight="1">
      <c r="I924" s="13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0"/>
    </row>
    <row r="925" ht="15.75" customHeight="1">
      <c r="I925" s="13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0"/>
    </row>
    <row r="926" ht="15.75" customHeight="1">
      <c r="I926" s="13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0"/>
    </row>
    <row r="927" ht="15.75" customHeight="1">
      <c r="I927" s="13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0"/>
    </row>
    <row r="928" ht="15.75" customHeight="1">
      <c r="I928" s="13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0"/>
    </row>
    <row r="929" ht="15.75" customHeight="1">
      <c r="I929" s="13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0"/>
    </row>
    <row r="930" ht="15.75" customHeight="1">
      <c r="I930" s="13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0"/>
    </row>
    <row r="931" ht="15.75" customHeight="1">
      <c r="I931" s="13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0"/>
    </row>
    <row r="932" ht="15.75" customHeight="1">
      <c r="I932" s="13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0"/>
    </row>
    <row r="933" ht="15.75" customHeight="1">
      <c r="I933" s="13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0"/>
    </row>
    <row r="934" ht="15.75" customHeight="1">
      <c r="I934" s="13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0"/>
    </row>
    <row r="935" ht="15.75" customHeight="1">
      <c r="I935" s="13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0"/>
    </row>
    <row r="936" ht="15.75" customHeight="1">
      <c r="I936" s="13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0"/>
    </row>
    <row r="937" ht="15.75" customHeight="1">
      <c r="I937" s="13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0"/>
    </row>
    <row r="938" ht="15.75" customHeight="1">
      <c r="I938" s="13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0"/>
    </row>
    <row r="939" ht="15.75" customHeight="1">
      <c r="I939" s="13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0"/>
    </row>
    <row r="940" ht="15.75" customHeight="1">
      <c r="I940" s="13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0"/>
    </row>
    <row r="941" ht="15.75" customHeight="1">
      <c r="I941" s="13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0"/>
    </row>
    <row r="942" ht="15.75" customHeight="1">
      <c r="I942" s="13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0"/>
    </row>
    <row r="943" ht="15.75" customHeight="1">
      <c r="I943" s="13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0"/>
    </row>
    <row r="944" ht="15.75" customHeight="1">
      <c r="I944" s="13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0"/>
    </row>
    <row r="945" ht="15.75" customHeight="1">
      <c r="I945" s="13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0"/>
    </row>
    <row r="946" ht="15.75" customHeight="1">
      <c r="I946" s="13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0"/>
    </row>
    <row r="947" ht="15.75" customHeight="1">
      <c r="I947" s="13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0"/>
    </row>
    <row r="948" ht="15.75" customHeight="1">
      <c r="I948" s="13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0"/>
    </row>
    <row r="949" ht="15.75" customHeight="1">
      <c r="I949" s="13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0"/>
    </row>
    <row r="950" ht="15.75" customHeight="1">
      <c r="I950" s="13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0"/>
    </row>
    <row r="951" ht="15.75" customHeight="1">
      <c r="I951" s="13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0"/>
    </row>
    <row r="952" ht="15.75" customHeight="1">
      <c r="I952" s="13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0"/>
    </row>
    <row r="953" ht="15.75" customHeight="1">
      <c r="I953" s="13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0"/>
    </row>
    <row r="954" ht="15.75" customHeight="1">
      <c r="I954" s="13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0"/>
    </row>
    <row r="955" ht="15.75" customHeight="1">
      <c r="I955" s="13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0"/>
    </row>
    <row r="956" ht="15.75" customHeight="1">
      <c r="I956" s="13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0"/>
    </row>
    <row r="957" ht="15.75" customHeight="1">
      <c r="I957" s="13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0"/>
    </row>
    <row r="958" ht="15.75" customHeight="1">
      <c r="I958" s="13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0"/>
    </row>
    <row r="959" ht="15.75" customHeight="1">
      <c r="I959" s="13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0"/>
    </row>
    <row r="960" ht="15.75" customHeight="1">
      <c r="I960" s="13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0"/>
    </row>
    <row r="961" ht="15.75" customHeight="1">
      <c r="I961" s="13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0"/>
    </row>
    <row r="962" ht="15.75" customHeight="1">
      <c r="I962" s="13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0"/>
    </row>
    <row r="963" ht="15.75" customHeight="1">
      <c r="I963" s="13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0"/>
    </row>
    <row r="964" ht="15.75" customHeight="1">
      <c r="I964" s="13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0"/>
    </row>
    <row r="965" ht="15.75" customHeight="1">
      <c r="I965" s="13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0"/>
    </row>
    <row r="966" ht="15.75" customHeight="1">
      <c r="I966" s="13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0"/>
    </row>
    <row r="967" ht="15.75" customHeight="1">
      <c r="I967" s="13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0"/>
    </row>
    <row r="968" ht="15.75" customHeight="1">
      <c r="I968" s="13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0"/>
    </row>
    <row r="969" ht="15.75" customHeight="1">
      <c r="I969" s="13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0"/>
    </row>
    <row r="970" ht="15.75" customHeight="1">
      <c r="I970" s="13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0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22" t="s">
        <v>408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H107" s="83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H110" s="83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H112" s="83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119" t="s">
        <v>315</v>
      </c>
      <c r="D1" s="120"/>
      <c r="E1" s="120"/>
      <c r="F1" s="136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8"/>
    </row>
    <row r="2">
      <c r="F2" s="13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0"/>
    </row>
    <row r="3">
      <c r="C3" s="121" t="s">
        <v>1</v>
      </c>
      <c r="D3" s="122" t="s">
        <v>316</v>
      </c>
      <c r="E3" s="121"/>
      <c r="F3" s="13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0"/>
    </row>
    <row r="4">
      <c r="C4" s="121" t="s">
        <v>3</v>
      </c>
      <c r="D4" s="122" t="s">
        <v>409</v>
      </c>
      <c r="F4" s="12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0"/>
    </row>
    <row r="5">
      <c r="C5" s="66" t="s">
        <v>410</v>
      </c>
      <c r="F5" s="145" t="s">
        <v>411</v>
      </c>
      <c r="G5" s="14"/>
      <c r="H5" s="14"/>
      <c r="I5" s="22" t="s">
        <v>412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0"/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F7" s="83"/>
      <c r="H7" s="83">
        <v>44993.0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F8" s="83"/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F9" s="83"/>
      <c r="H9" s="83">
        <v>44993.0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F10" s="83"/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  <c r="F11" s="83"/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F12" s="83"/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F13" s="83"/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  <c r="F14" s="83"/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F15" s="83"/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F16" s="83"/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  <c r="F17" s="83"/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F18" s="83"/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F19" s="83"/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  <c r="F20" s="83"/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F21" s="83"/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F22" s="83"/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F23" s="83"/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F24" s="83"/>
      <c r="H24" s="83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413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F25" s="83"/>
      <c r="H25" s="83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0.72</v>
      </c>
      <c r="BF25" s="66">
        <v>0.174</v>
      </c>
      <c r="BH25" s="66" t="s">
        <v>414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  <c r="F26" s="83"/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F27" s="83"/>
      <c r="H27" s="83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415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  <c r="F28" s="83"/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  <c r="F29" s="83"/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F30" s="83"/>
      <c r="H30" s="83">
        <v>44628.0</v>
      </c>
      <c r="I30" s="66">
        <v>1.46</v>
      </c>
      <c r="L30" s="66">
        <v>1.442</v>
      </c>
      <c r="AG30" s="82">
        <f>0.2124+0.339</f>
        <v>0.5514</v>
      </c>
      <c r="AH30" s="82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F31" s="83"/>
      <c r="H31" s="83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F32" s="83"/>
      <c r="H32" s="83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2">
        <f>0.3702+0.2041</f>
        <v>0.5743</v>
      </c>
      <c r="BF32" s="66">
        <v>0.257</v>
      </c>
      <c r="BH32" s="66" t="s">
        <v>416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F33" s="83"/>
      <c r="H33" s="83">
        <v>44993.0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F34" s="83"/>
      <c r="H34" s="83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F35" s="83"/>
      <c r="H35" s="83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1.225</v>
      </c>
      <c r="BF35" s="66">
        <v>0.748</v>
      </c>
      <c r="BH35" s="66" t="s">
        <v>417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F36" s="83"/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F37" s="83"/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F38" s="83"/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F39" s="83"/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F40" s="83"/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F41" s="83"/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F42" s="83"/>
      <c r="H42" s="83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  <c r="F43" s="83"/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F44" s="83"/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  <c r="F45" s="83"/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F46" s="83"/>
      <c r="H46" s="83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418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F47" s="83"/>
      <c r="H47" s="83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F48" s="83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F49" s="83"/>
      <c r="H49" s="83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419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F50" s="83"/>
      <c r="H50" s="83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F51" s="83"/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F52" s="83"/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F53" s="83"/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F54" s="83"/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F55" s="83"/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F56" s="83"/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F57" s="83"/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F58" s="83"/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F59" s="83"/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F60" s="83"/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F61" s="83"/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F62" s="83"/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F63" s="83"/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F64" s="83"/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F65" s="83"/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F66" s="83"/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F67" s="83"/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F68" s="83"/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F69" s="83"/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F70" s="83"/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F71" s="83"/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F72" s="83"/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F73" s="83"/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F74" s="83"/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F75" s="83"/>
      <c r="H75" s="83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F76" s="83"/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F77" s="83"/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F78" s="83"/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F79" s="83"/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F80" s="83"/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F81" s="83"/>
      <c r="H81" s="83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0.0351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F82" s="83"/>
      <c r="H82" s="83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F83" s="83"/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F84" s="83"/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F85" s="83"/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F86" s="83"/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F87" s="83"/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F88" s="83"/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F89" s="83"/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F90" s="83"/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F91" s="83"/>
      <c r="H91" s="83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F92" s="83"/>
      <c r="H92" s="83">
        <v>44631.0</v>
      </c>
      <c r="I92" s="66">
        <v>1.201</v>
      </c>
      <c r="L92" s="66">
        <v>1.29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F93" s="83"/>
      <c r="H93" s="83">
        <v>44631.0</v>
      </c>
      <c r="I93" s="66">
        <v>1.52</v>
      </c>
      <c r="L93" s="66">
        <v>1.45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F94" s="83"/>
      <c r="H94" s="83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  <c r="F95" s="83"/>
    </row>
    <row r="96">
      <c r="A96" s="129"/>
      <c r="B96" s="124" t="s">
        <v>58</v>
      </c>
      <c r="C96" s="129" t="s">
        <v>87</v>
      </c>
      <c r="D96" s="130" t="s">
        <v>61</v>
      </c>
      <c r="E96" s="130"/>
      <c r="F96" s="83"/>
    </row>
    <row r="97">
      <c r="A97" s="129"/>
      <c r="B97" s="124" t="s">
        <v>58</v>
      </c>
      <c r="C97" s="129" t="s">
        <v>87</v>
      </c>
      <c r="D97" s="130" t="s">
        <v>61</v>
      </c>
      <c r="E97" s="130"/>
      <c r="F97" s="83"/>
    </row>
    <row r="98">
      <c r="A98" s="129"/>
      <c r="B98" s="124" t="s">
        <v>58</v>
      </c>
      <c r="C98" s="129" t="s">
        <v>87</v>
      </c>
      <c r="D98" s="130" t="s">
        <v>61</v>
      </c>
      <c r="E98" s="130"/>
      <c r="F98" s="83"/>
    </row>
    <row r="99">
      <c r="A99" s="129"/>
      <c r="B99" s="124" t="s">
        <v>58</v>
      </c>
      <c r="C99" s="129" t="s">
        <v>87</v>
      </c>
      <c r="D99" s="130" t="s">
        <v>61</v>
      </c>
      <c r="E99" s="130"/>
      <c r="F99" s="83"/>
    </row>
    <row r="100">
      <c r="A100" s="129"/>
      <c r="B100" s="124" t="s">
        <v>58</v>
      </c>
      <c r="C100" s="129" t="s">
        <v>88</v>
      </c>
      <c r="D100" s="130" t="s">
        <v>61</v>
      </c>
      <c r="E100" s="130"/>
      <c r="F100" s="83"/>
    </row>
    <row r="101">
      <c r="A101" s="129"/>
      <c r="B101" s="124" t="s">
        <v>58</v>
      </c>
      <c r="C101" s="129" t="s">
        <v>88</v>
      </c>
      <c r="D101" s="130" t="s">
        <v>61</v>
      </c>
      <c r="E101" s="130"/>
      <c r="F101" s="83"/>
    </row>
    <row r="102">
      <c r="A102" s="129"/>
      <c r="B102" s="124" t="s">
        <v>58</v>
      </c>
      <c r="C102" s="129" t="s">
        <v>88</v>
      </c>
      <c r="D102" s="130" t="s">
        <v>61</v>
      </c>
      <c r="E102" s="130"/>
      <c r="F102" s="83"/>
    </row>
    <row r="103">
      <c r="A103" s="129"/>
      <c r="B103" s="124" t="s">
        <v>58</v>
      </c>
      <c r="C103" s="129" t="s">
        <v>88</v>
      </c>
      <c r="D103" s="130" t="s">
        <v>61</v>
      </c>
      <c r="E103" s="130"/>
      <c r="F103" s="83"/>
    </row>
    <row r="104">
      <c r="A104" s="129"/>
      <c r="B104" s="124" t="s">
        <v>58</v>
      </c>
      <c r="C104" s="129" t="s">
        <v>88</v>
      </c>
      <c r="D104" s="130" t="s">
        <v>61</v>
      </c>
      <c r="E104" s="130"/>
      <c r="F104" s="83"/>
    </row>
    <row r="105">
      <c r="A105" s="121"/>
      <c r="B105" s="124" t="s">
        <v>58</v>
      </c>
      <c r="C105" s="121" t="s">
        <v>89</v>
      </c>
      <c r="D105" s="121" t="s">
        <v>56</v>
      </c>
      <c r="E105" s="121"/>
      <c r="F105" s="83"/>
    </row>
    <row r="106">
      <c r="A106" s="121"/>
      <c r="B106" s="124" t="s">
        <v>58</v>
      </c>
      <c r="C106" s="121" t="s">
        <v>89</v>
      </c>
      <c r="D106" s="121" t="s">
        <v>56</v>
      </c>
      <c r="E106" s="121"/>
      <c r="F106" s="83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F107" s="83"/>
      <c r="H107" s="83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H110" s="83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420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H111" s="83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H112" s="83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H113" s="83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H114" s="83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H115" s="83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H116" s="83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24" t="s">
        <v>107</v>
      </c>
      <c r="C117" s="66" t="s">
        <v>104</v>
      </c>
      <c r="D117" s="132" t="s">
        <v>160</v>
      </c>
      <c r="E117" s="66" t="s">
        <v>163</v>
      </c>
      <c r="H117" s="83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24" t="s">
        <v>143</v>
      </c>
      <c r="C118" s="66" t="s">
        <v>89</v>
      </c>
      <c r="D118" s="132" t="s">
        <v>160</v>
      </c>
      <c r="E118" s="66" t="s">
        <v>165</v>
      </c>
      <c r="H118" s="83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24" t="s">
        <v>143</v>
      </c>
      <c r="C119" s="66" t="s">
        <v>89</v>
      </c>
      <c r="D119" s="132" t="s">
        <v>95</v>
      </c>
      <c r="E119" s="66" t="s">
        <v>164</v>
      </c>
      <c r="H119" s="83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24" t="s">
        <v>124</v>
      </c>
      <c r="C120" s="66" t="s">
        <v>124</v>
      </c>
      <c r="D120" s="132" t="s">
        <v>95</v>
      </c>
      <c r="E120" s="66" t="s">
        <v>159</v>
      </c>
      <c r="H120" s="83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24" t="s">
        <v>107</v>
      </c>
      <c r="C121" s="66" t="s">
        <v>104</v>
      </c>
      <c r="D121" s="132" t="s">
        <v>95</v>
      </c>
      <c r="E121" s="66" t="s">
        <v>162</v>
      </c>
      <c r="H121" s="83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24" t="s">
        <v>105</v>
      </c>
      <c r="C122" s="66" t="s">
        <v>370</v>
      </c>
      <c r="D122" s="132" t="s">
        <v>56</v>
      </c>
      <c r="E122" s="66">
        <v>2093.0</v>
      </c>
      <c r="H122" s="83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2092.0</v>
      </c>
      <c r="H123" s="83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2091.0</v>
      </c>
      <c r="H124" s="83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24" t="s">
        <v>105</v>
      </c>
      <c r="C125" s="66" t="s">
        <v>370</v>
      </c>
      <c r="D125" s="132" t="s">
        <v>61</v>
      </c>
      <c r="E125" s="66">
        <v>2090.0</v>
      </c>
      <c r="H125" s="83"/>
    </row>
    <row r="126">
      <c r="A126" s="66" t="s">
        <v>98</v>
      </c>
      <c r="B126" s="124" t="s">
        <v>105</v>
      </c>
      <c r="C126" s="66" t="s">
        <v>370</v>
      </c>
      <c r="D126" s="132" t="s">
        <v>56</v>
      </c>
      <c r="E126" s="66">
        <v>2089.0</v>
      </c>
      <c r="H126" s="83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24" t="s">
        <v>105</v>
      </c>
      <c r="C127" s="66" t="s">
        <v>370</v>
      </c>
      <c r="D127" s="132" t="s">
        <v>61</v>
      </c>
      <c r="E127" s="66">
        <v>2088.0</v>
      </c>
      <c r="H127" s="83">
        <v>44631.0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2087.0</v>
      </c>
      <c r="H128" s="83">
        <v>44631.0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2086.0</v>
      </c>
      <c r="H129" s="83">
        <v>44631.0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2085.0</v>
      </c>
      <c r="H130" s="83">
        <v>44631.0</v>
      </c>
    </row>
    <row r="131">
      <c r="A131" s="66" t="s">
        <v>124</v>
      </c>
      <c r="B131" s="124" t="s">
        <v>124</v>
      </c>
      <c r="C131" s="66" t="s">
        <v>124</v>
      </c>
      <c r="D131" s="132" t="s">
        <v>61</v>
      </c>
      <c r="E131" s="66">
        <v>2020.0</v>
      </c>
      <c r="H131" s="83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2021.0</v>
      </c>
      <c r="H132" s="83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24" t="s">
        <v>124</v>
      </c>
      <c r="C133" s="66" t="s">
        <v>124</v>
      </c>
      <c r="D133" s="132" t="s">
        <v>56</v>
      </c>
      <c r="E133" s="66">
        <v>2022.0</v>
      </c>
      <c r="H133" s="83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2023.0</v>
      </c>
      <c r="H134" s="83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2">
        <f>0.9686+0.827</f>
        <v>1.7956</v>
      </c>
      <c r="BF134" s="66">
        <v>0.453</v>
      </c>
    </row>
    <row r="135">
      <c r="A135" s="66" t="s">
        <v>124</v>
      </c>
      <c r="B135" s="124" t="s">
        <v>124</v>
      </c>
      <c r="C135" s="66" t="s">
        <v>124</v>
      </c>
      <c r="D135" s="132" t="s">
        <v>61</v>
      </c>
      <c r="E135" s="66">
        <v>2024.0</v>
      </c>
      <c r="H135" s="83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2025.0</v>
      </c>
      <c r="H136" s="83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24" t="s">
        <v>125</v>
      </c>
      <c r="C137" s="66" t="s">
        <v>371</v>
      </c>
      <c r="D137" s="132" t="s">
        <v>61</v>
      </c>
      <c r="E137" s="66">
        <v>2026.0</v>
      </c>
      <c r="H137" s="83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2027.0</v>
      </c>
      <c r="H138" s="83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2028.0</v>
      </c>
    </row>
    <row r="140">
      <c r="A140" s="66" t="s">
        <v>124</v>
      </c>
      <c r="B140" s="124" t="s">
        <v>125</v>
      </c>
      <c r="C140" s="66" t="s">
        <v>371</v>
      </c>
      <c r="D140" s="132" t="s">
        <v>56</v>
      </c>
      <c r="E140" s="66">
        <v>2029.0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2030.0</v>
      </c>
    </row>
    <row r="142">
      <c r="A142" s="66" t="s">
        <v>124</v>
      </c>
      <c r="B142" s="124" t="s">
        <v>125</v>
      </c>
      <c r="C142" s="66" t="s">
        <v>371</v>
      </c>
      <c r="D142" s="132" t="s">
        <v>61</v>
      </c>
      <c r="E142" s="66">
        <v>2031.0</v>
      </c>
    </row>
    <row r="143">
      <c r="A143" s="66" t="s">
        <v>104</v>
      </c>
      <c r="B143" s="124" t="s">
        <v>105</v>
      </c>
      <c r="C143" s="66" t="s">
        <v>372</v>
      </c>
      <c r="D143" s="132" t="s">
        <v>61</v>
      </c>
      <c r="E143" s="66">
        <v>2012.0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2013.0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2014.0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2015.0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1478.0</v>
      </c>
    </row>
    <row r="149">
      <c r="D149" s="130"/>
    </row>
    <row r="150">
      <c r="D150" s="130"/>
    </row>
    <row r="151">
      <c r="D151" s="130"/>
    </row>
    <row r="152">
      <c r="D152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44635.0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AI7" s="82" t="str">
        <f t="shared" ref="AI7:AI136" si="1">AVERAGE(AD7,AA7,X7,U7,R7,O7,L7,I7)</f>
        <v>#DIV/0!</v>
      </c>
      <c r="BG7" s="82" t="str">
        <f t="shared" ref="BG7:BG136" si="2">AVERAGE(BB7,AY7,AV7,AS7,AP7,AM7,AJ7)</f>
        <v>#DIV/0!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AI8" s="82" t="str">
        <f t="shared" si="1"/>
        <v>#DIV/0!</v>
      </c>
      <c r="BG8" s="82" t="str">
        <f t="shared" si="2"/>
        <v>#DIV/0!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AI9" s="82" t="str">
        <f t="shared" si="1"/>
        <v>#DIV/0!</v>
      </c>
      <c r="BG9" s="82" t="str">
        <f t="shared" si="2"/>
        <v>#DIV/0!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AI10" s="82" t="str">
        <f t="shared" si="1"/>
        <v>#DIV/0!</v>
      </c>
      <c r="BG10" s="82" t="str">
        <f t="shared" si="2"/>
        <v>#DIV/0!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  <c r="AI11" s="82" t="str">
        <f t="shared" si="1"/>
        <v>#DIV/0!</v>
      </c>
      <c r="BG11" s="82" t="str">
        <f t="shared" si="2"/>
        <v>#DIV/0!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AI12" s="82" t="str">
        <f t="shared" si="1"/>
        <v>#DIV/0!</v>
      </c>
      <c r="BG12" s="82" t="str">
        <f t="shared" si="2"/>
        <v>#DIV/0!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AI13" s="82" t="str">
        <f t="shared" si="1"/>
        <v>#DIV/0!</v>
      </c>
      <c r="BG13" s="82" t="str">
        <f t="shared" si="2"/>
        <v>#DIV/0!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  <c r="AI14" s="82" t="str">
        <f t="shared" si="1"/>
        <v>#DIV/0!</v>
      </c>
      <c r="BG14" s="82" t="str">
        <f t="shared" si="2"/>
        <v>#DIV/0!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AI15" s="82" t="str">
        <f t="shared" si="1"/>
        <v>#DIV/0!</v>
      </c>
      <c r="BG15" s="82" t="str">
        <f t="shared" si="2"/>
        <v>#DIV/0!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AI16" s="82" t="str">
        <f t="shared" si="1"/>
        <v>#DIV/0!</v>
      </c>
      <c r="BG16" s="82" t="str">
        <f t="shared" si="2"/>
        <v>#DIV/0!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  <c r="AI17" s="82" t="str">
        <f t="shared" si="1"/>
        <v>#DIV/0!</v>
      </c>
      <c r="BG17" s="82" t="str">
        <f t="shared" si="2"/>
        <v>#DIV/0!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AI18" s="82" t="str">
        <f t="shared" si="1"/>
        <v>#DIV/0!</v>
      </c>
      <c r="BG18" s="82" t="str">
        <f t="shared" si="2"/>
        <v>#DIV/0!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2">
        <f t="shared" si="1"/>
        <v>1.613333333</v>
      </c>
      <c r="BG19" s="82" t="str">
        <f t="shared" si="2"/>
        <v>#DIV/0!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  <c r="AI20" s="82" t="str">
        <f t="shared" si="1"/>
        <v>#DIV/0!</v>
      </c>
      <c r="BG20" s="82" t="str">
        <f t="shared" si="2"/>
        <v>#DIV/0!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AI21" s="82" t="str">
        <f t="shared" si="1"/>
        <v>#DIV/0!</v>
      </c>
      <c r="BG21" s="82" t="str">
        <f t="shared" si="2"/>
        <v>#DIV/0!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AI22" s="82" t="str">
        <f t="shared" si="1"/>
        <v>#DIV/0!</v>
      </c>
      <c r="BG22" s="82" t="str">
        <f t="shared" si="2"/>
        <v>#DIV/0!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AI23" s="82" t="str">
        <f t="shared" si="1"/>
        <v>#DIV/0!</v>
      </c>
      <c r="BG23" s="82" t="str">
        <f t="shared" si="2"/>
        <v>#DIV/0!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2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2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2">
        <f t="shared" si="2"/>
        <v>2.2674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F25" s="66">
        <v>0.0</v>
      </c>
      <c r="G25" s="66">
        <v>2.0</v>
      </c>
      <c r="AI25" s="82" t="str">
        <f t="shared" si="1"/>
        <v>#DIV/0!</v>
      </c>
      <c r="BG25" s="82" t="str">
        <f t="shared" si="2"/>
        <v>#DIV/0!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  <c r="AI26" s="82" t="str">
        <f t="shared" si="1"/>
        <v>#DIV/0!</v>
      </c>
      <c r="BG26" s="82" t="str">
        <f t="shared" si="2"/>
        <v>#DIV/0!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F27" s="66">
        <v>0.0</v>
      </c>
      <c r="G27" s="66">
        <v>2.0</v>
      </c>
      <c r="AI27" s="82" t="str">
        <f t="shared" si="1"/>
        <v>#DIV/0!</v>
      </c>
      <c r="AJ27" s="66">
        <v>1.6</v>
      </c>
      <c r="AK27" s="66">
        <v>0.077</v>
      </c>
      <c r="AL27" s="66">
        <v>0.031</v>
      </c>
      <c r="AM27" s="82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2">
        <f>0.1176+0.0549</f>
        <v>0.1725</v>
      </c>
      <c r="BF27" s="66">
        <v>0.07</v>
      </c>
      <c r="BG27" s="82">
        <f t="shared" si="2"/>
        <v>2.5195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  <c r="AI28" s="82" t="str">
        <f t="shared" si="1"/>
        <v>#DIV/0!</v>
      </c>
      <c r="BG28" s="82" t="str">
        <f t="shared" si="2"/>
        <v>#DIV/0!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  <c r="AI29" s="82" t="str">
        <f t="shared" si="1"/>
        <v>#DIV/0!</v>
      </c>
      <c r="BG29" s="82" t="str">
        <f t="shared" si="2"/>
        <v>#DIV/0!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2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2">
        <f t="shared" si="2"/>
        <v>2.452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AI31" s="82" t="str">
        <f t="shared" si="1"/>
        <v>#DIV/0!</v>
      </c>
      <c r="BG31" s="82" t="str">
        <f t="shared" si="2"/>
        <v>#DIV/0!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AI32" s="82" t="str">
        <f t="shared" si="1"/>
        <v>#DIV/0!</v>
      </c>
      <c r="BG32" s="82" t="str">
        <f t="shared" si="2"/>
        <v>#DIV/0!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F33" s="66">
        <v>0.0</v>
      </c>
      <c r="G33" s="66">
        <v>7.0</v>
      </c>
      <c r="AI33" s="82" t="str">
        <f t="shared" si="1"/>
        <v>#DIV/0!</v>
      </c>
      <c r="BG33" s="82" t="str">
        <f t="shared" si="2"/>
        <v>#DIV/0!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F34" s="66">
        <v>0.0</v>
      </c>
      <c r="G34" s="66">
        <v>7.0</v>
      </c>
      <c r="AI34" s="82" t="str">
        <f t="shared" si="1"/>
        <v>#DIV/0!</v>
      </c>
      <c r="BG34" s="82" t="str">
        <f t="shared" si="2"/>
        <v>#DIV/0!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AI35" s="82" t="str">
        <f t="shared" si="1"/>
        <v>#DIV/0!</v>
      </c>
      <c r="BG35" s="82" t="str">
        <f t="shared" si="2"/>
        <v>#DIV/0!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AI36" s="82" t="str">
        <f t="shared" si="1"/>
        <v>#DIV/0!</v>
      </c>
      <c r="BG36" s="82" t="str">
        <f t="shared" si="2"/>
        <v>#DIV/0!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AI37" s="82" t="str">
        <f t="shared" si="1"/>
        <v>#DIV/0!</v>
      </c>
      <c r="BG37" s="82" t="str">
        <f t="shared" si="2"/>
        <v>#DIV/0!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AI38" s="82" t="str">
        <f t="shared" si="1"/>
        <v>#DIV/0!</v>
      </c>
      <c r="BG38" s="82" t="str">
        <f t="shared" si="2"/>
        <v>#DIV/0!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AI39" s="82" t="str">
        <f t="shared" si="1"/>
        <v>#DIV/0!</v>
      </c>
      <c r="BG39" s="82" t="str">
        <f t="shared" si="2"/>
        <v>#DIV/0!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AI40" s="82" t="str">
        <f t="shared" si="1"/>
        <v>#DIV/0!</v>
      </c>
      <c r="BG40" s="82" t="str">
        <f t="shared" si="2"/>
        <v>#DIV/0!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H41" s="66" t="s">
        <v>421</v>
      </c>
      <c r="AI41" s="82" t="str">
        <f t="shared" si="1"/>
        <v>#DIV/0!</v>
      </c>
      <c r="BG41" s="82" t="str">
        <f t="shared" si="2"/>
        <v>#DIV/0!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F42" s="66">
        <v>0.0</v>
      </c>
      <c r="G42" s="66">
        <v>3.0</v>
      </c>
      <c r="AI42" s="82" t="str">
        <f t="shared" si="1"/>
        <v>#DIV/0!</v>
      </c>
      <c r="BG42" s="82" t="str">
        <f t="shared" si="2"/>
        <v>#DIV/0!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  <c r="AI43" s="82" t="str">
        <f t="shared" si="1"/>
        <v>#DIV/0!</v>
      </c>
      <c r="BG43" s="82" t="str">
        <f t="shared" si="2"/>
        <v>#DIV/0!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AI44" s="82" t="str">
        <f t="shared" si="1"/>
        <v>#DIV/0!</v>
      </c>
      <c r="BG44" s="82" t="str">
        <f t="shared" si="2"/>
        <v>#DIV/0!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  <c r="AI45" s="82" t="str">
        <f t="shared" si="1"/>
        <v>#DIV/0!</v>
      </c>
      <c r="BG45" s="82" t="str">
        <f t="shared" si="2"/>
        <v>#DIV/0!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AI46" s="82" t="str">
        <f t="shared" si="1"/>
        <v>#DIV/0!</v>
      </c>
      <c r="BG46" s="82" t="str">
        <f t="shared" si="2"/>
        <v>#DIV/0!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2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2">
        <f t="shared" si="2"/>
        <v>2.70425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F48" s="66">
        <v>2.0</v>
      </c>
      <c r="G48" s="66">
        <v>1.0</v>
      </c>
      <c r="AI48" s="82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2">
        <f t="shared" si="2"/>
        <v>1.9725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2">
        <f t="shared" si="1"/>
        <v>1.476666667</v>
      </c>
      <c r="BG49" s="82" t="str">
        <f t="shared" si="2"/>
        <v>#DIV/0!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2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2">
        <f t="shared" si="2"/>
        <v>3.355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AI51" s="82" t="str">
        <f t="shared" si="1"/>
        <v>#DIV/0!</v>
      </c>
      <c r="BG51" s="82" t="str">
        <f t="shared" si="2"/>
        <v>#DIV/0!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AI52" s="82" t="str">
        <f t="shared" si="1"/>
        <v>#DIV/0!</v>
      </c>
      <c r="BG52" s="82" t="str">
        <f t="shared" si="2"/>
        <v>#DIV/0!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AI53" s="82" t="str">
        <f t="shared" si="1"/>
        <v>#DIV/0!</v>
      </c>
      <c r="BG53" s="82" t="str">
        <f t="shared" si="2"/>
        <v>#DIV/0!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AI54" s="82" t="str">
        <f t="shared" si="1"/>
        <v>#DIV/0!</v>
      </c>
      <c r="BG54" s="82" t="str">
        <f t="shared" si="2"/>
        <v>#DIV/0!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AI55" s="82" t="str">
        <f t="shared" si="1"/>
        <v>#DIV/0!</v>
      </c>
      <c r="BG55" s="82" t="str">
        <f t="shared" si="2"/>
        <v>#DIV/0!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AI56" s="82" t="str">
        <f t="shared" si="1"/>
        <v>#DIV/0!</v>
      </c>
      <c r="BG56" s="82" t="str">
        <f t="shared" si="2"/>
        <v>#DIV/0!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AI57" s="82" t="str">
        <f t="shared" si="1"/>
        <v>#DIV/0!</v>
      </c>
      <c r="BG57" s="82" t="str">
        <f t="shared" si="2"/>
        <v>#DIV/0!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AI58" s="82" t="str">
        <f t="shared" si="1"/>
        <v>#DIV/0!</v>
      </c>
      <c r="BG58" s="82" t="str">
        <f t="shared" si="2"/>
        <v>#DIV/0!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AI59" s="82" t="str">
        <f t="shared" si="1"/>
        <v>#DIV/0!</v>
      </c>
      <c r="BG59" s="82" t="str">
        <f t="shared" si="2"/>
        <v>#DIV/0!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AI60" s="82" t="str">
        <f t="shared" si="1"/>
        <v>#DIV/0!</v>
      </c>
      <c r="BG60" s="82" t="str">
        <f t="shared" si="2"/>
        <v>#DIV/0!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AI61" s="82" t="str">
        <f t="shared" si="1"/>
        <v>#DIV/0!</v>
      </c>
      <c r="BG61" s="82" t="str">
        <f t="shared" si="2"/>
        <v>#DIV/0!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AI62" s="82" t="str">
        <f t="shared" si="1"/>
        <v>#DIV/0!</v>
      </c>
      <c r="BG62" s="82" t="str">
        <f t="shared" si="2"/>
        <v>#DIV/0!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AI63" s="82" t="str">
        <f t="shared" si="1"/>
        <v>#DIV/0!</v>
      </c>
      <c r="BG63" s="82" t="str">
        <f t="shared" si="2"/>
        <v>#DIV/0!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AI64" s="82" t="str">
        <f t="shared" si="1"/>
        <v>#DIV/0!</v>
      </c>
      <c r="BG64" s="82" t="str">
        <f t="shared" si="2"/>
        <v>#DIV/0!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AI65" s="82" t="str">
        <f t="shared" si="1"/>
        <v>#DIV/0!</v>
      </c>
      <c r="BG65" s="82" t="str">
        <f t="shared" si="2"/>
        <v>#DIV/0!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AI66" s="82" t="str">
        <f t="shared" si="1"/>
        <v>#DIV/0!</v>
      </c>
      <c r="BG66" s="82" t="str">
        <f t="shared" si="2"/>
        <v>#DIV/0!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AI67" s="82" t="str">
        <f t="shared" si="1"/>
        <v>#DIV/0!</v>
      </c>
      <c r="BG67" s="82" t="str">
        <f t="shared" si="2"/>
        <v>#DIV/0!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AI68" s="82" t="str">
        <f t="shared" si="1"/>
        <v>#DIV/0!</v>
      </c>
      <c r="BG68" s="82" t="str">
        <f t="shared" si="2"/>
        <v>#DIV/0!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AI69" s="82" t="str">
        <f t="shared" si="1"/>
        <v>#DIV/0!</v>
      </c>
      <c r="BG69" s="82" t="str">
        <f t="shared" si="2"/>
        <v>#DIV/0!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AI70" s="82" t="str">
        <f t="shared" si="1"/>
        <v>#DIV/0!</v>
      </c>
      <c r="BG70" s="82" t="str">
        <f t="shared" si="2"/>
        <v>#DIV/0!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AI71" s="82" t="str">
        <f t="shared" si="1"/>
        <v>#DIV/0!</v>
      </c>
      <c r="BG71" s="82" t="str">
        <f t="shared" si="2"/>
        <v>#DIV/0!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AI72" s="82" t="str">
        <f t="shared" si="1"/>
        <v>#DIV/0!</v>
      </c>
      <c r="BG72" s="82" t="str">
        <f t="shared" si="2"/>
        <v>#DIV/0!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AI73" s="82" t="str">
        <f t="shared" si="1"/>
        <v>#DIV/0!</v>
      </c>
      <c r="BG73" s="82" t="str">
        <f t="shared" si="2"/>
        <v>#DIV/0!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AI74" s="82" t="str">
        <f t="shared" si="1"/>
        <v>#DIV/0!</v>
      </c>
      <c r="BG74" s="82" t="str">
        <f t="shared" si="2"/>
        <v>#DIV/0!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AI75" s="82" t="str">
        <f t="shared" si="1"/>
        <v>#DIV/0!</v>
      </c>
      <c r="BG75" s="82" t="str">
        <f t="shared" si="2"/>
        <v>#DIV/0!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AI76" s="82" t="str">
        <f t="shared" si="1"/>
        <v>#DIV/0!</v>
      </c>
      <c r="BG76" s="82" t="str">
        <f t="shared" si="2"/>
        <v>#DIV/0!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AI77" s="82" t="str">
        <f t="shared" si="1"/>
        <v>#DIV/0!</v>
      </c>
      <c r="BG77" s="82" t="str">
        <f t="shared" si="2"/>
        <v>#DIV/0!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AI78" s="82" t="str">
        <f t="shared" si="1"/>
        <v>#DIV/0!</v>
      </c>
      <c r="BG78" s="82" t="str">
        <f t="shared" si="2"/>
        <v>#DIV/0!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AI79" s="82" t="str">
        <f t="shared" si="1"/>
        <v>#DIV/0!</v>
      </c>
      <c r="BG79" s="82" t="str">
        <f t="shared" si="2"/>
        <v>#DIV/0!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AI80" s="82" t="str">
        <f t="shared" si="1"/>
        <v>#DIV/0!</v>
      </c>
      <c r="BG80" s="82" t="str">
        <f t="shared" si="2"/>
        <v>#DIV/0!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AI81" s="82" t="str">
        <f t="shared" si="1"/>
        <v>#DIV/0!</v>
      </c>
      <c r="BG81" s="82" t="str">
        <f t="shared" si="2"/>
        <v>#DIV/0!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AI82" s="82" t="str">
        <f t="shared" si="1"/>
        <v>#DIV/0!</v>
      </c>
      <c r="BG82" s="82" t="str">
        <f t="shared" si="2"/>
        <v>#DIV/0!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AI83" s="82" t="str">
        <f t="shared" si="1"/>
        <v>#DIV/0!</v>
      </c>
      <c r="BG83" s="82" t="str">
        <f t="shared" si="2"/>
        <v>#DIV/0!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AI84" s="82" t="str">
        <f t="shared" si="1"/>
        <v>#DIV/0!</v>
      </c>
      <c r="BG84" s="82" t="str">
        <f t="shared" si="2"/>
        <v>#DIV/0!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AI85" s="82" t="str">
        <f t="shared" si="1"/>
        <v>#DIV/0!</v>
      </c>
      <c r="BG85" s="82" t="str">
        <f t="shared" si="2"/>
        <v>#DIV/0!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AI86" s="82" t="str">
        <f t="shared" si="1"/>
        <v>#DIV/0!</v>
      </c>
      <c r="BG86" s="82" t="str">
        <f t="shared" si="2"/>
        <v>#DIV/0!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AI87" s="82" t="str">
        <f t="shared" si="1"/>
        <v>#DIV/0!</v>
      </c>
      <c r="BG87" s="82" t="str">
        <f t="shared" si="2"/>
        <v>#DIV/0!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AI88" s="82" t="str">
        <f t="shared" si="1"/>
        <v>#DIV/0!</v>
      </c>
      <c r="BG88" s="82" t="str">
        <f t="shared" si="2"/>
        <v>#DIV/0!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AI89" s="82" t="str">
        <f t="shared" si="1"/>
        <v>#DIV/0!</v>
      </c>
      <c r="BG89" s="82" t="str">
        <f t="shared" si="2"/>
        <v>#DIV/0!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AI90" s="82" t="str">
        <f t="shared" si="1"/>
        <v>#DIV/0!</v>
      </c>
      <c r="BG90" s="82" t="str">
        <f t="shared" si="2"/>
        <v>#DIV/0!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AI91" s="82" t="str">
        <f t="shared" si="1"/>
        <v>#DIV/0!</v>
      </c>
      <c r="BG91" s="82" t="str">
        <f t="shared" si="2"/>
        <v>#DIV/0!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F92" s="66">
        <v>0.0</v>
      </c>
      <c r="G92" s="66">
        <v>1.0</v>
      </c>
      <c r="AI92" s="82" t="str">
        <f t="shared" si="1"/>
        <v>#DIV/0!</v>
      </c>
      <c r="BG92" s="82" t="str">
        <f t="shared" si="2"/>
        <v>#DIV/0!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F93" s="66">
        <v>0.0</v>
      </c>
      <c r="G93" s="66">
        <v>2.0</v>
      </c>
      <c r="AI93" s="82" t="str">
        <f t="shared" si="1"/>
        <v>#DIV/0!</v>
      </c>
      <c r="BG93" s="82" t="str">
        <f t="shared" si="2"/>
        <v>#DIV/0!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F94" s="66">
        <v>0.0</v>
      </c>
      <c r="G94" s="66">
        <v>2.0</v>
      </c>
      <c r="AI94" s="82" t="str">
        <f t="shared" si="1"/>
        <v>#DIV/0!</v>
      </c>
      <c r="BG94" s="82" t="str">
        <f t="shared" si="2"/>
        <v>#DIV/0!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  <c r="AI95" s="82" t="str">
        <f t="shared" si="1"/>
        <v>#DIV/0!</v>
      </c>
      <c r="BG95" s="82" t="str">
        <f t="shared" si="2"/>
        <v>#DIV/0!</v>
      </c>
    </row>
    <row r="96">
      <c r="A96" s="129"/>
      <c r="B96" s="124" t="s">
        <v>58</v>
      </c>
      <c r="C96" s="129" t="s">
        <v>87</v>
      </c>
      <c r="D96" s="130" t="s">
        <v>61</v>
      </c>
      <c r="E96" s="130"/>
      <c r="AI96" s="82" t="str">
        <f t="shared" si="1"/>
        <v>#DIV/0!</v>
      </c>
      <c r="BG96" s="82" t="str">
        <f t="shared" si="2"/>
        <v>#DIV/0!</v>
      </c>
    </row>
    <row r="97">
      <c r="A97" s="129"/>
      <c r="B97" s="124" t="s">
        <v>58</v>
      </c>
      <c r="C97" s="129" t="s">
        <v>87</v>
      </c>
      <c r="D97" s="130" t="s">
        <v>61</v>
      </c>
      <c r="E97" s="130"/>
      <c r="AI97" s="82" t="str">
        <f t="shared" si="1"/>
        <v>#DIV/0!</v>
      </c>
      <c r="BG97" s="82" t="str">
        <f t="shared" si="2"/>
        <v>#DIV/0!</v>
      </c>
    </row>
    <row r="98">
      <c r="A98" s="129"/>
      <c r="B98" s="124" t="s">
        <v>58</v>
      </c>
      <c r="C98" s="129" t="s">
        <v>87</v>
      </c>
      <c r="D98" s="130" t="s">
        <v>61</v>
      </c>
      <c r="E98" s="130"/>
      <c r="AI98" s="82" t="str">
        <f t="shared" si="1"/>
        <v>#DIV/0!</v>
      </c>
      <c r="BG98" s="82" t="str">
        <f t="shared" si="2"/>
        <v>#DIV/0!</v>
      </c>
    </row>
    <row r="99">
      <c r="A99" s="129"/>
      <c r="B99" s="124" t="s">
        <v>58</v>
      </c>
      <c r="C99" s="129" t="s">
        <v>87</v>
      </c>
      <c r="D99" s="130" t="s">
        <v>61</v>
      </c>
      <c r="E99" s="130"/>
      <c r="AI99" s="82" t="str">
        <f t="shared" si="1"/>
        <v>#DIV/0!</v>
      </c>
      <c r="BG99" s="82" t="str">
        <f t="shared" si="2"/>
        <v>#DIV/0!</v>
      </c>
    </row>
    <row r="100">
      <c r="A100" s="129"/>
      <c r="B100" s="124" t="s">
        <v>58</v>
      </c>
      <c r="C100" s="129" t="s">
        <v>88</v>
      </c>
      <c r="D100" s="130" t="s">
        <v>61</v>
      </c>
      <c r="E100" s="130"/>
      <c r="AI100" s="82" t="str">
        <f t="shared" si="1"/>
        <v>#DIV/0!</v>
      </c>
      <c r="BG100" s="82" t="str">
        <f t="shared" si="2"/>
        <v>#DIV/0!</v>
      </c>
    </row>
    <row r="101">
      <c r="A101" s="129"/>
      <c r="B101" s="124" t="s">
        <v>58</v>
      </c>
      <c r="C101" s="129" t="s">
        <v>88</v>
      </c>
      <c r="D101" s="130" t="s">
        <v>61</v>
      </c>
      <c r="E101" s="130"/>
      <c r="AI101" s="82" t="str">
        <f t="shared" si="1"/>
        <v>#DIV/0!</v>
      </c>
      <c r="BG101" s="82" t="str">
        <f t="shared" si="2"/>
        <v>#DIV/0!</v>
      </c>
    </row>
    <row r="102">
      <c r="A102" s="129"/>
      <c r="B102" s="124" t="s">
        <v>58</v>
      </c>
      <c r="C102" s="129" t="s">
        <v>88</v>
      </c>
      <c r="D102" s="130" t="s">
        <v>61</v>
      </c>
      <c r="E102" s="130"/>
      <c r="AI102" s="82" t="str">
        <f t="shared" si="1"/>
        <v>#DIV/0!</v>
      </c>
      <c r="BG102" s="82" t="str">
        <f t="shared" si="2"/>
        <v>#DIV/0!</v>
      </c>
    </row>
    <row r="103">
      <c r="A103" s="129"/>
      <c r="B103" s="124" t="s">
        <v>58</v>
      </c>
      <c r="C103" s="129" t="s">
        <v>88</v>
      </c>
      <c r="D103" s="130" t="s">
        <v>61</v>
      </c>
      <c r="E103" s="130"/>
      <c r="AI103" s="82" t="str">
        <f t="shared" si="1"/>
        <v>#DIV/0!</v>
      </c>
      <c r="BG103" s="82" t="str">
        <f t="shared" si="2"/>
        <v>#DIV/0!</v>
      </c>
    </row>
    <row r="104">
      <c r="A104" s="129"/>
      <c r="B104" s="124" t="s">
        <v>58</v>
      </c>
      <c r="C104" s="129" t="s">
        <v>88</v>
      </c>
      <c r="D104" s="130" t="s">
        <v>61</v>
      </c>
      <c r="E104" s="130"/>
      <c r="AI104" s="82" t="str">
        <f t="shared" si="1"/>
        <v>#DIV/0!</v>
      </c>
      <c r="BG104" s="82" t="str">
        <f t="shared" si="2"/>
        <v>#DIV/0!</v>
      </c>
    </row>
    <row r="105">
      <c r="A105" s="121"/>
      <c r="B105" s="124" t="s">
        <v>58</v>
      </c>
      <c r="C105" s="121" t="s">
        <v>89</v>
      </c>
      <c r="D105" s="121" t="s">
        <v>56</v>
      </c>
      <c r="E105" s="121"/>
      <c r="AI105" s="82" t="str">
        <f t="shared" si="1"/>
        <v>#DIV/0!</v>
      </c>
      <c r="BG105" s="82" t="str">
        <f t="shared" si="2"/>
        <v>#DIV/0!</v>
      </c>
    </row>
    <row r="106">
      <c r="A106" s="121"/>
      <c r="B106" s="124" t="s">
        <v>58</v>
      </c>
      <c r="C106" s="121" t="s">
        <v>89</v>
      </c>
      <c r="D106" s="121" t="s">
        <v>56</v>
      </c>
      <c r="E106" s="121"/>
      <c r="AI106" s="82" t="str">
        <f t="shared" si="1"/>
        <v>#DIV/0!</v>
      </c>
      <c r="BG106" s="82" t="str">
        <f t="shared" si="2"/>
        <v>#DIV/0!</v>
      </c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2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2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2">
        <f t="shared" si="2"/>
        <v>1.57875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  <c r="AI108" s="82" t="str">
        <f t="shared" si="1"/>
        <v>#DIV/0!</v>
      </c>
      <c r="BG108" s="82" t="str">
        <f t="shared" si="2"/>
        <v>#DIV/0!</v>
      </c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  <c r="AI109" s="82" t="str">
        <f t="shared" si="1"/>
        <v>#DIV/0!</v>
      </c>
      <c r="BG109" s="82" t="str">
        <f t="shared" si="2"/>
        <v>#DIV/0!</v>
      </c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2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2">
        <f t="shared" si="2"/>
        <v>2.695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AI111" s="82" t="str">
        <f t="shared" si="1"/>
        <v>#DIV/0!</v>
      </c>
      <c r="BG111" s="82" t="str">
        <f t="shared" si="2"/>
        <v>#DIV/0!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F112" s="66">
        <v>0.0</v>
      </c>
      <c r="G112" s="66">
        <v>7.0</v>
      </c>
      <c r="AI112" s="82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2">
        <f t="shared" si="2"/>
        <v>2.2722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F113" s="66">
        <v>0.0</v>
      </c>
      <c r="G113" s="66">
        <v>8.0</v>
      </c>
      <c r="AI113" s="82" t="str">
        <f t="shared" si="1"/>
        <v>#DIV/0!</v>
      </c>
      <c r="BG113" s="82" t="str">
        <f t="shared" si="2"/>
        <v>#DIV/0!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F114" s="66">
        <v>0.0</v>
      </c>
      <c r="G114" s="66">
        <v>9.0</v>
      </c>
      <c r="AI114" s="82" t="str">
        <f t="shared" si="1"/>
        <v>#DIV/0!</v>
      </c>
      <c r="BG114" s="82" t="str">
        <f t="shared" si="2"/>
        <v>#DIV/0!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F115" s="66">
        <v>0.0</v>
      </c>
      <c r="G115" s="66">
        <v>8.0</v>
      </c>
      <c r="AI115" s="82" t="str">
        <f t="shared" si="1"/>
        <v>#DIV/0!</v>
      </c>
      <c r="BG115" s="82" t="str">
        <f t="shared" si="2"/>
        <v>#DIV/0!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F116" s="66">
        <v>0.0</v>
      </c>
      <c r="G116" s="66">
        <v>7.0</v>
      </c>
      <c r="AI116" s="82" t="str">
        <f t="shared" si="1"/>
        <v>#DIV/0!</v>
      </c>
      <c r="BG116" s="82" t="str">
        <f t="shared" si="2"/>
        <v>#DIV/0!</v>
      </c>
    </row>
    <row r="117">
      <c r="A117" s="66" t="s">
        <v>104</v>
      </c>
      <c r="B117" s="124" t="s">
        <v>107</v>
      </c>
      <c r="C117" s="66" t="s">
        <v>104</v>
      </c>
      <c r="D117" s="132" t="s">
        <v>160</v>
      </c>
      <c r="E117" s="66" t="s">
        <v>163</v>
      </c>
      <c r="AI117" s="82" t="str">
        <f t="shared" si="1"/>
        <v>#DIV/0!</v>
      </c>
      <c r="BG117" s="82" t="str">
        <f t="shared" si="2"/>
        <v>#DIV/0!</v>
      </c>
    </row>
    <row r="118">
      <c r="A118" s="66" t="s">
        <v>124</v>
      </c>
      <c r="B118" s="124" t="s">
        <v>124</v>
      </c>
      <c r="C118" s="66" t="s">
        <v>124</v>
      </c>
      <c r="D118" s="132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2">
        <f t="shared" si="1"/>
        <v>1.936</v>
      </c>
      <c r="BG118" s="82" t="str">
        <f t="shared" si="2"/>
        <v>#DIV/0!</v>
      </c>
    </row>
    <row r="119">
      <c r="A119" s="66" t="s">
        <v>104</v>
      </c>
      <c r="B119" s="124" t="s">
        <v>107</v>
      </c>
      <c r="C119" s="66" t="s">
        <v>104</v>
      </c>
      <c r="D119" s="132" t="s">
        <v>95</v>
      </c>
      <c r="E119" s="66" t="s">
        <v>162</v>
      </c>
      <c r="AI119" s="82" t="str">
        <f t="shared" si="1"/>
        <v>#DIV/0!</v>
      </c>
      <c r="BG119" s="82" t="str">
        <f t="shared" si="2"/>
        <v>#DIV/0!</v>
      </c>
    </row>
    <row r="120">
      <c r="A120" s="66" t="s">
        <v>98</v>
      </c>
      <c r="B120" s="124" t="s">
        <v>105</v>
      </c>
      <c r="C120" s="66" t="s">
        <v>370</v>
      </c>
      <c r="D120" s="132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2">
        <f t="shared" si="1"/>
        <v>0.3225</v>
      </c>
      <c r="BG120" s="82" t="str">
        <f t="shared" si="2"/>
        <v>#DIV/0!</v>
      </c>
    </row>
    <row r="121">
      <c r="A121" s="66" t="s">
        <v>98</v>
      </c>
      <c r="B121" s="124" t="s">
        <v>105</v>
      </c>
      <c r="C121" s="66" t="s">
        <v>370</v>
      </c>
      <c r="D121" s="132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2">
        <f t="shared" si="1"/>
        <v>0.25</v>
      </c>
      <c r="BG121" s="82" t="str">
        <f t="shared" si="2"/>
        <v>#DIV/0!</v>
      </c>
    </row>
    <row r="122">
      <c r="A122" s="66" t="s">
        <v>98</v>
      </c>
      <c r="B122" s="124" t="s">
        <v>105</v>
      </c>
      <c r="C122" s="66" t="s">
        <v>370</v>
      </c>
      <c r="D122" s="132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2">
        <f t="shared" si="1"/>
        <v>0.3146666667</v>
      </c>
      <c r="BG122" s="82" t="str">
        <f t="shared" si="2"/>
        <v>#DIV/0!</v>
      </c>
    </row>
    <row r="123">
      <c r="A123" s="66" t="s">
        <v>98</v>
      </c>
      <c r="B123" s="124" t="s">
        <v>105</v>
      </c>
      <c r="C123" s="66" t="s">
        <v>370</v>
      </c>
      <c r="D123" s="132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2">
        <f t="shared" si="1"/>
        <v>1.1595</v>
      </c>
      <c r="BG123" s="82" t="str">
        <f t="shared" si="2"/>
        <v>#DIV/0!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2">
        <f t="shared" si="1"/>
        <v>1.005</v>
      </c>
      <c r="BG124" s="82" t="str">
        <f t="shared" si="2"/>
        <v>#DIV/0!</v>
      </c>
    </row>
    <row r="125">
      <c r="A125" s="66" t="s">
        <v>98</v>
      </c>
      <c r="B125" s="124" t="s">
        <v>105</v>
      </c>
      <c r="C125" s="66" t="s">
        <v>370</v>
      </c>
      <c r="D125" s="132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2">
        <f t="shared" si="1"/>
        <v>1.416666667</v>
      </c>
      <c r="BG125" s="82" t="str">
        <f t="shared" si="2"/>
        <v>#DIV/0!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2">
        <f t="shared" si="1"/>
        <v>1.15</v>
      </c>
      <c r="BG126" s="82" t="str">
        <f t="shared" si="2"/>
        <v>#DIV/0!</v>
      </c>
    </row>
    <row r="127">
      <c r="A127" s="66" t="s">
        <v>98</v>
      </c>
      <c r="B127" s="124" t="s">
        <v>105</v>
      </c>
      <c r="C127" s="66" t="s">
        <v>370</v>
      </c>
      <c r="D127" s="132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2">
        <f t="shared" si="1"/>
        <v>0.936</v>
      </c>
      <c r="BG127" s="82" t="str">
        <f t="shared" si="2"/>
        <v>#DIV/0!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2">
        <f t="shared" si="1"/>
        <v>1.179666667</v>
      </c>
      <c r="BG128" s="82" t="str">
        <f t="shared" si="2"/>
        <v>#DIV/0!</v>
      </c>
    </row>
    <row r="129">
      <c r="A129" s="66" t="s">
        <v>124</v>
      </c>
      <c r="B129" s="124" t="s">
        <v>124</v>
      </c>
      <c r="C129" s="66" t="s">
        <v>124</v>
      </c>
      <c r="D129" s="132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2">
        <f t="shared" si="1"/>
        <v>1.58275</v>
      </c>
      <c r="BG129" s="82" t="str">
        <f t="shared" si="2"/>
        <v>#DIV/0!</v>
      </c>
    </row>
    <row r="130">
      <c r="A130" s="66" t="s">
        <v>124</v>
      </c>
      <c r="B130" s="124" t="s">
        <v>124</v>
      </c>
      <c r="C130" s="66" t="s">
        <v>124</v>
      </c>
      <c r="D130" s="132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2">
        <f t="shared" si="1"/>
        <v>1.396666667</v>
      </c>
      <c r="BG130" s="82" t="str">
        <f t="shared" si="2"/>
        <v>#DIV/0!</v>
      </c>
    </row>
    <row r="131">
      <c r="A131" s="66" t="s">
        <v>124</v>
      </c>
      <c r="B131" s="124" t="s">
        <v>124</v>
      </c>
      <c r="C131" s="66" t="s">
        <v>124</v>
      </c>
      <c r="D131" s="132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2">
        <f t="shared" si="1"/>
        <v>1.0025</v>
      </c>
      <c r="BG131" s="82" t="str">
        <f t="shared" si="2"/>
        <v>#DIV/0!</v>
      </c>
    </row>
    <row r="132">
      <c r="A132" s="66" t="s">
        <v>124</v>
      </c>
      <c r="B132" s="124" t="s">
        <v>124</v>
      </c>
      <c r="C132" s="66" t="s">
        <v>124</v>
      </c>
      <c r="D132" s="132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2">
        <f t="shared" si="1"/>
        <v>0.70575</v>
      </c>
      <c r="BG132" s="82" t="str">
        <f t="shared" si="2"/>
        <v>#DIV/0!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2">
        <f t="shared" si="1"/>
        <v>1.0925</v>
      </c>
      <c r="BG133" s="82" t="str">
        <f t="shared" si="2"/>
        <v>#DIV/0!</v>
      </c>
    </row>
    <row r="134">
      <c r="A134" s="66" t="s">
        <v>124</v>
      </c>
      <c r="B134" s="124" t="s">
        <v>124</v>
      </c>
      <c r="C134" s="66" t="s">
        <v>124</v>
      </c>
      <c r="D134" s="132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2">
        <f t="shared" si="1"/>
        <v>1.3425</v>
      </c>
      <c r="BG134" s="82" t="str">
        <f t="shared" si="2"/>
        <v>#DIV/0!</v>
      </c>
    </row>
    <row r="135">
      <c r="A135" s="66" t="s">
        <v>124</v>
      </c>
      <c r="B135" s="124" t="s">
        <v>125</v>
      </c>
      <c r="C135" s="66" t="s">
        <v>371</v>
      </c>
      <c r="D135" s="132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2">
        <f t="shared" si="1"/>
        <v>1.4425</v>
      </c>
      <c r="BG135" s="82" t="str">
        <f t="shared" si="2"/>
        <v>#DIV/0!</v>
      </c>
    </row>
    <row r="136">
      <c r="A136" s="66" t="s">
        <v>124</v>
      </c>
      <c r="B136" s="124" t="s">
        <v>125</v>
      </c>
      <c r="C136" s="66" t="s">
        <v>371</v>
      </c>
      <c r="D136" s="132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2">
        <f t="shared" si="1"/>
        <v>1.446666667</v>
      </c>
      <c r="BG136" s="82" t="str">
        <f t="shared" si="2"/>
        <v>#DIV/0!</v>
      </c>
    </row>
    <row r="137">
      <c r="A137" s="66" t="s">
        <v>124</v>
      </c>
      <c r="B137" s="124" t="s">
        <v>125</v>
      </c>
      <c r="C137" s="66" t="s">
        <v>371</v>
      </c>
      <c r="D137" s="132" t="s">
        <v>61</v>
      </c>
      <c r="E137" s="66">
        <v>2028.0</v>
      </c>
    </row>
    <row r="138">
      <c r="A138" s="66" t="s">
        <v>124</v>
      </c>
      <c r="B138" s="124" t="s">
        <v>125</v>
      </c>
      <c r="C138" s="66" t="s">
        <v>371</v>
      </c>
      <c r="D138" s="132" t="s">
        <v>56</v>
      </c>
      <c r="E138" s="66">
        <v>2029.0</v>
      </c>
    </row>
    <row r="139">
      <c r="A139" s="66" t="s">
        <v>124</v>
      </c>
      <c r="B139" s="124" t="s">
        <v>125</v>
      </c>
      <c r="C139" s="66" t="s">
        <v>371</v>
      </c>
      <c r="D139" s="132" t="s">
        <v>56</v>
      </c>
      <c r="E139" s="66">
        <v>2030.0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2031.0</v>
      </c>
    </row>
    <row r="141">
      <c r="A141" s="66" t="s">
        <v>104</v>
      </c>
      <c r="B141" s="124" t="s">
        <v>105</v>
      </c>
      <c r="C141" s="66" t="s">
        <v>372</v>
      </c>
      <c r="D141" s="132" t="s">
        <v>61</v>
      </c>
      <c r="E141" s="66">
        <v>2012.0</v>
      </c>
    </row>
    <row r="142">
      <c r="A142" s="66" t="s">
        <v>104</v>
      </c>
      <c r="B142" s="124" t="s">
        <v>105</v>
      </c>
      <c r="C142" s="66" t="s">
        <v>372</v>
      </c>
      <c r="D142" s="132" t="s">
        <v>61</v>
      </c>
      <c r="E142" s="66">
        <v>2013.0</v>
      </c>
    </row>
    <row r="143">
      <c r="A143" s="66" t="s">
        <v>104</v>
      </c>
      <c r="B143" s="124" t="s">
        <v>105</v>
      </c>
      <c r="C143" s="66" t="s">
        <v>372</v>
      </c>
      <c r="D143" s="132" t="s">
        <v>61</v>
      </c>
      <c r="E143" s="66">
        <v>2014.0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2015.0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1478.0</v>
      </c>
    </row>
    <row r="146">
      <c r="D146" s="130"/>
    </row>
    <row r="147">
      <c r="D147" s="130"/>
    </row>
    <row r="148">
      <c r="D148" s="130"/>
    </row>
    <row r="149">
      <c r="D149" s="130"/>
    </row>
    <row r="150">
      <c r="D150" s="130"/>
    </row>
    <row r="151">
      <c r="D151" s="130"/>
    </row>
    <row r="152">
      <c r="D152" s="130"/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44635.0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1.773</v>
      </c>
      <c r="L24" s="66">
        <v>1.82</v>
      </c>
      <c r="O24" s="66">
        <v>2.04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66">
        <v>1.032</v>
      </c>
      <c r="L27" s="66">
        <v>2.001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1.812</v>
      </c>
      <c r="L30" s="66">
        <v>1.982</v>
      </c>
      <c r="O30" s="66">
        <v>1.9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2.078</v>
      </c>
      <c r="L47" s="66">
        <v>2.043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1.762</v>
      </c>
      <c r="L48" s="66">
        <v>2.168</v>
      </c>
      <c r="O48" s="66">
        <v>1.872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104</v>
      </c>
      <c r="B117" s="124" t="s">
        <v>107</v>
      </c>
      <c r="C117" s="66" t="s">
        <v>104</v>
      </c>
      <c r="D117" s="132" t="s">
        <v>160</v>
      </c>
      <c r="E117" s="66" t="s">
        <v>163</v>
      </c>
    </row>
    <row r="118">
      <c r="A118" s="66" t="s">
        <v>124</v>
      </c>
      <c r="B118" s="124" t="s">
        <v>124</v>
      </c>
      <c r="C118" s="66" t="s">
        <v>124</v>
      </c>
      <c r="D118" s="132" t="s">
        <v>95</v>
      </c>
      <c r="E118" s="66" t="s">
        <v>159</v>
      </c>
    </row>
    <row r="119">
      <c r="A119" s="66" t="s">
        <v>104</v>
      </c>
      <c r="B119" s="124" t="s">
        <v>107</v>
      </c>
      <c r="C119" s="66" t="s">
        <v>104</v>
      </c>
      <c r="D119" s="132" t="s">
        <v>95</v>
      </c>
      <c r="E119" s="66" t="s">
        <v>162</v>
      </c>
    </row>
    <row r="120">
      <c r="A120" s="66" t="s">
        <v>98</v>
      </c>
      <c r="B120" s="124" t="s">
        <v>105</v>
      </c>
      <c r="C120" s="66" t="s">
        <v>370</v>
      </c>
      <c r="D120" s="132" t="s">
        <v>56</v>
      </c>
      <c r="E120" s="66">
        <v>2093.0</v>
      </c>
    </row>
    <row r="121">
      <c r="A121" s="66" t="s">
        <v>98</v>
      </c>
      <c r="B121" s="124" t="s">
        <v>105</v>
      </c>
      <c r="C121" s="66" t="s">
        <v>370</v>
      </c>
      <c r="D121" s="132" t="s">
        <v>56</v>
      </c>
      <c r="E121" s="66">
        <v>2092.0</v>
      </c>
    </row>
    <row r="122">
      <c r="A122" s="66" t="s">
        <v>98</v>
      </c>
      <c r="B122" s="124" t="s">
        <v>105</v>
      </c>
      <c r="C122" s="66" t="s">
        <v>370</v>
      </c>
      <c r="D122" s="132" t="s">
        <v>56</v>
      </c>
      <c r="E122" s="66">
        <v>2091.0</v>
      </c>
    </row>
    <row r="123">
      <c r="A123" s="66" t="s">
        <v>98</v>
      </c>
      <c r="B123" s="124" t="s">
        <v>105</v>
      </c>
      <c r="C123" s="66" t="s">
        <v>370</v>
      </c>
      <c r="D123" s="132" t="s">
        <v>61</v>
      </c>
      <c r="E123" s="66">
        <v>2090.0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2089.0</v>
      </c>
    </row>
    <row r="125">
      <c r="A125" s="66" t="s">
        <v>98</v>
      </c>
      <c r="B125" s="124" t="s">
        <v>105</v>
      </c>
      <c r="C125" s="66" t="s">
        <v>370</v>
      </c>
      <c r="D125" s="132" t="s">
        <v>61</v>
      </c>
      <c r="E125" s="66">
        <v>2088.0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2087.0</v>
      </c>
    </row>
    <row r="127">
      <c r="A127" s="66" t="s">
        <v>98</v>
      </c>
      <c r="B127" s="124" t="s">
        <v>105</v>
      </c>
      <c r="C127" s="66" t="s">
        <v>370</v>
      </c>
      <c r="D127" s="132" t="s">
        <v>61</v>
      </c>
      <c r="E127" s="66">
        <v>2086.0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2085.0</v>
      </c>
    </row>
    <row r="129">
      <c r="A129" s="66" t="s">
        <v>124</v>
      </c>
      <c r="B129" s="124" t="s">
        <v>124</v>
      </c>
      <c r="C129" s="66" t="s">
        <v>124</v>
      </c>
      <c r="D129" s="132" t="s">
        <v>61</v>
      </c>
      <c r="E129" s="66">
        <v>2020.0</v>
      </c>
    </row>
    <row r="130">
      <c r="A130" s="66" t="s">
        <v>124</v>
      </c>
      <c r="B130" s="124" t="s">
        <v>124</v>
      </c>
      <c r="C130" s="66" t="s">
        <v>124</v>
      </c>
      <c r="D130" s="132" t="s">
        <v>61</v>
      </c>
      <c r="E130" s="66">
        <v>2021.0</v>
      </c>
    </row>
    <row r="131">
      <c r="A131" s="66" t="s">
        <v>124</v>
      </c>
      <c r="B131" s="124" t="s">
        <v>124</v>
      </c>
      <c r="C131" s="66" t="s">
        <v>124</v>
      </c>
      <c r="D131" s="132" t="s">
        <v>56</v>
      </c>
      <c r="E131" s="66">
        <v>2022.0</v>
      </c>
    </row>
    <row r="132">
      <c r="A132" s="66" t="s">
        <v>124</v>
      </c>
      <c r="B132" s="124" t="s">
        <v>124</v>
      </c>
      <c r="C132" s="66" t="s">
        <v>124</v>
      </c>
      <c r="D132" s="132" t="s">
        <v>56</v>
      </c>
      <c r="E132" s="66">
        <v>2023.0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2024.0</v>
      </c>
    </row>
    <row r="134">
      <c r="A134" s="66" t="s">
        <v>124</v>
      </c>
      <c r="B134" s="124" t="s">
        <v>124</v>
      </c>
      <c r="C134" s="66" t="s">
        <v>124</v>
      </c>
      <c r="D134" s="132" t="s">
        <v>61</v>
      </c>
      <c r="E134" s="66">
        <v>2025.0</v>
      </c>
    </row>
    <row r="135">
      <c r="A135" s="66" t="s">
        <v>124</v>
      </c>
      <c r="B135" s="124" t="s">
        <v>125</v>
      </c>
      <c r="C135" s="66" t="s">
        <v>371</v>
      </c>
      <c r="D135" s="132" t="s">
        <v>61</v>
      </c>
      <c r="E135" s="66">
        <v>2026.0</v>
      </c>
    </row>
    <row r="136">
      <c r="A136" s="66" t="s">
        <v>124</v>
      </c>
      <c r="B136" s="124" t="s">
        <v>125</v>
      </c>
      <c r="C136" s="66" t="s">
        <v>371</v>
      </c>
      <c r="D136" s="132" t="s">
        <v>61</v>
      </c>
      <c r="E136" s="66">
        <v>2027.0</v>
      </c>
    </row>
    <row r="137">
      <c r="A137" s="66" t="s">
        <v>124</v>
      </c>
      <c r="B137" s="124" t="s">
        <v>125</v>
      </c>
      <c r="C137" s="66" t="s">
        <v>371</v>
      </c>
      <c r="D137" s="132" t="s">
        <v>61</v>
      </c>
      <c r="E137" s="66">
        <v>2028.0</v>
      </c>
    </row>
    <row r="138">
      <c r="A138" s="66" t="s">
        <v>124</v>
      </c>
      <c r="B138" s="124" t="s">
        <v>125</v>
      </c>
      <c r="C138" s="66" t="s">
        <v>371</v>
      </c>
      <c r="D138" s="132" t="s">
        <v>56</v>
      </c>
      <c r="E138" s="66">
        <v>2029.0</v>
      </c>
    </row>
    <row r="139">
      <c r="A139" s="66" t="s">
        <v>124</v>
      </c>
      <c r="B139" s="124" t="s">
        <v>125</v>
      </c>
      <c r="C139" s="66" t="s">
        <v>371</v>
      </c>
      <c r="D139" s="132" t="s">
        <v>56</v>
      </c>
      <c r="E139" s="66">
        <v>2030.0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2031.0</v>
      </c>
    </row>
    <row r="141">
      <c r="A141" s="66" t="s">
        <v>104</v>
      </c>
      <c r="B141" s="124" t="s">
        <v>105</v>
      </c>
      <c r="C141" s="66" t="s">
        <v>372</v>
      </c>
      <c r="D141" s="132" t="s">
        <v>61</v>
      </c>
      <c r="E141" s="66">
        <v>2012.0</v>
      </c>
    </row>
    <row r="142">
      <c r="A142" s="66" t="s">
        <v>104</v>
      </c>
      <c r="B142" s="124" t="s">
        <v>105</v>
      </c>
      <c r="C142" s="66" t="s">
        <v>372</v>
      </c>
      <c r="D142" s="132" t="s">
        <v>61</v>
      </c>
      <c r="E142" s="66">
        <v>2013.0</v>
      </c>
    </row>
    <row r="143">
      <c r="A143" s="66" t="s">
        <v>104</v>
      </c>
      <c r="B143" s="124" t="s">
        <v>105</v>
      </c>
      <c r="C143" s="66" t="s">
        <v>372</v>
      </c>
      <c r="D143" s="132" t="s">
        <v>61</v>
      </c>
      <c r="E143" s="66">
        <v>2014.0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2015.0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1478.0</v>
      </c>
    </row>
    <row r="146">
      <c r="D146" s="130"/>
    </row>
    <row r="147">
      <c r="D147" s="130"/>
    </row>
    <row r="148">
      <c r="D148" s="130"/>
    </row>
    <row r="149">
      <c r="D149" s="130"/>
    </row>
    <row r="150">
      <c r="D150" s="130"/>
    </row>
    <row r="151">
      <c r="D151" s="130"/>
    </row>
    <row r="152">
      <c r="D152" s="130"/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44645.0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148" t="s">
        <v>342</v>
      </c>
      <c r="AH6" s="148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148" t="s">
        <v>366</v>
      </c>
      <c r="BF6" s="148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G7" s="66">
        <v>7.0</v>
      </c>
      <c r="H7" s="83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G8" s="66">
        <v>9.0</v>
      </c>
      <c r="AM8" s="66">
        <v>2.3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G9" s="66">
        <v>2.0</v>
      </c>
      <c r="H9" s="83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G10" s="66">
        <v>7.0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G12" s="66">
        <v>8.0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G13" s="66">
        <v>10.0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G15" s="66">
        <v>7.0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G16" s="66">
        <v>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G18" s="66">
        <v>10.0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G19" s="66">
        <v>10.0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G21" s="66">
        <v>10.0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G22" s="66">
        <v>10.0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G23" s="66">
        <v>9.0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9.0</v>
      </c>
      <c r="H24" s="83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422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G25" s="66">
        <v>8.0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9.0</v>
      </c>
      <c r="H27" s="83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9.0</v>
      </c>
      <c r="H30" s="83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G31" s="66">
        <v>1.0</v>
      </c>
      <c r="H31" s="83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G32" s="66">
        <v>5.0</v>
      </c>
      <c r="H32" s="83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G33" s="66">
        <v>9.0</v>
      </c>
      <c r="H33" s="83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G34" s="66">
        <v>10.0</v>
      </c>
      <c r="H34" s="83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G35" s="66">
        <v>3.0</v>
      </c>
      <c r="H35" s="83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423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G36" s="66">
        <v>6.0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G37" s="66">
        <v>6.0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G38" s="66">
        <v>5.0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G39" s="66">
        <v>4.0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G40" s="66">
        <v>5.0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G41" s="66">
        <v>5.0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7.0</v>
      </c>
      <c r="H42" s="83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G44" s="66">
        <v>5.0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G46" s="66">
        <v>0.0</v>
      </c>
      <c r="H46" s="83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4.0</v>
      </c>
      <c r="H47" s="83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422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6.0</v>
      </c>
      <c r="H48" s="83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G49" s="66">
        <v>6.0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G50" s="66">
        <v>6.0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G51" s="66">
        <v>4.0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G53" s="66">
        <v>5.0</v>
      </c>
      <c r="H53" s="83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G54" s="66">
        <v>7.0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G55" s="66">
        <v>8.0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G56" s="66">
        <v>5.0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F57" s="66">
        <v>2.0</v>
      </c>
      <c r="G57" s="66">
        <v>5.0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G58" s="66">
        <v>5.0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G59" s="66">
        <v>0.0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G60" s="66">
        <v>7.0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G61" s="66">
        <v>6.0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G62" s="66">
        <v>7.0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G63" s="66">
        <v>6.0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G64" s="66">
        <v>4.0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G65" s="66">
        <v>7.0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G66" s="66">
        <v>5.0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G67" s="66">
        <v>0.0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G68" s="66">
        <v>5.0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G69" s="66">
        <v>7.0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G70" s="66">
        <v>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G71" s="66">
        <v>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G72" s="66">
        <v>2.0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G73" s="66">
        <v>7.0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G74" s="66">
        <v>7.0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G75" s="66">
        <v>6.0</v>
      </c>
      <c r="H75" s="83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G76" s="66">
        <v>7.0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G77" s="66">
        <v>4.0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G78" s="66">
        <v>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G79" s="66">
        <v>4.0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G80" s="66">
        <v>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G82" s="66">
        <v>0.0</v>
      </c>
      <c r="H82" s="83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G83" s="66">
        <v>4.0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G84" s="66">
        <v>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G85" s="66">
        <v>2.0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G86" s="66">
        <v>4.0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G87" s="66">
        <v>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G88" s="66">
        <v>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G89" s="66">
        <v>3.0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G90" s="66">
        <v>4.0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G91" s="66">
        <v>3.0</v>
      </c>
      <c r="H91" s="83">
        <v>44646.0</v>
      </c>
      <c r="I91" s="66">
        <v>1.15</v>
      </c>
      <c r="L91" s="66">
        <v>1.35</v>
      </c>
      <c r="O91" s="66">
        <v>1.25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G92" s="66">
        <v>5.0</v>
      </c>
      <c r="H92" s="83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G93" s="66">
        <v>7.0</v>
      </c>
      <c r="H93" s="83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G94" s="66">
        <v>5.0</v>
      </c>
      <c r="H94" s="83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G107" s="66">
        <v>10.0</v>
      </c>
      <c r="H107" s="83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G110" s="66">
        <v>10.0</v>
      </c>
      <c r="H110" s="83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G111" s="66">
        <v>10.0</v>
      </c>
      <c r="H111" s="83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G112" s="66">
        <v>10.0</v>
      </c>
      <c r="H112" s="83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104</v>
      </c>
      <c r="B117" s="124" t="s">
        <v>107</v>
      </c>
      <c r="C117" s="66" t="s">
        <v>104</v>
      </c>
      <c r="D117" s="132" t="s">
        <v>160</v>
      </c>
      <c r="E117" s="66" t="s">
        <v>163</v>
      </c>
    </row>
    <row r="118">
      <c r="A118" s="66" t="s">
        <v>124</v>
      </c>
      <c r="B118" s="124" t="s">
        <v>124</v>
      </c>
      <c r="C118" s="66" t="s">
        <v>124</v>
      </c>
      <c r="D118" s="132" t="s">
        <v>95</v>
      </c>
      <c r="E118" s="66" t="s">
        <v>159</v>
      </c>
    </row>
    <row r="119">
      <c r="A119" s="66" t="s">
        <v>104</v>
      </c>
      <c r="B119" s="124" t="s">
        <v>107</v>
      </c>
      <c r="C119" s="66" t="s">
        <v>104</v>
      </c>
      <c r="D119" s="132" t="s">
        <v>95</v>
      </c>
      <c r="E119" s="66" t="s">
        <v>162</v>
      </c>
    </row>
    <row r="120">
      <c r="A120" s="66" t="s">
        <v>98</v>
      </c>
      <c r="B120" s="124" t="s">
        <v>105</v>
      </c>
      <c r="C120" s="66" t="s">
        <v>370</v>
      </c>
      <c r="D120" s="132" t="s">
        <v>56</v>
      </c>
      <c r="E120" s="66">
        <v>2093.0</v>
      </c>
    </row>
    <row r="121">
      <c r="A121" s="66" t="s">
        <v>98</v>
      </c>
      <c r="B121" s="124" t="s">
        <v>105</v>
      </c>
      <c r="C121" s="66" t="s">
        <v>370</v>
      </c>
      <c r="D121" s="132" t="s">
        <v>56</v>
      </c>
      <c r="E121" s="66">
        <v>2092.0</v>
      </c>
    </row>
    <row r="122">
      <c r="A122" s="66" t="s">
        <v>98</v>
      </c>
      <c r="B122" s="124" t="s">
        <v>105</v>
      </c>
      <c r="C122" s="66" t="s">
        <v>370</v>
      </c>
      <c r="D122" s="132" t="s">
        <v>56</v>
      </c>
      <c r="E122" s="66">
        <v>2091.0</v>
      </c>
    </row>
    <row r="123">
      <c r="A123" s="66" t="s">
        <v>98</v>
      </c>
      <c r="B123" s="124" t="s">
        <v>105</v>
      </c>
      <c r="C123" s="66" t="s">
        <v>370</v>
      </c>
      <c r="D123" s="132" t="s">
        <v>61</v>
      </c>
      <c r="E123" s="66">
        <v>2090.0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2089.0</v>
      </c>
    </row>
    <row r="125">
      <c r="A125" s="66" t="s">
        <v>98</v>
      </c>
      <c r="B125" s="124" t="s">
        <v>105</v>
      </c>
      <c r="C125" s="66" t="s">
        <v>370</v>
      </c>
      <c r="D125" s="132" t="s">
        <v>61</v>
      </c>
      <c r="E125" s="66">
        <v>2088.0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2087.0</v>
      </c>
    </row>
    <row r="127">
      <c r="A127" s="66" t="s">
        <v>98</v>
      </c>
      <c r="B127" s="124" t="s">
        <v>105</v>
      </c>
      <c r="C127" s="66" t="s">
        <v>370</v>
      </c>
      <c r="D127" s="132" t="s">
        <v>61</v>
      </c>
      <c r="E127" s="66">
        <v>2086.0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2085.0</v>
      </c>
    </row>
    <row r="129">
      <c r="A129" s="66" t="s">
        <v>124</v>
      </c>
      <c r="B129" s="124" t="s">
        <v>124</v>
      </c>
      <c r="C129" s="66" t="s">
        <v>124</v>
      </c>
      <c r="D129" s="132" t="s">
        <v>61</v>
      </c>
      <c r="E129" s="66">
        <v>2020.0</v>
      </c>
    </row>
    <row r="130">
      <c r="A130" s="66" t="s">
        <v>124</v>
      </c>
      <c r="B130" s="124" t="s">
        <v>124</v>
      </c>
      <c r="C130" s="66" t="s">
        <v>124</v>
      </c>
      <c r="D130" s="132" t="s">
        <v>61</v>
      </c>
      <c r="E130" s="66">
        <v>2021.0</v>
      </c>
    </row>
    <row r="131">
      <c r="A131" s="66" t="s">
        <v>124</v>
      </c>
      <c r="B131" s="124" t="s">
        <v>124</v>
      </c>
      <c r="C131" s="66" t="s">
        <v>124</v>
      </c>
      <c r="D131" s="132" t="s">
        <v>56</v>
      </c>
      <c r="E131" s="66">
        <v>2022.0</v>
      </c>
    </row>
    <row r="132">
      <c r="A132" s="66" t="s">
        <v>124</v>
      </c>
      <c r="B132" s="124" t="s">
        <v>124</v>
      </c>
      <c r="C132" s="66" t="s">
        <v>124</v>
      </c>
      <c r="D132" s="132" t="s">
        <v>56</v>
      </c>
      <c r="E132" s="66">
        <v>2023.0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2024.0</v>
      </c>
    </row>
    <row r="134">
      <c r="A134" s="66" t="s">
        <v>124</v>
      </c>
      <c r="B134" s="124" t="s">
        <v>124</v>
      </c>
      <c r="C134" s="66" t="s">
        <v>124</v>
      </c>
      <c r="D134" s="132" t="s">
        <v>61</v>
      </c>
      <c r="E134" s="66">
        <v>2025.0</v>
      </c>
    </row>
    <row r="135">
      <c r="A135" s="66" t="s">
        <v>124</v>
      </c>
      <c r="B135" s="124" t="s">
        <v>125</v>
      </c>
      <c r="C135" s="66" t="s">
        <v>371</v>
      </c>
      <c r="D135" s="132" t="s">
        <v>61</v>
      </c>
      <c r="E135" s="66">
        <v>2026.0</v>
      </c>
    </row>
    <row r="136">
      <c r="A136" s="66" t="s">
        <v>124</v>
      </c>
      <c r="B136" s="124" t="s">
        <v>125</v>
      </c>
      <c r="C136" s="66" t="s">
        <v>371</v>
      </c>
      <c r="D136" s="132" t="s">
        <v>61</v>
      </c>
      <c r="E136" s="66">
        <v>2027.0</v>
      </c>
    </row>
    <row r="137">
      <c r="A137" s="66" t="s">
        <v>124</v>
      </c>
      <c r="B137" s="124" t="s">
        <v>125</v>
      </c>
      <c r="C137" s="66" t="s">
        <v>371</v>
      </c>
      <c r="D137" s="132" t="s">
        <v>61</v>
      </c>
      <c r="E137" s="66">
        <v>2028.0</v>
      </c>
    </row>
    <row r="138">
      <c r="A138" s="66" t="s">
        <v>124</v>
      </c>
      <c r="B138" s="124" t="s">
        <v>125</v>
      </c>
      <c r="C138" s="66" t="s">
        <v>371</v>
      </c>
      <c r="D138" s="132" t="s">
        <v>56</v>
      </c>
      <c r="E138" s="66">
        <v>2029.0</v>
      </c>
    </row>
    <row r="139">
      <c r="A139" s="66" t="s">
        <v>124</v>
      </c>
      <c r="B139" s="124" t="s">
        <v>125</v>
      </c>
      <c r="C139" s="66" t="s">
        <v>371</v>
      </c>
      <c r="D139" s="132" t="s">
        <v>56</v>
      </c>
      <c r="E139" s="66">
        <v>2030.0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2031.0</v>
      </c>
    </row>
    <row r="141">
      <c r="A141" s="66" t="s">
        <v>104</v>
      </c>
      <c r="B141" s="124" t="s">
        <v>105</v>
      </c>
      <c r="C141" s="66" t="s">
        <v>372</v>
      </c>
      <c r="D141" s="132" t="s">
        <v>61</v>
      </c>
      <c r="E141" s="66">
        <v>2012.0</v>
      </c>
    </row>
    <row r="142">
      <c r="A142" s="66" t="s">
        <v>104</v>
      </c>
      <c r="B142" s="124" t="s">
        <v>105</v>
      </c>
      <c r="C142" s="66" t="s">
        <v>372</v>
      </c>
      <c r="D142" s="132" t="s">
        <v>61</v>
      </c>
      <c r="E142" s="66">
        <v>2013.0</v>
      </c>
    </row>
    <row r="143">
      <c r="A143" s="66" t="s">
        <v>104</v>
      </c>
      <c r="B143" s="124" t="s">
        <v>105</v>
      </c>
      <c r="C143" s="66" t="s">
        <v>372</v>
      </c>
      <c r="D143" s="132" t="s">
        <v>61</v>
      </c>
      <c r="E143" s="66">
        <v>2014.0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2015.0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1478.0</v>
      </c>
    </row>
    <row r="146">
      <c r="A146" s="66" t="s">
        <v>89</v>
      </c>
      <c r="B146" s="124" t="s">
        <v>113</v>
      </c>
      <c r="C146" s="66" t="s">
        <v>374</v>
      </c>
      <c r="D146" s="132" t="s">
        <v>61</v>
      </c>
      <c r="E146" s="66">
        <v>2009.0</v>
      </c>
      <c r="G146" s="66">
        <v>8.0</v>
      </c>
      <c r="H146" s="83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24" t="s">
        <v>91</v>
      </c>
      <c r="C147" s="66" t="s">
        <v>373</v>
      </c>
      <c r="D147" s="132" t="s">
        <v>61</v>
      </c>
      <c r="E147" s="66">
        <v>2010.0</v>
      </c>
      <c r="G147" s="66">
        <v>10.0</v>
      </c>
      <c r="H147" s="83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422</v>
      </c>
    </row>
    <row r="148">
      <c r="D148" s="130"/>
      <c r="BE148" s="66">
        <v>0.665</v>
      </c>
      <c r="BF148" s="66">
        <v>0.193</v>
      </c>
    </row>
    <row r="149">
      <c r="D149" s="130"/>
    </row>
    <row r="150">
      <c r="D150" s="130"/>
    </row>
    <row r="151">
      <c r="D151" s="130"/>
    </row>
    <row r="152">
      <c r="D152" s="130"/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44650.0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J23" s="66">
        <v>0.4321</v>
      </c>
      <c r="M23" s="66">
        <v>1.1874</v>
      </c>
      <c r="P23" s="66">
        <v>0.9958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66">
        <v>1.11</v>
      </c>
      <c r="J27" s="82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2">
        <f>2.259-0.3092</f>
        <v>1.9498</v>
      </c>
      <c r="AH32" s="66">
        <v>1.251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104</v>
      </c>
      <c r="B117" s="124" t="s">
        <v>107</v>
      </c>
      <c r="C117" s="66" t="s">
        <v>104</v>
      </c>
      <c r="D117" s="132" t="s">
        <v>160</v>
      </c>
      <c r="E117" s="66" t="s">
        <v>163</v>
      </c>
    </row>
    <row r="118">
      <c r="A118" s="66" t="s">
        <v>124</v>
      </c>
      <c r="B118" s="124" t="s">
        <v>124</v>
      </c>
      <c r="C118" s="66" t="s">
        <v>124</v>
      </c>
      <c r="D118" s="132" t="s">
        <v>95</v>
      </c>
      <c r="E118" s="66" t="s">
        <v>159</v>
      </c>
    </row>
    <row r="119">
      <c r="A119" s="66" t="s">
        <v>104</v>
      </c>
      <c r="B119" s="124" t="s">
        <v>107</v>
      </c>
      <c r="C119" s="66" t="s">
        <v>104</v>
      </c>
      <c r="D119" s="132" t="s">
        <v>95</v>
      </c>
      <c r="E119" s="66" t="s">
        <v>162</v>
      </c>
    </row>
    <row r="120">
      <c r="A120" s="66" t="s">
        <v>98</v>
      </c>
      <c r="B120" s="124" t="s">
        <v>105</v>
      </c>
      <c r="C120" s="66" t="s">
        <v>370</v>
      </c>
      <c r="D120" s="132" t="s">
        <v>56</v>
      </c>
      <c r="E120" s="66">
        <v>2093.0</v>
      </c>
    </row>
    <row r="121">
      <c r="A121" s="66" t="s">
        <v>98</v>
      </c>
      <c r="B121" s="124" t="s">
        <v>105</v>
      </c>
      <c r="C121" s="66" t="s">
        <v>370</v>
      </c>
      <c r="D121" s="132" t="s">
        <v>56</v>
      </c>
      <c r="E121" s="66">
        <v>2092.0</v>
      </c>
    </row>
    <row r="122">
      <c r="A122" s="66" t="s">
        <v>98</v>
      </c>
      <c r="B122" s="124" t="s">
        <v>105</v>
      </c>
      <c r="C122" s="66" t="s">
        <v>370</v>
      </c>
      <c r="D122" s="132" t="s">
        <v>56</v>
      </c>
      <c r="E122" s="66">
        <v>2091.0</v>
      </c>
    </row>
    <row r="123">
      <c r="A123" s="66" t="s">
        <v>98</v>
      </c>
      <c r="B123" s="124" t="s">
        <v>105</v>
      </c>
      <c r="C123" s="66" t="s">
        <v>370</v>
      </c>
      <c r="D123" s="132" t="s">
        <v>61</v>
      </c>
      <c r="E123" s="66">
        <v>2090.0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2089.0</v>
      </c>
    </row>
    <row r="125">
      <c r="A125" s="66" t="s">
        <v>98</v>
      </c>
      <c r="B125" s="124" t="s">
        <v>105</v>
      </c>
      <c r="C125" s="66" t="s">
        <v>370</v>
      </c>
      <c r="D125" s="132" t="s">
        <v>61</v>
      </c>
      <c r="E125" s="66">
        <v>2088.0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2087.0</v>
      </c>
    </row>
    <row r="127">
      <c r="A127" s="66" t="s">
        <v>98</v>
      </c>
      <c r="B127" s="124" t="s">
        <v>105</v>
      </c>
      <c r="C127" s="66" t="s">
        <v>370</v>
      </c>
      <c r="D127" s="132" t="s">
        <v>61</v>
      </c>
      <c r="E127" s="66">
        <v>2086.0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2085.0</v>
      </c>
    </row>
    <row r="129">
      <c r="A129" s="66" t="s">
        <v>124</v>
      </c>
      <c r="B129" s="124" t="s">
        <v>124</v>
      </c>
      <c r="C129" s="66" t="s">
        <v>124</v>
      </c>
      <c r="D129" s="132" t="s">
        <v>61</v>
      </c>
      <c r="E129" s="66">
        <v>2020.0</v>
      </c>
    </row>
    <row r="130">
      <c r="A130" s="66" t="s">
        <v>124</v>
      </c>
      <c r="B130" s="124" t="s">
        <v>124</v>
      </c>
      <c r="C130" s="66" t="s">
        <v>124</v>
      </c>
      <c r="D130" s="132" t="s">
        <v>61</v>
      </c>
      <c r="E130" s="66">
        <v>2021.0</v>
      </c>
    </row>
    <row r="131">
      <c r="A131" s="66" t="s">
        <v>124</v>
      </c>
      <c r="B131" s="124" t="s">
        <v>124</v>
      </c>
      <c r="C131" s="66" t="s">
        <v>124</v>
      </c>
      <c r="D131" s="132" t="s">
        <v>56</v>
      </c>
      <c r="E131" s="66">
        <v>2022.0</v>
      </c>
    </row>
    <row r="132">
      <c r="A132" s="66" t="s">
        <v>124</v>
      </c>
      <c r="B132" s="124" t="s">
        <v>124</v>
      </c>
      <c r="C132" s="66" t="s">
        <v>124</v>
      </c>
      <c r="D132" s="132" t="s">
        <v>56</v>
      </c>
      <c r="E132" s="66">
        <v>2023.0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2024.0</v>
      </c>
    </row>
    <row r="134">
      <c r="A134" s="66" t="s">
        <v>124</v>
      </c>
      <c r="B134" s="124" t="s">
        <v>124</v>
      </c>
      <c r="C134" s="66" t="s">
        <v>124</v>
      </c>
      <c r="D134" s="132" t="s">
        <v>61</v>
      </c>
      <c r="E134" s="66">
        <v>2025.0</v>
      </c>
    </row>
    <row r="135">
      <c r="A135" s="66" t="s">
        <v>124</v>
      </c>
      <c r="B135" s="124" t="s">
        <v>125</v>
      </c>
      <c r="C135" s="66" t="s">
        <v>371</v>
      </c>
      <c r="D135" s="132" t="s">
        <v>61</v>
      </c>
      <c r="E135" s="66">
        <v>2026.0</v>
      </c>
    </row>
    <row r="136">
      <c r="A136" s="66" t="s">
        <v>124</v>
      </c>
      <c r="B136" s="124" t="s">
        <v>125</v>
      </c>
      <c r="C136" s="66" t="s">
        <v>371</v>
      </c>
      <c r="D136" s="132" t="s">
        <v>61</v>
      </c>
      <c r="E136" s="66">
        <v>2027.0</v>
      </c>
    </row>
    <row r="137">
      <c r="A137" s="66" t="s">
        <v>124</v>
      </c>
      <c r="B137" s="124" t="s">
        <v>125</v>
      </c>
      <c r="C137" s="66" t="s">
        <v>371</v>
      </c>
      <c r="D137" s="132" t="s">
        <v>61</v>
      </c>
      <c r="E137" s="66">
        <v>2028.0</v>
      </c>
    </row>
    <row r="138">
      <c r="A138" s="66" t="s">
        <v>124</v>
      </c>
      <c r="B138" s="124" t="s">
        <v>125</v>
      </c>
      <c r="C138" s="66" t="s">
        <v>371</v>
      </c>
      <c r="D138" s="132" t="s">
        <v>56</v>
      </c>
      <c r="E138" s="66">
        <v>2029.0</v>
      </c>
    </row>
    <row r="139">
      <c r="A139" s="66" t="s">
        <v>124</v>
      </c>
      <c r="B139" s="124" t="s">
        <v>125</v>
      </c>
      <c r="C139" s="66" t="s">
        <v>371</v>
      </c>
      <c r="D139" s="132" t="s">
        <v>56</v>
      </c>
      <c r="E139" s="66">
        <v>2030.0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2031.0</v>
      </c>
    </row>
    <row r="141">
      <c r="A141" s="66" t="s">
        <v>104</v>
      </c>
      <c r="B141" s="124" t="s">
        <v>105</v>
      </c>
      <c r="C141" s="66" t="s">
        <v>372</v>
      </c>
      <c r="D141" s="132" t="s">
        <v>61</v>
      </c>
      <c r="E141" s="66">
        <v>2012.0</v>
      </c>
    </row>
    <row r="142">
      <c r="A142" s="66" t="s">
        <v>104</v>
      </c>
      <c r="B142" s="124" t="s">
        <v>105</v>
      </c>
      <c r="C142" s="66" t="s">
        <v>372</v>
      </c>
      <c r="D142" s="132" t="s">
        <v>61</v>
      </c>
      <c r="E142" s="66">
        <v>2013.0</v>
      </c>
    </row>
    <row r="143">
      <c r="A143" s="66" t="s">
        <v>104</v>
      </c>
      <c r="B143" s="124" t="s">
        <v>105</v>
      </c>
      <c r="C143" s="66" t="s">
        <v>372</v>
      </c>
      <c r="D143" s="132" t="s">
        <v>61</v>
      </c>
      <c r="E143" s="66">
        <v>2014.0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2015.0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1478.0</v>
      </c>
    </row>
    <row r="146">
      <c r="A146" s="66" t="s">
        <v>89</v>
      </c>
      <c r="B146" s="124" t="s">
        <v>91</v>
      </c>
      <c r="D146" s="132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24" t="s">
        <v>113</v>
      </c>
      <c r="D147" s="132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49">
        <v>12544.0</v>
      </c>
      <c r="AG147" s="66">
        <v>0.3815</v>
      </c>
      <c r="AH147" s="66">
        <v>0.161</v>
      </c>
    </row>
    <row r="148">
      <c r="D148" s="130"/>
    </row>
    <row r="149">
      <c r="D149" s="130"/>
    </row>
    <row r="150">
      <c r="D150" s="130"/>
    </row>
    <row r="151">
      <c r="D151" s="130"/>
    </row>
    <row r="152">
      <c r="D152" s="130"/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50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</row>
    <row r="2"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44655.0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1.708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52"/>
      <c r="AK121" s="153">
        <v>0.4501</v>
      </c>
      <c r="AL121" s="153">
        <v>0.195</v>
      </c>
      <c r="AM121" s="152"/>
      <c r="AN121" s="153">
        <v>0.3369</v>
      </c>
      <c r="AO121" s="153">
        <v>0.13</v>
      </c>
      <c r="AP121" s="152"/>
      <c r="AQ121" s="153">
        <v>0.4701</v>
      </c>
      <c r="AR121" s="153">
        <v>0.194</v>
      </c>
      <c r="AS121" s="152"/>
      <c r="AT121" s="153">
        <v>0.3753</v>
      </c>
      <c r="AU121" s="153">
        <v>0.153</v>
      </c>
      <c r="AV121" s="152"/>
      <c r="AW121" s="153">
        <v>0.5224</v>
      </c>
      <c r="AX121" s="153">
        <v>0.23</v>
      </c>
      <c r="AY121" s="152"/>
      <c r="AZ121" s="153">
        <v>0.2636</v>
      </c>
      <c r="BA121" s="153">
        <v>0.0969</v>
      </c>
      <c r="BB121" s="152"/>
      <c r="BC121" s="153">
        <v>0.3076</v>
      </c>
      <c r="BD121" s="153">
        <v>0.1254</v>
      </c>
      <c r="BE121" s="152"/>
      <c r="BH121" s="66" t="s">
        <v>424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52"/>
      <c r="AK122" s="153">
        <v>0.4942</v>
      </c>
      <c r="AL122" s="153">
        <v>0.192</v>
      </c>
      <c r="AM122" s="152"/>
      <c r="AN122" s="153">
        <v>0.3831</v>
      </c>
      <c r="AO122" s="153">
        <v>0.143</v>
      </c>
      <c r="AP122" s="152"/>
      <c r="AQ122" s="153">
        <v>0.4603</v>
      </c>
      <c r="AR122" s="153">
        <v>0.183</v>
      </c>
      <c r="AS122" s="152"/>
      <c r="AT122" s="153">
        <v>0.509</v>
      </c>
      <c r="AU122" s="153">
        <v>0.202</v>
      </c>
      <c r="AV122" s="152"/>
      <c r="AW122" s="153">
        <v>0.4314</v>
      </c>
      <c r="AX122" s="153">
        <v>0.178</v>
      </c>
      <c r="AY122" s="152"/>
      <c r="AZ122" s="153">
        <v>0.495</v>
      </c>
      <c r="BA122" s="153">
        <v>0.202</v>
      </c>
      <c r="BB122" s="152"/>
      <c r="BC122" s="153">
        <v>0.3649</v>
      </c>
      <c r="BD122" s="153">
        <v>0.118</v>
      </c>
      <c r="BE122" s="152"/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52"/>
      <c r="AK123" s="153">
        <v>0.2072</v>
      </c>
      <c r="AL123" s="153">
        <v>0.131</v>
      </c>
      <c r="AM123" s="152"/>
      <c r="AN123" s="153">
        <v>0.2947</v>
      </c>
      <c r="AO123" s="153">
        <v>0.189</v>
      </c>
      <c r="AP123" s="152"/>
      <c r="AQ123" s="153">
        <v>0.2476</v>
      </c>
      <c r="AR123" s="153">
        <v>0.1572</v>
      </c>
      <c r="AS123" s="152"/>
      <c r="AT123" s="152"/>
      <c r="AU123" s="152"/>
      <c r="AV123" s="152"/>
      <c r="AW123" s="152"/>
      <c r="AX123" s="152"/>
      <c r="AY123" s="152"/>
      <c r="AZ123" s="152"/>
      <c r="BA123" s="152"/>
      <c r="BB123" s="152"/>
      <c r="BC123" s="152"/>
      <c r="BD123" s="152"/>
      <c r="BE123" s="152"/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52"/>
      <c r="AK124" s="153">
        <v>0.2563</v>
      </c>
      <c r="AL124" s="153">
        <v>0.1598</v>
      </c>
      <c r="AM124" s="152"/>
      <c r="AN124" s="153">
        <v>0.2228</v>
      </c>
      <c r="AO124" s="153">
        <v>0.1357</v>
      </c>
      <c r="AP124" s="152"/>
      <c r="AQ124" s="153">
        <v>0.2347</v>
      </c>
      <c r="AR124" s="153">
        <v>0.1475</v>
      </c>
      <c r="AS124" s="152"/>
      <c r="AT124" s="152"/>
      <c r="AU124" s="152"/>
      <c r="AV124" s="152"/>
      <c r="AW124" s="152"/>
      <c r="AX124" s="152"/>
      <c r="AY124" s="152"/>
      <c r="AZ124" s="152"/>
      <c r="BA124" s="152"/>
      <c r="BB124" s="152"/>
      <c r="BC124" s="152"/>
      <c r="BD124" s="152"/>
      <c r="BE124" s="152"/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52"/>
      <c r="AK125" s="153">
        <v>0.1581</v>
      </c>
      <c r="AL125" s="153">
        <v>0.0977</v>
      </c>
      <c r="AM125" s="152"/>
      <c r="AN125" s="153">
        <v>0.3005</v>
      </c>
      <c r="AO125" s="153">
        <v>0.1922</v>
      </c>
      <c r="AP125" s="152"/>
      <c r="AQ125" s="153">
        <v>0.2013</v>
      </c>
      <c r="AR125" s="153">
        <v>0.128</v>
      </c>
      <c r="AS125" s="152"/>
      <c r="AT125" s="153">
        <v>0.1564</v>
      </c>
      <c r="AU125" s="153">
        <v>0.0969</v>
      </c>
      <c r="AV125" s="152"/>
      <c r="AW125" s="152"/>
      <c r="AX125" s="152"/>
      <c r="AY125" s="152"/>
      <c r="AZ125" s="152"/>
      <c r="BA125" s="152"/>
      <c r="BB125" s="152"/>
      <c r="BC125" s="152"/>
      <c r="BD125" s="152"/>
      <c r="BE125" s="152"/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52"/>
      <c r="AK126" s="153">
        <v>0.245</v>
      </c>
      <c r="AL126" s="153">
        <v>0.1151</v>
      </c>
      <c r="AM126" s="152"/>
      <c r="AN126" s="153">
        <v>0.1749</v>
      </c>
      <c r="AO126" s="153">
        <v>0.0802</v>
      </c>
      <c r="AP126" s="152"/>
      <c r="AQ126" s="153">
        <v>0.1308</v>
      </c>
      <c r="AR126" s="153">
        <v>0.0548</v>
      </c>
      <c r="AS126" s="152"/>
      <c r="AT126" s="15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152"/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52"/>
      <c r="AK127" s="153">
        <v>0.3085</v>
      </c>
      <c r="AL127" s="153">
        <v>0.2047</v>
      </c>
      <c r="AM127" s="152"/>
      <c r="AN127" s="153">
        <v>0.296</v>
      </c>
      <c r="AO127" s="153">
        <v>0.1837</v>
      </c>
      <c r="AP127" s="152"/>
      <c r="AQ127" s="153">
        <v>0.2918</v>
      </c>
      <c r="AR127" s="153">
        <v>0.1853</v>
      </c>
      <c r="AS127" s="152"/>
      <c r="AT127" s="153">
        <v>0.3522</v>
      </c>
      <c r="AU127" s="153">
        <v>0.2239</v>
      </c>
      <c r="AV127" s="152"/>
      <c r="AW127" s="152"/>
      <c r="AX127" s="152"/>
      <c r="AY127" s="152"/>
      <c r="AZ127" s="152"/>
      <c r="BA127" s="152"/>
      <c r="BB127" s="152"/>
      <c r="BC127" s="152"/>
      <c r="BD127" s="152"/>
      <c r="BE127" s="152"/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52"/>
      <c r="AK128" s="153">
        <v>0.1174</v>
      </c>
      <c r="AL128" s="153">
        <v>0.055</v>
      </c>
      <c r="AM128" s="152"/>
      <c r="AN128" s="153">
        <v>0.1172</v>
      </c>
      <c r="AO128" s="153">
        <v>0.057</v>
      </c>
      <c r="AP128" s="152"/>
      <c r="AQ128" s="153">
        <v>0.0981</v>
      </c>
      <c r="AR128" s="153">
        <v>0.044</v>
      </c>
      <c r="AS128" s="152"/>
      <c r="AT128" s="15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152"/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52"/>
      <c r="AK129" s="153">
        <v>0.1126</v>
      </c>
      <c r="AL129" s="153">
        <v>0.048</v>
      </c>
      <c r="AM129" s="152"/>
      <c r="AN129" s="153">
        <v>0.093</v>
      </c>
      <c r="AO129" s="153">
        <v>0.037</v>
      </c>
      <c r="AP129" s="152"/>
      <c r="AQ129" s="153">
        <v>0.2112</v>
      </c>
      <c r="AR129" s="153">
        <v>0.091</v>
      </c>
      <c r="AS129" s="152"/>
      <c r="AT129" s="152"/>
      <c r="AU129" s="152"/>
      <c r="AV129" s="152"/>
      <c r="AW129" s="152"/>
      <c r="AX129" s="152"/>
      <c r="AY129" s="152"/>
      <c r="AZ129" s="152"/>
      <c r="BA129" s="152"/>
      <c r="BB129" s="152"/>
      <c r="BC129" s="152"/>
      <c r="BD129" s="152"/>
      <c r="BE129" s="152"/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53">
        <v>1.4</v>
      </c>
      <c r="AK130" s="153">
        <v>0.1492</v>
      </c>
      <c r="AL130" s="153">
        <v>0.058</v>
      </c>
      <c r="AM130" s="153">
        <v>0.8</v>
      </c>
      <c r="AN130" s="153">
        <v>0.1407</v>
      </c>
      <c r="AO130" s="153">
        <v>0.052</v>
      </c>
      <c r="AP130" s="153">
        <v>0.75</v>
      </c>
      <c r="AQ130" s="153">
        <v>0.105</v>
      </c>
      <c r="AR130" s="153">
        <v>0.038</v>
      </c>
      <c r="AS130" s="153">
        <v>0.5</v>
      </c>
      <c r="AT130" s="153">
        <v>0.1181</v>
      </c>
      <c r="AU130" s="153">
        <v>0.044</v>
      </c>
      <c r="AV130" s="152"/>
      <c r="AW130" s="152"/>
      <c r="AX130" s="152"/>
      <c r="AY130" s="152"/>
      <c r="AZ130" s="152"/>
      <c r="BA130" s="152"/>
      <c r="BB130" s="152"/>
      <c r="BC130" s="152"/>
      <c r="BD130" s="152"/>
      <c r="BE130" s="152"/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52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52"/>
      <c r="AT131" s="152"/>
      <c r="AU131" s="152"/>
      <c r="AV131" s="152"/>
      <c r="AW131" s="152"/>
      <c r="AX131" s="152"/>
      <c r="AY131" s="152"/>
      <c r="AZ131" s="152"/>
      <c r="BA131" s="152"/>
      <c r="BB131" s="152"/>
      <c r="BC131" s="152"/>
      <c r="BD131" s="152"/>
      <c r="BE131" s="152"/>
      <c r="BH131" s="66" t="s">
        <v>425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24" t="s">
        <v>91</v>
      </c>
      <c r="C149" s="154"/>
      <c r="D149" s="132" t="s">
        <v>61</v>
      </c>
      <c r="E149" s="86">
        <v>2011.0</v>
      </c>
      <c r="F149" s="154"/>
      <c r="G149" s="154"/>
      <c r="H149" s="154"/>
      <c r="I149" s="86">
        <v>1.05</v>
      </c>
      <c r="J149" s="154"/>
      <c r="K149" s="154"/>
      <c r="L149" s="86">
        <v>0.617</v>
      </c>
      <c r="M149" s="154"/>
      <c r="N149" s="154"/>
      <c r="O149" s="86">
        <v>0.902</v>
      </c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86">
        <v>0.925</v>
      </c>
      <c r="AH149" s="86">
        <v>0.4686</v>
      </c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4"/>
      <c r="AV149" s="154"/>
      <c r="AW149" s="154"/>
      <c r="AX149" s="154"/>
      <c r="AY149" s="154"/>
      <c r="AZ149" s="154"/>
      <c r="BA149" s="154"/>
      <c r="BB149" s="154"/>
      <c r="BC149" s="154"/>
      <c r="BD149" s="154"/>
      <c r="BE149" s="154"/>
      <c r="BF149" s="154"/>
      <c r="BG149" s="154"/>
      <c r="BH149" s="154"/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A157" s="155"/>
      <c r="B157" s="156"/>
      <c r="C157" s="156"/>
      <c r="D157" s="157"/>
      <c r="E157" s="156"/>
      <c r="F157" s="156"/>
      <c r="G157" s="156"/>
      <c r="H157" s="157"/>
      <c r="I157" s="158"/>
      <c r="J157" s="154"/>
      <c r="K157" s="86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</sheetData>
  <conditionalFormatting sqref="I157">
    <cfRule type="cellIs" dxfId="1" priority="1" operator="greaterThan">
      <formula>3</formula>
    </cfRule>
  </conditionalFormatting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44657.0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F9" s="66">
        <v>2.0</v>
      </c>
      <c r="G9" s="159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F10" s="66">
        <v>7.0</v>
      </c>
      <c r="G10" s="66">
        <v>9.0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F12" s="66">
        <v>7.0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F13" s="66">
        <v>10.0</v>
      </c>
      <c r="G13" s="66">
        <v>10.0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F16" s="66">
        <v>9.0</v>
      </c>
      <c r="G16" s="66">
        <v>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F19" s="66">
        <v>10.0</v>
      </c>
      <c r="G19" s="66">
        <v>10.0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F21" s="66">
        <v>10.0</v>
      </c>
      <c r="G21" s="66">
        <v>10.0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F22" s="66">
        <v>10.0</v>
      </c>
      <c r="G22" s="66">
        <v>10.0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F23" s="66">
        <v>9.0</v>
      </c>
      <c r="G23" s="66">
        <v>10.0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F25" s="66">
        <v>8.0</v>
      </c>
      <c r="G25" s="66">
        <v>9.0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F36" s="66">
        <v>6.0</v>
      </c>
      <c r="G36" s="66">
        <v>6.0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F37" s="66">
        <v>6.0</v>
      </c>
      <c r="G37" s="66">
        <v>6.0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F38" s="66">
        <v>5.0</v>
      </c>
      <c r="G38" s="66">
        <v>6.0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F39" s="66">
        <v>4.0</v>
      </c>
      <c r="G39" s="66">
        <v>4.0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F40" s="66">
        <v>5.0</v>
      </c>
      <c r="G40" s="66">
        <v>5.0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F41" s="66">
        <v>5.0</v>
      </c>
      <c r="G41" s="66">
        <v>6.0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F44" s="66">
        <v>5.0</v>
      </c>
      <c r="G44" s="66">
        <v>7.0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F49" s="66">
        <v>6.0</v>
      </c>
      <c r="G49" s="66">
        <v>7.0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F50" s="66">
        <v>6.0</v>
      </c>
      <c r="G50" s="66">
        <v>6.0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F51" s="66">
        <v>4.0</v>
      </c>
      <c r="G51" s="66" t="s">
        <v>426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F52" s="66">
        <v>5.0</v>
      </c>
      <c r="G52" s="66" t="s">
        <v>427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F53" s="66">
        <v>5.0</v>
      </c>
      <c r="G53" s="66" t="s">
        <v>428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G54" s="66">
        <v>7.0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G56" s="66">
        <v>6.0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G57" s="66">
        <v>7.0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F58" s="66">
        <v>5.0</v>
      </c>
      <c r="G58" s="66">
        <v>5.0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F59" s="66">
        <v>5.0</v>
      </c>
      <c r="G59" s="66">
        <v>8.0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F60" s="66">
        <v>7.0</v>
      </c>
      <c r="G60" s="66">
        <v>7.0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F61" s="66">
        <v>6.0</v>
      </c>
      <c r="G61" s="66" t="s">
        <v>429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F62" s="66">
        <v>7.0</v>
      </c>
      <c r="G62" s="66" t="s">
        <v>429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F63" s="66">
        <v>6.0</v>
      </c>
      <c r="G63" s="66" t="s">
        <v>429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F64" s="66">
        <v>8.0</v>
      </c>
      <c r="G64" s="66">
        <v>5.0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F65" s="66">
        <v>7.0</v>
      </c>
      <c r="G65" s="66">
        <v>8.0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F66" s="66">
        <v>5.0</v>
      </c>
      <c r="G66" s="66">
        <v>6.0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F67" s="66">
        <v>0.0</v>
      </c>
      <c r="G67" s="66">
        <v>8.0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F68" s="66" t="s">
        <v>427</v>
      </c>
      <c r="G68" s="66">
        <v>6.0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F69" s="66">
        <v>7.0</v>
      </c>
      <c r="G69" s="66">
        <v>7.0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F70" s="66">
        <v>7.0</v>
      </c>
      <c r="G70" s="66">
        <v>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F71" s="66">
        <v>6.0</v>
      </c>
      <c r="G71" s="66" t="s">
        <v>429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F72" s="66">
        <v>7.0</v>
      </c>
      <c r="G72" s="66">
        <v>7.0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F73" s="66">
        <v>7.0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F74" s="66">
        <v>7.0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F75" s="66" t="s">
        <v>430</v>
      </c>
      <c r="G75" s="66" t="s">
        <v>431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F76" s="66">
        <v>7.0</v>
      </c>
      <c r="G76" s="66">
        <v>7.0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F77" s="66">
        <v>4.0</v>
      </c>
      <c r="G77" s="66">
        <v>5.0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F78" s="66">
        <v>4.0</v>
      </c>
      <c r="G78" s="66">
        <v>5.0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F79" s="66">
        <v>4.0</v>
      </c>
      <c r="G79" s="66">
        <v>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F80" s="66">
        <v>5.0</v>
      </c>
      <c r="G80" s="66">
        <v>6.0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F82" s="66" t="s">
        <v>427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F83" s="66">
        <v>4.0</v>
      </c>
      <c r="G83" s="66">
        <v>5.0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F84" s="66">
        <v>3.0</v>
      </c>
      <c r="G84" s="66">
        <v>4.0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F85" s="66">
        <v>2.0</v>
      </c>
      <c r="G85" s="66">
        <v>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F86" s="66">
        <v>4.0</v>
      </c>
      <c r="G86" s="66">
        <v>6.0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F87" s="66">
        <v>6.0</v>
      </c>
      <c r="G87" s="66">
        <v>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F88" s="66">
        <v>7.0</v>
      </c>
      <c r="G88" s="66">
        <v>8.0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F89" s="66">
        <v>3.0</v>
      </c>
      <c r="G89" s="66">
        <v>4.0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F90" s="66">
        <v>4.0</v>
      </c>
      <c r="G90" s="66">
        <v>6.0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F94" s="66">
        <v>5.0</v>
      </c>
      <c r="G94" s="66">
        <v>5.0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G123" s="66">
        <v>4.0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G124" s="66">
        <v>10.0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G125" s="66">
        <v>6.0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G126" s="66">
        <v>7.0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G127" s="66">
        <v>3.0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G128" s="66">
        <v>5.0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G130" s="83">
        <v>44750.0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G131" s="66">
        <v>5.0</v>
      </c>
    </row>
    <row r="132">
      <c r="A132" s="66"/>
      <c r="B132" s="124"/>
      <c r="C132" s="66"/>
      <c r="D132" s="132"/>
      <c r="E132" s="153">
        <v>2084.0</v>
      </c>
      <c r="F132" s="153">
        <v>10.0</v>
      </c>
      <c r="G132" s="153">
        <v>10.0</v>
      </c>
    </row>
    <row r="133">
      <c r="A133" s="66"/>
      <c r="B133" s="124"/>
      <c r="C133" s="66"/>
      <c r="D133" s="132"/>
      <c r="E133" s="153">
        <v>2083.0</v>
      </c>
      <c r="F133" s="153">
        <v>10.0</v>
      </c>
      <c r="G133" s="153">
        <v>10.0</v>
      </c>
    </row>
    <row r="134">
      <c r="A134" s="66"/>
      <c r="B134" s="124"/>
      <c r="C134" s="66"/>
      <c r="D134" s="132"/>
      <c r="E134" s="153">
        <v>2042.0</v>
      </c>
      <c r="F134" s="153">
        <v>10.0</v>
      </c>
      <c r="G134" s="153">
        <v>10.0</v>
      </c>
    </row>
    <row r="135">
      <c r="A135" s="66"/>
      <c r="B135" s="124"/>
      <c r="C135" s="66"/>
      <c r="D135" s="132"/>
      <c r="E135" s="153">
        <v>2081.0</v>
      </c>
      <c r="F135" s="153">
        <v>10.0</v>
      </c>
      <c r="G135" s="153">
        <v>10.0</v>
      </c>
    </row>
    <row r="136">
      <c r="A136" s="66"/>
      <c r="B136" s="124"/>
      <c r="C136" s="66"/>
      <c r="D136" s="132"/>
      <c r="E136" s="153">
        <v>2080.0</v>
      </c>
      <c r="F136" s="153"/>
      <c r="G136" s="153">
        <v>5.0</v>
      </c>
    </row>
    <row r="137">
      <c r="A137" s="66"/>
      <c r="B137" s="124"/>
      <c r="C137" s="66"/>
      <c r="D137" s="132"/>
      <c r="E137" s="153">
        <v>2079.0</v>
      </c>
      <c r="F137" s="153">
        <v>10.0</v>
      </c>
      <c r="G137" s="153">
        <v>10.0</v>
      </c>
    </row>
    <row r="138">
      <c r="A138" s="66"/>
      <c r="B138" s="124"/>
      <c r="C138" s="66"/>
      <c r="D138" s="132"/>
      <c r="E138" s="153">
        <v>2078.0</v>
      </c>
      <c r="F138" s="153">
        <v>9.0</v>
      </c>
      <c r="G138" s="153">
        <v>10.0</v>
      </c>
    </row>
    <row r="139">
      <c r="A139" s="66"/>
      <c r="B139" s="124"/>
      <c r="C139" s="66"/>
      <c r="D139" s="132"/>
      <c r="E139" s="153">
        <v>2077.0</v>
      </c>
      <c r="F139" s="153"/>
      <c r="G139" s="153">
        <v>6.0</v>
      </c>
    </row>
    <row r="140">
      <c r="A140" s="66"/>
      <c r="B140" s="124"/>
      <c r="C140" s="66"/>
      <c r="D140" s="132"/>
      <c r="E140" s="153">
        <v>2076.0</v>
      </c>
      <c r="F140" s="153"/>
      <c r="G140" s="153">
        <v>8.0</v>
      </c>
    </row>
    <row r="141">
      <c r="A141" s="66"/>
      <c r="B141" s="124"/>
      <c r="C141" s="66"/>
      <c r="D141" s="132"/>
      <c r="E141" s="153">
        <v>2053.0</v>
      </c>
      <c r="F141" s="153"/>
      <c r="G141" s="153">
        <v>9.0</v>
      </c>
    </row>
    <row r="142">
      <c r="A142" s="66"/>
      <c r="B142" s="124"/>
      <c r="C142" s="66"/>
      <c r="D142" s="132"/>
      <c r="E142" s="153">
        <v>2052.0</v>
      </c>
      <c r="F142" s="153"/>
      <c r="G142" s="153">
        <v>7.0</v>
      </c>
    </row>
    <row r="143">
      <c r="A143" s="66" t="s">
        <v>124</v>
      </c>
      <c r="B143" s="124" t="s">
        <v>124</v>
      </c>
      <c r="C143" s="66" t="s">
        <v>124</v>
      </c>
      <c r="D143" s="132" t="s">
        <v>61</v>
      </c>
      <c r="E143" s="66">
        <v>2020.0</v>
      </c>
      <c r="G143" s="66">
        <v>8.0</v>
      </c>
    </row>
    <row r="144">
      <c r="A144" s="66" t="s">
        <v>124</v>
      </c>
      <c r="B144" s="124" t="s">
        <v>124</v>
      </c>
      <c r="C144" s="66" t="s">
        <v>124</v>
      </c>
      <c r="D144" s="132" t="s">
        <v>61</v>
      </c>
      <c r="E144" s="66">
        <v>2021.0</v>
      </c>
      <c r="G144" s="66">
        <v>6.0</v>
      </c>
    </row>
    <row r="145">
      <c r="A145" s="66" t="s">
        <v>124</v>
      </c>
      <c r="B145" s="124" t="s">
        <v>124</v>
      </c>
      <c r="C145" s="66" t="s">
        <v>124</v>
      </c>
      <c r="D145" s="132" t="s">
        <v>56</v>
      </c>
      <c r="E145" s="66">
        <v>2022.0</v>
      </c>
    </row>
    <row r="146">
      <c r="A146" s="66" t="s">
        <v>124</v>
      </c>
      <c r="B146" s="124" t="s">
        <v>124</v>
      </c>
      <c r="C146" s="66" t="s">
        <v>124</v>
      </c>
      <c r="D146" s="132" t="s">
        <v>56</v>
      </c>
      <c r="E146" s="66">
        <v>2023.0</v>
      </c>
      <c r="G146" s="66">
        <v>8.0</v>
      </c>
    </row>
    <row r="147">
      <c r="A147" s="66" t="s">
        <v>124</v>
      </c>
      <c r="B147" s="124" t="s">
        <v>124</v>
      </c>
      <c r="C147" s="66" t="s">
        <v>124</v>
      </c>
      <c r="D147" s="132" t="s">
        <v>61</v>
      </c>
      <c r="E147" s="66">
        <v>2024.0</v>
      </c>
      <c r="G147" s="66">
        <v>7.0</v>
      </c>
    </row>
    <row r="148">
      <c r="A148" s="66" t="s">
        <v>124</v>
      </c>
      <c r="B148" s="124" t="s">
        <v>124</v>
      </c>
      <c r="C148" s="66" t="s">
        <v>124</v>
      </c>
      <c r="D148" s="132" t="s">
        <v>61</v>
      </c>
      <c r="E148" s="66">
        <v>2025.0</v>
      </c>
      <c r="G148" s="66">
        <v>7.0</v>
      </c>
    </row>
    <row r="149">
      <c r="A149" s="66" t="s">
        <v>124</v>
      </c>
      <c r="B149" s="124" t="s">
        <v>125</v>
      </c>
      <c r="C149" s="66" t="s">
        <v>371</v>
      </c>
      <c r="D149" s="132" t="s">
        <v>61</v>
      </c>
      <c r="E149" s="66">
        <v>2026.0</v>
      </c>
      <c r="G149" s="66">
        <v>8.0</v>
      </c>
    </row>
    <row r="150">
      <c r="A150" s="66" t="s">
        <v>124</v>
      </c>
      <c r="B150" s="124" t="s">
        <v>125</v>
      </c>
      <c r="C150" s="66" t="s">
        <v>371</v>
      </c>
      <c r="D150" s="132" t="s">
        <v>61</v>
      </c>
      <c r="E150" s="66">
        <v>2027.0</v>
      </c>
      <c r="G150" s="66">
        <v>8.0</v>
      </c>
    </row>
    <row r="151">
      <c r="A151" s="66" t="s">
        <v>124</v>
      </c>
      <c r="B151" s="124" t="s">
        <v>125</v>
      </c>
      <c r="C151" s="66" t="s">
        <v>371</v>
      </c>
      <c r="D151" s="132" t="s">
        <v>61</v>
      </c>
      <c r="E151" s="66">
        <v>2028.0</v>
      </c>
      <c r="G151" s="66">
        <v>8.0</v>
      </c>
    </row>
    <row r="152">
      <c r="A152" s="66" t="s">
        <v>124</v>
      </c>
      <c r="B152" s="124" t="s">
        <v>125</v>
      </c>
      <c r="C152" s="66" t="s">
        <v>371</v>
      </c>
      <c r="D152" s="132" t="s">
        <v>56</v>
      </c>
      <c r="E152" s="66">
        <v>2029.0</v>
      </c>
    </row>
    <row r="153">
      <c r="A153" s="66" t="s">
        <v>124</v>
      </c>
      <c r="B153" s="124" t="s">
        <v>125</v>
      </c>
      <c r="C153" s="66" t="s">
        <v>371</v>
      </c>
      <c r="D153" s="132" t="s">
        <v>56</v>
      </c>
      <c r="E153" s="66">
        <v>2030.0</v>
      </c>
      <c r="G153" s="66">
        <v>6.0</v>
      </c>
    </row>
    <row r="154">
      <c r="A154" s="66" t="s">
        <v>124</v>
      </c>
      <c r="B154" s="124" t="s">
        <v>125</v>
      </c>
      <c r="C154" s="66" t="s">
        <v>371</v>
      </c>
      <c r="D154" s="132" t="s">
        <v>61</v>
      </c>
      <c r="E154" s="66">
        <v>2031.0</v>
      </c>
      <c r="G154" s="66">
        <v>7.0</v>
      </c>
    </row>
    <row r="155">
      <c r="A155" s="66" t="s">
        <v>104</v>
      </c>
      <c r="B155" s="124" t="s">
        <v>105</v>
      </c>
      <c r="C155" s="66" t="s">
        <v>372</v>
      </c>
      <c r="D155" s="132" t="s">
        <v>61</v>
      </c>
      <c r="E155" s="66">
        <v>2012.0</v>
      </c>
    </row>
    <row r="156">
      <c r="A156" s="66" t="s">
        <v>104</v>
      </c>
      <c r="B156" s="124" t="s">
        <v>105</v>
      </c>
      <c r="C156" s="66" t="s">
        <v>372</v>
      </c>
      <c r="D156" s="132" t="s">
        <v>61</v>
      </c>
      <c r="E156" s="66">
        <v>2013.0</v>
      </c>
    </row>
    <row r="157">
      <c r="A157" s="66" t="s">
        <v>104</v>
      </c>
      <c r="B157" s="124" t="s">
        <v>105</v>
      </c>
      <c r="C157" s="66" t="s">
        <v>372</v>
      </c>
      <c r="D157" s="132" t="s">
        <v>61</v>
      </c>
      <c r="E157" s="66">
        <v>2014.0</v>
      </c>
    </row>
    <row r="158">
      <c r="A158" s="66" t="s">
        <v>104</v>
      </c>
      <c r="B158" s="124" t="s">
        <v>105</v>
      </c>
      <c r="C158" s="66" t="s">
        <v>372</v>
      </c>
      <c r="D158" s="132" t="s">
        <v>61</v>
      </c>
      <c r="E158" s="66">
        <v>2015.0</v>
      </c>
    </row>
    <row r="159">
      <c r="A159" s="66" t="s">
        <v>104</v>
      </c>
      <c r="B159" s="124" t="s">
        <v>105</v>
      </c>
      <c r="C159" s="66" t="s">
        <v>372</v>
      </c>
      <c r="D159" s="132" t="s">
        <v>61</v>
      </c>
      <c r="E159" s="66">
        <v>1478.0</v>
      </c>
    </row>
    <row r="160">
      <c r="A160" s="66" t="s">
        <v>89</v>
      </c>
      <c r="B160" s="124" t="s">
        <v>91</v>
      </c>
      <c r="D160" s="132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24" t="s">
        <v>91</v>
      </c>
      <c r="C161" s="66" t="s">
        <v>373</v>
      </c>
      <c r="D161" s="132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24" t="s">
        <v>113</v>
      </c>
      <c r="C162" s="66" t="s">
        <v>374</v>
      </c>
      <c r="D162" s="132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24" t="s">
        <v>107</v>
      </c>
      <c r="D163" s="132" t="s">
        <v>61</v>
      </c>
      <c r="E163" s="66">
        <v>2008.0</v>
      </c>
    </row>
    <row r="164">
      <c r="D164" s="130"/>
      <c r="E164" s="66">
        <v>2127.0</v>
      </c>
      <c r="F164" s="66"/>
      <c r="G164" s="66">
        <v>6.0</v>
      </c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  <row r="315">
      <c r="D315" s="130"/>
    </row>
    <row r="316">
      <c r="D316" s="130"/>
    </row>
    <row r="317">
      <c r="D317" s="130"/>
    </row>
    <row r="318">
      <c r="D318" s="130"/>
    </row>
    <row r="319">
      <c r="D319" s="130"/>
    </row>
    <row r="320">
      <c r="D320" s="130"/>
    </row>
    <row r="321">
      <c r="D321" s="130"/>
    </row>
    <row r="322">
      <c r="D322" s="130"/>
    </row>
    <row r="323">
      <c r="D323" s="130"/>
    </row>
    <row r="324">
      <c r="D324" s="130"/>
    </row>
    <row r="325">
      <c r="D325" s="130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22" t="s">
        <v>432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2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433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2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22" t="s">
        <v>434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H7" s="83">
        <v>44664.0</v>
      </c>
      <c r="AJ7" s="66">
        <v>2.202</v>
      </c>
      <c r="AK7" s="66">
        <v>0.0878</v>
      </c>
      <c r="AL7" s="160">
        <v>0.057</v>
      </c>
      <c r="AM7" s="66">
        <v>2.741</v>
      </c>
      <c r="AN7" s="149">
        <v>0.1413</v>
      </c>
      <c r="AO7" s="160">
        <v>0.0803</v>
      </c>
      <c r="AP7" s="66">
        <v>2.591</v>
      </c>
      <c r="AQ7" s="66">
        <v>0.1226</v>
      </c>
      <c r="AR7" s="160">
        <v>0.0715</v>
      </c>
      <c r="AS7" s="66">
        <v>3.751</v>
      </c>
      <c r="AT7" s="66">
        <v>0.1454</v>
      </c>
      <c r="AU7" s="160">
        <v>0.0827</v>
      </c>
      <c r="BE7" s="66">
        <v>0.4554</v>
      </c>
      <c r="BF7" s="160">
        <v>0.2494</v>
      </c>
      <c r="BH7" s="160" t="s">
        <v>435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H9" s="83">
        <v>44664.0</v>
      </c>
      <c r="AJ9" s="66">
        <v>1.465</v>
      </c>
      <c r="AK9" s="66">
        <v>0.0994</v>
      </c>
      <c r="AL9" s="160">
        <v>0.0534</v>
      </c>
      <c r="AM9" s="66">
        <v>1.871</v>
      </c>
      <c r="AN9" s="66">
        <v>0.1666</v>
      </c>
      <c r="AO9" s="160">
        <v>0.0898</v>
      </c>
      <c r="AP9" s="66">
        <v>1.576</v>
      </c>
      <c r="AQ9" s="66">
        <v>0.0879</v>
      </c>
      <c r="AR9" s="160">
        <v>0.0475</v>
      </c>
      <c r="BE9" s="66">
        <v>1.414</v>
      </c>
      <c r="BF9" s="160">
        <v>0.6109</v>
      </c>
      <c r="BH9" s="160" t="s">
        <v>436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H18" s="83">
        <v>44664.0</v>
      </c>
      <c r="AJ18" s="66">
        <v>2.371</v>
      </c>
      <c r="AK18" s="66">
        <v>0.1261</v>
      </c>
      <c r="AL18" s="160">
        <v>0.0701</v>
      </c>
      <c r="AM18" s="66">
        <v>2.84</v>
      </c>
      <c r="AN18" s="66">
        <v>0.1071</v>
      </c>
      <c r="AO18" s="160">
        <v>0.0593</v>
      </c>
      <c r="AP18" s="66">
        <v>2.481</v>
      </c>
      <c r="AQ18" s="66">
        <v>0.1076</v>
      </c>
      <c r="AR18" s="160">
        <v>0.0601</v>
      </c>
      <c r="AS18" s="66">
        <v>2.389</v>
      </c>
      <c r="AT18" s="66">
        <v>0.1311</v>
      </c>
      <c r="AU18" s="160">
        <v>0.0737</v>
      </c>
      <c r="BE18" s="66">
        <v>0.1871</v>
      </c>
      <c r="BF18" s="160">
        <v>0.1026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H24" s="83">
        <v>44664.0</v>
      </c>
      <c r="AJ24" s="66">
        <v>1.565</v>
      </c>
      <c r="AK24" s="66">
        <v>0.0741</v>
      </c>
      <c r="AL24" s="160">
        <v>0.0398</v>
      </c>
      <c r="AM24" s="66">
        <v>1.406</v>
      </c>
      <c r="AN24" s="66">
        <v>0.0667</v>
      </c>
      <c r="AO24" s="160">
        <v>0.0363</v>
      </c>
      <c r="AP24" s="66">
        <v>1.781</v>
      </c>
      <c r="AQ24" s="66">
        <v>0.0949</v>
      </c>
      <c r="AR24" s="160">
        <v>0.0495</v>
      </c>
      <c r="AS24" s="66">
        <v>2.234</v>
      </c>
      <c r="AT24" s="66">
        <v>0.0775</v>
      </c>
      <c r="AU24" s="160">
        <v>0.0412</v>
      </c>
      <c r="AV24" s="66">
        <v>2.148</v>
      </c>
      <c r="AW24" s="66">
        <v>0.0899</v>
      </c>
      <c r="AX24" s="160">
        <v>0.0481</v>
      </c>
      <c r="AY24" s="66">
        <v>1.668</v>
      </c>
      <c r="AZ24" s="66">
        <v>0.0634</v>
      </c>
      <c r="BA24" s="160">
        <v>0.0336</v>
      </c>
      <c r="BE24" s="66">
        <v>1.3667</v>
      </c>
      <c r="BF24" s="160">
        <v>0.7295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H27" s="83">
        <v>44664.0</v>
      </c>
      <c r="AJ27" s="66">
        <v>2.371</v>
      </c>
      <c r="AK27" s="66">
        <v>0.1249</v>
      </c>
      <c r="AL27" s="160">
        <v>0.0674</v>
      </c>
      <c r="AM27" s="66">
        <v>2.345</v>
      </c>
      <c r="AN27" s="66">
        <v>0.0995</v>
      </c>
      <c r="AO27" s="160">
        <v>0.0608</v>
      </c>
      <c r="AP27" s="66">
        <v>2.138</v>
      </c>
      <c r="AQ27" s="66">
        <v>0.0768</v>
      </c>
      <c r="AR27" s="160">
        <v>0.0541</v>
      </c>
      <c r="AS27" s="66">
        <v>1.433</v>
      </c>
      <c r="AT27" s="66">
        <v>0.1145</v>
      </c>
      <c r="AU27" s="160">
        <v>0.0419</v>
      </c>
      <c r="BE27" s="66">
        <v>1.0848</v>
      </c>
      <c r="BF27" s="160">
        <v>0.5775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H30" s="83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H31" s="83">
        <v>44664.0</v>
      </c>
      <c r="AJ31" s="66">
        <v>1.416</v>
      </c>
      <c r="AK31" s="66">
        <v>0.2999</v>
      </c>
      <c r="AL31" s="160">
        <v>0.1769</v>
      </c>
      <c r="AM31" s="66">
        <v>1.671</v>
      </c>
      <c r="AN31" s="66">
        <v>0.1737</v>
      </c>
      <c r="AO31" s="160">
        <v>0.1089</v>
      </c>
      <c r="AP31" s="66">
        <v>1.591</v>
      </c>
      <c r="AQ31" s="66">
        <v>0.1913</v>
      </c>
      <c r="AR31" s="160">
        <v>0.1179</v>
      </c>
      <c r="BE31" s="66">
        <v>2.0487</v>
      </c>
      <c r="BF31" s="160">
        <v>1.2531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H32" s="83">
        <v>44664.0</v>
      </c>
      <c r="AJ32" s="66">
        <v>2.007</v>
      </c>
      <c r="AK32" s="66">
        <v>0.1913</v>
      </c>
      <c r="AL32" s="160">
        <v>0.1038</v>
      </c>
      <c r="AM32" s="66">
        <v>1.591</v>
      </c>
      <c r="AN32" s="66">
        <v>0.4163</v>
      </c>
      <c r="AO32" s="160">
        <v>0.23</v>
      </c>
      <c r="AP32" s="66">
        <v>1.843</v>
      </c>
      <c r="AQ32" s="66">
        <v>0.1818</v>
      </c>
      <c r="AR32" s="160">
        <v>0.1009</v>
      </c>
      <c r="AS32" s="66">
        <v>2.089</v>
      </c>
      <c r="AT32" s="66">
        <v>0.1119</v>
      </c>
      <c r="AU32" s="160">
        <v>0.0633</v>
      </c>
      <c r="AV32" s="66">
        <v>2.1616</v>
      </c>
      <c r="AW32" s="66">
        <v>0.1539</v>
      </c>
      <c r="AX32" s="160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60">
        <v>0.7148</v>
      </c>
      <c r="BH32" s="160" t="s">
        <v>437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H33" s="83">
        <v>44664.0</v>
      </c>
      <c r="AJ33" s="66">
        <v>1.651</v>
      </c>
      <c r="AK33" s="66">
        <v>0.118</v>
      </c>
      <c r="AL33" s="160">
        <v>0.0627</v>
      </c>
      <c r="AM33" s="66">
        <v>1.591</v>
      </c>
      <c r="AN33" s="66">
        <v>0.101</v>
      </c>
      <c r="AO33" s="160">
        <v>0.0535</v>
      </c>
      <c r="BE33" s="66">
        <v>1.1839</v>
      </c>
      <c r="BF33" s="160">
        <v>0.634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H34" s="83">
        <v>44664.0</v>
      </c>
      <c r="AJ34" s="66">
        <v>2.145</v>
      </c>
      <c r="AK34" s="66">
        <v>0.1263</v>
      </c>
      <c r="AL34" s="160">
        <v>0.0706</v>
      </c>
      <c r="AM34" s="66">
        <v>3.17</v>
      </c>
      <c r="AN34" s="66">
        <v>0.2091</v>
      </c>
      <c r="AO34" s="160">
        <v>0.1195</v>
      </c>
      <c r="AP34" s="66">
        <v>2.032</v>
      </c>
      <c r="AQ34" s="66">
        <v>0.0986</v>
      </c>
      <c r="AR34" s="160">
        <v>0.0557</v>
      </c>
      <c r="AS34" s="66">
        <v>2.691</v>
      </c>
      <c r="AT34" s="66">
        <v>0.1127</v>
      </c>
      <c r="AU34" s="160">
        <v>0.0643</v>
      </c>
      <c r="AV34" s="66">
        <v>2.177</v>
      </c>
      <c r="AW34" s="66">
        <v>0.1799</v>
      </c>
      <c r="AX34" s="160">
        <v>0.1023</v>
      </c>
      <c r="BE34" s="66">
        <v>1.707</v>
      </c>
      <c r="BF34" s="160">
        <v>0.9419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H35" s="83">
        <v>44664.0</v>
      </c>
      <c r="AJ35" s="66">
        <v>0.961</v>
      </c>
      <c r="AK35" s="66">
        <v>0.2316</v>
      </c>
      <c r="AL35" s="160">
        <v>0.1473</v>
      </c>
      <c r="AM35" s="66">
        <v>0.768</v>
      </c>
      <c r="AN35" s="66">
        <v>0.2412</v>
      </c>
      <c r="AO35" s="160">
        <v>0.1552</v>
      </c>
      <c r="AP35" s="66">
        <v>0.766</v>
      </c>
      <c r="AQ35" s="66">
        <v>0.2421</v>
      </c>
      <c r="AR35" s="160">
        <v>0.1552</v>
      </c>
      <c r="BE35" s="66">
        <v>1.7381</v>
      </c>
      <c r="BF35" s="160">
        <v>1.1364</v>
      </c>
      <c r="BH35" s="160" t="s">
        <v>438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H42" s="83">
        <v>44664.0</v>
      </c>
      <c r="AJ42" s="66">
        <v>1.855</v>
      </c>
      <c r="AK42" s="66">
        <v>0.1773</v>
      </c>
      <c r="AL42" s="160">
        <v>0.0951</v>
      </c>
      <c r="AM42" s="66">
        <v>1.791</v>
      </c>
      <c r="AN42" s="66">
        <v>0.4233</v>
      </c>
      <c r="AO42" s="160">
        <v>0.1269</v>
      </c>
      <c r="AP42" s="66">
        <v>2.013</v>
      </c>
      <c r="AQ42" s="66">
        <v>0.2277</v>
      </c>
      <c r="AR42" s="160">
        <v>0.1197</v>
      </c>
      <c r="BE42" s="66">
        <v>1.6339</v>
      </c>
      <c r="BF42" s="160">
        <v>0.8441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H46" s="83">
        <v>44664.0</v>
      </c>
      <c r="AJ46" s="66">
        <v>2.132</v>
      </c>
      <c r="AK46" s="66">
        <v>0.2274</v>
      </c>
      <c r="AL46" s="160">
        <v>0.138</v>
      </c>
      <c r="AM46" s="66">
        <v>2.323</v>
      </c>
      <c r="AN46" s="66">
        <v>0.162</v>
      </c>
      <c r="AO46" s="160">
        <v>0.1026</v>
      </c>
      <c r="AP46" s="66">
        <v>2.719</v>
      </c>
      <c r="AQ46" s="66">
        <v>0.2327</v>
      </c>
      <c r="AR46" s="160">
        <v>0.1458</v>
      </c>
      <c r="AS46" s="66">
        <v>2.691</v>
      </c>
      <c r="AT46" s="66">
        <v>0.1581</v>
      </c>
      <c r="AU46" s="160">
        <v>0.0978</v>
      </c>
      <c r="BE46" s="66">
        <v>0.6893</v>
      </c>
      <c r="BF46" s="160">
        <v>0.4184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H47" s="83">
        <v>44664.0</v>
      </c>
      <c r="AJ47" s="66">
        <v>1.912</v>
      </c>
      <c r="AK47" s="66">
        <v>0.6419</v>
      </c>
      <c r="AL47" s="160">
        <v>0.024</v>
      </c>
      <c r="AM47" s="66">
        <v>2.112</v>
      </c>
      <c r="AN47" s="66">
        <v>0.0434</v>
      </c>
      <c r="AO47" s="160">
        <v>0.0257</v>
      </c>
      <c r="AP47" s="66">
        <v>1.92</v>
      </c>
      <c r="AQ47" s="66">
        <v>0.0544</v>
      </c>
      <c r="AR47" s="160">
        <v>0.0319</v>
      </c>
      <c r="BE47" s="66">
        <v>0.9752</v>
      </c>
      <c r="BF47" s="160">
        <v>0.5555</v>
      </c>
      <c r="BH47" s="160" t="s">
        <v>439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AJ48" s="66">
        <v>1.71</v>
      </c>
      <c r="AK48" s="66">
        <v>0.1245</v>
      </c>
      <c r="AL48" s="160">
        <v>0.0663</v>
      </c>
      <c r="AM48" s="66">
        <v>1.411</v>
      </c>
      <c r="AN48" s="66">
        <v>0.0919</v>
      </c>
      <c r="AO48" s="160">
        <v>0.0489</v>
      </c>
      <c r="AP48" s="66">
        <v>1.556</v>
      </c>
      <c r="AQ48" s="66">
        <v>0.1069</v>
      </c>
      <c r="AR48" s="160">
        <v>0.0573</v>
      </c>
      <c r="BE48" s="66">
        <v>0.9688</v>
      </c>
      <c r="BF48" s="160">
        <v>0.4937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H53" s="83">
        <v>44664.0</v>
      </c>
      <c r="AJ53" s="66">
        <v>2.101</v>
      </c>
      <c r="AK53" s="66">
        <v>0.117</v>
      </c>
      <c r="AL53" s="160">
        <v>0.0607</v>
      </c>
      <c r="AM53" s="66">
        <v>1.841</v>
      </c>
      <c r="AN53" s="66">
        <v>0.1187</v>
      </c>
      <c r="AO53" s="160">
        <v>0.0613</v>
      </c>
      <c r="AP53" s="66">
        <v>1.845</v>
      </c>
      <c r="AQ53" s="66">
        <v>0.1654</v>
      </c>
      <c r="AR53" s="160">
        <v>0.0863</v>
      </c>
      <c r="BE53" s="66">
        <v>1.2328</v>
      </c>
      <c r="BF53" s="160">
        <v>0.6189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H75" s="83">
        <v>44664.0</v>
      </c>
      <c r="AJ75" s="66">
        <v>2.621</v>
      </c>
      <c r="AK75" s="66">
        <v>0.2453</v>
      </c>
      <c r="AL75" s="160">
        <v>0.1573</v>
      </c>
      <c r="AM75" s="66">
        <v>3.201</v>
      </c>
      <c r="AN75" s="66">
        <v>0.2303</v>
      </c>
      <c r="AO75" s="160">
        <v>0.1507</v>
      </c>
      <c r="AP75" s="66">
        <v>3.31</v>
      </c>
      <c r="AQ75" s="66">
        <v>1.292</v>
      </c>
      <c r="AR75" s="160">
        <v>0.0836</v>
      </c>
      <c r="AS75" s="66">
        <v>1.716</v>
      </c>
      <c r="AT75" s="66">
        <v>0.175</v>
      </c>
      <c r="AU75" s="160">
        <v>0.1108</v>
      </c>
      <c r="AV75" s="66">
        <v>4.381</v>
      </c>
      <c r="AW75" s="66">
        <v>0.1594</v>
      </c>
      <c r="AX75" s="160" t="s">
        <v>440</v>
      </c>
      <c r="BA75" s="160">
        <v>0.1025</v>
      </c>
      <c r="BE75" s="66">
        <v>0.9695</v>
      </c>
      <c r="BF75" s="160">
        <v>0.6203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H81" s="83">
        <v>44664.0</v>
      </c>
      <c r="AJ81" s="66">
        <v>1.716</v>
      </c>
      <c r="AK81" s="66">
        <v>0.1518</v>
      </c>
      <c r="AL81" s="160">
        <v>0.0788</v>
      </c>
      <c r="AM81" s="66">
        <v>1.665</v>
      </c>
      <c r="AN81" s="66">
        <v>0.1184</v>
      </c>
      <c r="AO81" s="160">
        <v>0.0609</v>
      </c>
      <c r="BE81" s="66">
        <v>0.797</v>
      </c>
      <c r="BF81" s="160">
        <v>0.3975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H82" s="83">
        <v>44664.0</v>
      </c>
      <c r="AJ82" s="66">
        <v>1.687</v>
      </c>
      <c r="AK82" s="66">
        <v>0.2724</v>
      </c>
      <c r="AL82" s="160">
        <v>0.1724</v>
      </c>
      <c r="AM82" s="66">
        <v>1.354</v>
      </c>
      <c r="AN82" s="66">
        <v>0.2635</v>
      </c>
      <c r="AO82" s="160">
        <v>0.161</v>
      </c>
      <c r="AP82" s="66">
        <v>1.695</v>
      </c>
      <c r="AQ82" s="66">
        <v>0.3579</v>
      </c>
      <c r="AR82" s="160">
        <v>0.2252</v>
      </c>
      <c r="AS82" s="66">
        <v>1.761</v>
      </c>
      <c r="AT82" s="66">
        <v>0.1859</v>
      </c>
      <c r="AU82" s="160">
        <v>0.1117</v>
      </c>
      <c r="BE82" s="66">
        <v>2.4479</v>
      </c>
      <c r="BF82" s="160">
        <v>1.5263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H91" s="83">
        <v>44664.0</v>
      </c>
      <c r="AJ91" s="66">
        <v>1.381</v>
      </c>
      <c r="AK91" s="66">
        <v>0.0672</v>
      </c>
      <c r="AL91" s="160">
        <v>0.0352</v>
      </c>
      <c r="AM91" s="66">
        <v>1.491</v>
      </c>
      <c r="AN91" s="66">
        <v>0.0683</v>
      </c>
      <c r="AO91" s="160">
        <v>0.0352</v>
      </c>
      <c r="AP91" s="66">
        <v>1.341</v>
      </c>
      <c r="AQ91" s="66">
        <v>0.06</v>
      </c>
      <c r="AR91" s="160">
        <v>0.0305</v>
      </c>
      <c r="BE91" s="66">
        <v>0.659</v>
      </c>
      <c r="BF91" s="160">
        <v>0.3384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H92" s="83">
        <v>44664.0</v>
      </c>
      <c r="AJ92" s="66">
        <v>1.41</v>
      </c>
      <c r="AK92" s="66">
        <v>0.1116</v>
      </c>
      <c r="AL92" s="160">
        <v>0.0539</v>
      </c>
      <c r="AM92" s="66">
        <v>1.287</v>
      </c>
      <c r="AN92" s="66">
        <v>0.1036</v>
      </c>
      <c r="AO92" s="160">
        <v>0.0506</v>
      </c>
      <c r="AP92" s="66">
        <v>1.542</v>
      </c>
      <c r="AQ92" s="66">
        <v>0.1264</v>
      </c>
      <c r="AR92" s="160">
        <v>0.0609</v>
      </c>
      <c r="BE92" s="66">
        <v>0.8623</v>
      </c>
      <c r="BF92" s="160">
        <v>0.4127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  <c r="H105" s="83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121"/>
      <c r="B106" s="124" t="s">
        <v>58</v>
      </c>
      <c r="C106" s="121" t="s">
        <v>89</v>
      </c>
      <c r="D106" s="121" t="s">
        <v>56</v>
      </c>
      <c r="E106" s="121"/>
      <c r="H106" s="83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H107" s="83">
        <v>44664.0</v>
      </c>
      <c r="AJ107" s="66">
        <v>1.541</v>
      </c>
      <c r="AK107" s="160">
        <v>0.1056</v>
      </c>
      <c r="AL107" s="160">
        <v>0.1088</v>
      </c>
      <c r="AM107" s="66">
        <v>1.726</v>
      </c>
      <c r="AN107" s="160">
        <v>0.1146</v>
      </c>
      <c r="AO107" s="160">
        <v>0.1181</v>
      </c>
      <c r="AP107" s="66">
        <v>1.515</v>
      </c>
      <c r="AQ107" s="160">
        <v>0.0657</v>
      </c>
      <c r="AR107" s="160">
        <v>0.0661</v>
      </c>
      <c r="BE107" s="160">
        <v>1.6777</v>
      </c>
      <c r="BF107" s="160">
        <v>1.1974</v>
      </c>
      <c r="BH107" s="160" t="s">
        <v>441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H110" s="83">
        <v>44664.0</v>
      </c>
      <c r="AJ110" s="66">
        <v>2.341</v>
      </c>
      <c r="AK110" s="66">
        <v>0.2279</v>
      </c>
      <c r="AL110" s="160">
        <v>0.129</v>
      </c>
      <c r="AM110" s="66">
        <v>1.472</v>
      </c>
      <c r="AN110" s="66">
        <v>0.0821</v>
      </c>
      <c r="AO110" s="160">
        <v>0.0471</v>
      </c>
      <c r="AP110" s="66">
        <v>2.129</v>
      </c>
      <c r="AQ110" s="66">
        <v>0.1125</v>
      </c>
      <c r="AR110" s="160">
        <v>0.0643</v>
      </c>
      <c r="AS110" s="66">
        <v>1.541</v>
      </c>
      <c r="AT110" s="66">
        <v>0.1844</v>
      </c>
      <c r="AU110" s="160">
        <v>0.1053</v>
      </c>
      <c r="AV110" s="66">
        <v>1.338</v>
      </c>
      <c r="AW110" s="66">
        <v>0.229</v>
      </c>
      <c r="AX110" s="160">
        <v>0.1289</v>
      </c>
      <c r="BE110" s="66">
        <v>1.5818</v>
      </c>
      <c r="BF110" s="160">
        <v>0.8618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AJ111" s="66">
        <v>2.041</v>
      </c>
      <c r="AK111" s="66">
        <v>0.1011</v>
      </c>
      <c r="AL111" s="160">
        <v>0.0583</v>
      </c>
      <c r="AM111" s="66">
        <v>1.379</v>
      </c>
      <c r="AN111" s="66">
        <v>0.1822</v>
      </c>
      <c r="AO111" s="160">
        <v>0.1047</v>
      </c>
      <c r="AP111" s="66">
        <v>2.187</v>
      </c>
      <c r="AQ111" s="66">
        <v>0.1032</v>
      </c>
      <c r="AR111" s="160">
        <v>0.0639</v>
      </c>
      <c r="AU111" s="160">
        <v>0.06</v>
      </c>
      <c r="BE111" s="66">
        <v>1.5293</v>
      </c>
      <c r="BF111" s="160">
        <v>0.8493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H112" s="83">
        <v>44664.0</v>
      </c>
      <c r="AJ112" s="66">
        <v>1.531</v>
      </c>
      <c r="AK112" s="66">
        <v>0.1245</v>
      </c>
      <c r="AL112" s="160">
        <v>0.0692</v>
      </c>
      <c r="AM112" s="66">
        <v>1.476</v>
      </c>
      <c r="AN112" s="66">
        <v>0.107</v>
      </c>
      <c r="AO112" s="160">
        <v>0.0594</v>
      </c>
      <c r="AP112" s="66">
        <v>1.372</v>
      </c>
      <c r="AQ112" s="66">
        <v>0.1139</v>
      </c>
      <c r="AR112" s="160">
        <v>0.0638</v>
      </c>
      <c r="BE112" s="66">
        <v>0.9628</v>
      </c>
      <c r="BF112" s="160">
        <v>0.5346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H113" s="83">
        <v>44665.0</v>
      </c>
      <c r="AJ113" s="66">
        <v>2.2</v>
      </c>
      <c r="AK113" s="66">
        <v>0.0499</v>
      </c>
      <c r="AL113" s="160">
        <v>0.0284</v>
      </c>
      <c r="AM113" s="66">
        <v>2.2</v>
      </c>
      <c r="AN113" s="66">
        <v>0.0691</v>
      </c>
      <c r="AO113" s="160">
        <v>0.0392</v>
      </c>
      <c r="AP113" s="66" t="s">
        <v>442</v>
      </c>
      <c r="AQ113" s="66">
        <v>0.0675</v>
      </c>
      <c r="AR113" s="160">
        <v>0.0361</v>
      </c>
      <c r="BE113" s="66">
        <v>1.0136</v>
      </c>
      <c r="BF113" s="160">
        <v>0.5484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H114" s="83">
        <v>44664.0</v>
      </c>
      <c r="AJ114" s="66">
        <v>1.666</v>
      </c>
      <c r="AK114" s="66">
        <v>0.2058</v>
      </c>
      <c r="AL114" s="160">
        <v>0.1089</v>
      </c>
      <c r="AM114" s="66">
        <v>1.561</v>
      </c>
      <c r="AN114" s="66">
        <v>0.1357</v>
      </c>
      <c r="AO114" s="160">
        <v>0.0713</v>
      </c>
      <c r="AP114" s="66">
        <v>1.623</v>
      </c>
      <c r="AQ114" s="66">
        <v>0.1623</v>
      </c>
      <c r="AR114" s="160">
        <v>0.0857</v>
      </c>
      <c r="BE114" s="66">
        <v>3.0145</v>
      </c>
      <c r="BF114" s="160">
        <v>1.5488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H115" s="83">
        <v>44664.0</v>
      </c>
      <c r="AJ115" s="66">
        <v>1.94</v>
      </c>
      <c r="AK115" s="66">
        <v>0.1003</v>
      </c>
      <c r="AL115" s="160">
        <v>0.0568</v>
      </c>
      <c r="AM115" s="66">
        <v>1.641</v>
      </c>
      <c r="AN115" s="66">
        <v>0.1783</v>
      </c>
      <c r="AO115" s="160">
        <v>0.1008</v>
      </c>
      <c r="AP115" s="66">
        <v>1.6</v>
      </c>
      <c r="AQ115" s="66">
        <v>0.1836</v>
      </c>
      <c r="AR115" s="160">
        <v>0.1028</v>
      </c>
      <c r="BE115" s="66">
        <v>3.1646</v>
      </c>
      <c r="BF115" s="160">
        <v>1.7009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H116" s="83">
        <v>44665.0</v>
      </c>
      <c r="AJ116" s="66">
        <v>1.8</v>
      </c>
      <c r="AK116" s="149">
        <v>824.0</v>
      </c>
      <c r="AL116" s="160">
        <v>0.0474</v>
      </c>
      <c r="AM116" s="66">
        <v>1.72</v>
      </c>
      <c r="AN116" s="66">
        <v>0.0831</v>
      </c>
      <c r="AO116" s="160">
        <v>0.0476</v>
      </c>
      <c r="AP116" s="66">
        <v>1.6</v>
      </c>
      <c r="AQ116" s="66">
        <v>0.0559</v>
      </c>
      <c r="AR116" s="160">
        <v>0.0319</v>
      </c>
      <c r="BE116" s="66">
        <v>2.3146</v>
      </c>
      <c r="BF116" s="160">
        <v>1.176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H119" s="83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443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  <c r="H121" s="83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H122" s="83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60"/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H132" s="83">
        <v>44665.0</v>
      </c>
      <c r="AJ132" s="66">
        <v>2.3</v>
      </c>
      <c r="AK132" s="66">
        <v>0.1131</v>
      </c>
      <c r="AL132" s="160">
        <v>0.0639</v>
      </c>
      <c r="AM132" s="66">
        <v>2.2</v>
      </c>
      <c r="AN132" s="66">
        <v>0.0919</v>
      </c>
      <c r="AO132" s="160">
        <v>0.0515</v>
      </c>
      <c r="AP132" s="66">
        <v>2.0</v>
      </c>
      <c r="AQ132" s="66">
        <v>0.1094</v>
      </c>
      <c r="AR132" s="160">
        <v>0.0596</v>
      </c>
      <c r="BE132" s="66">
        <v>2.8462</v>
      </c>
      <c r="BF132" s="160">
        <v>1.5465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AH133" s="83">
        <v>44665.0</v>
      </c>
      <c r="AJ133" s="66">
        <v>2.4</v>
      </c>
      <c r="AK133" s="66">
        <v>0.1249</v>
      </c>
      <c r="AL133" s="160">
        <v>0.0702</v>
      </c>
      <c r="AM133" s="66">
        <v>1.7</v>
      </c>
      <c r="AN133" s="66">
        <v>0.1135</v>
      </c>
      <c r="AO133" s="160">
        <v>0.0612</v>
      </c>
      <c r="AP133" s="66">
        <v>1.83</v>
      </c>
      <c r="AQ133" s="66">
        <v>0.062</v>
      </c>
      <c r="AR133" s="160">
        <v>0.0347</v>
      </c>
      <c r="BE133" s="66">
        <v>2.3375</v>
      </c>
      <c r="BF133" s="160">
        <v>1.2673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AH136" s="83">
        <v>44665.0</v>
      </c>
      <c r="AJ136" s="66">
        <v>1.85</v>
      </c>
      <c r="AK136" s="66">
        <v>0.2526</v>
      </c>
      <c r="AL136" s="160">
        <v>0.1374</v>
      </c>
      <c r="AM136" s="66">
        <v>2.56</v>
      </c>
      <c r="AN136" s="66">
        <v>0.1768</v>
      </c>
      <c r="AO136" s="160">
        <v>0.0967</v>
      </c>
      <c r="AP136" s="66">
        <v>2.6</v>
      </c>
      <c r="AQ136" s="66">
        <v>0.1465</v>
      </c>
      <c r="AR136" s="160">
        <v>0.0789</v>
      </c>
      <c r="BE136" s="66">
        <v>2.3201</v>
      </c>
      <c r="BF136" s="160">
        <v>1.229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H137" s="83">
        <v>44664.0</v>
      </c>
      <c r="AJ137" s="66">
        <v>1.471</v>
      </c>
      <c r="AK137" s="66">
        <v>0.1364</v>
      </c>
      <c r="AL137" s="160">
        <v>0.0746</v>
      </c>
      <c r="AM137" s="66">
        <v>2.231</v>
      </c>
      <c r="AN137" s="66">
        <v>0.104</v>
      </c>
      <c r="AO137" s="160">
        <v>0.0575</v>
      </c>
      <c r="AP137" s="66">
        <v>1.447</v>
      </c>
      <c r="AQ137" s="66">
        <v>0.0819</v>
      </c>
      <c r="AR137" s="160">
        <v>0.0386</v>
      </c>
      <c r="AS137" s="66">
        <v>1.553</v>
      </c>
      <c r="AT137" s="66">
        <v>0.1229</v>
      </c>
      <c r="AU137" s="160">
        <v>0.0681</v>
      </c>
      <c r="BE137" s="66">
        <v>1.5244</v>
      </c>
      <c r="BF137" s="160">
        <v>0.8209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H138" s="83">
        <v>44664.0</v>
      </c>
      <c r="AJ138" s="66">
        <v>1.731</v>
      </c>
      <c r="AK138" s="66">
        <v>0.109</v>
      </c>
      <c r="AL138" s="160">
        <v>0.0612</v>
      </c>
      <c r="AM138" s="66">
        <v>1.702</v>
      </c>
      <c r="AN138" s="66">
        <v>0.0674</v>
      </c>
      <c r="AO138" s="160">
        <v>0.0385</v>
      </c>
      <c r="AP138" s="66">
        <v>1.658</v>
      </c>
      <c r="AQ138" s="66">
        <v>0.1205</v>
      </c>
      <c r="AR138" s="160">
        <v>0.0679</v>
      </c>
      <c r="BE138" s="66">
        <v>0.6377</v>
      </c>
      <c r="BF138" s="160">
        <v>0.3524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H139" s="83">
        <v>44664.0</v>
      </c>
      <c r="AJ139" s="66">
        <v>2.287</v>
      </c>
      <c r="AK139" s="66">
        <v>0.1514</v>
      </c>
      <c r="AL139" s="160">
        <v>0.0858</v>
      </c>
      <c r="AM139" s="66">
        <v>2.371</v>
      </c>
      <c r="AN139" s="66">
        <v>0.1766</v>
      </c>
      <c r="AO139" s="160">
        <v>0.0994</v>
      </c>
      <c r="AP139" s="66">
        <v>2.19</v>
      </c>
      <c r="AQ139" s="66">
        <v>0.1723</v>
      </c>
      <c r="AR139" s="160">
        <v>0.0931</v>
      </c>
      <c r="AS139" s="66">
        <v>2.314</v>
      </c>
      <c r="AT139" s="66">
        <v>0.2032</v>
      </c>
      <c r="AU139" s="160">
        <v>0.1114</v>
      </c>
      <c r="BE139" s="66">
        <v>3.1615</v>
      </c>
      <c r="BF139" s="160">
        <v>1.709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H140" s="83">
        <v>44664.0</v>
      </c>
      <c r="AJ140" s="66">
        <v>1.469</v>
      </c>
      <c r="AK140" s="66">
        <v>0.119</v>
      </c>
      <c r="AL140" s="160">
        <v>0.069</v>
      </c>
      <c r="AM140" s="66">
        <v>1.762</v>
      </c>
      <c r="AN140" s="66">
        <v>0.1561</v>
      </c>
      <c r="AO140" s="160">
        <v>0.0889</v>
      </c>
      <c r="AP140" s="66">
        <v>1.761</v>
      </c>
      <c r="AQ140" s="66">
        <v>0.0999</v>
      </c>
      <c r="AR140" s="160">
        <v>0.055</v>
      </c>
      <c r="BE140" s="66">
        <v>1.341</v>
      </c>
      <c r="BF140" s="160">
        <v>0.6329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H142" s="83">
        <v>44664.0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AJ143" s="66">
        <v>1.731</v>
      </c>
      <c r="AK143" s="66">
        <v>0.1326</v>
      </c>
      <c r="AL143" s="160">
        <v>0.0733</v>
      </c>
      <c r="AM143" s="66">
        <v>2.201</v>
      </c>
      <c r="AN143" s="66">
        <v>0.1963</v>
      </c>
      <c r="AO143" s="160">
        <v>0.1088</v>
      </c>
      <c r="AP143" s="66">
        <v>2.081</v>
      </c>
      <c r="AQ143" s="66">
        <v>0.1541</v>
      </c>
      <c r="AR143" s="160">
        <v>0.0865</v>
      </c>
      <c r="BE143" s="66">
        <v>2.2224</v>
      </c>
      <c r="BF143" s="160">
        <v>1.1291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H144" s="83">
        <v>44664.0</v>
      </c>
      <c r="AJ144" s="66">
        <v>1.381</v>
      </c>
      <c r="AK144" s="66">
        <v>0.0786</v>
      </c>
      <c r="AL144" s="160">
        <v>0.0405</v>
      </c>
      <c r="AM144" s="66">
        <v>1.461</v>
      </c>
      <c r="AN144" s="66">
        <v>0.0759</v>
      </c>
      <c r="AO144" s="160">
        <v>0.0394</v>
      </c>
      <c r="AP144" s="66">
        <v>1.482</v>
      </c>
      <c r="AQ144" s="66">
        <v>0.0799</v>
      </c>
      <c r="AR144" s="160">
        <v>0.0415</v>
      </c>
      <c r="BE144" s="66">
        <v>2.0548</v>
      </c>
      <c r="BF144" s="160">
        <v>1.015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H145" s="83">
        <v>44664.0</v>
      </c>
      <c r="AJ145" s="66">
        <v>1.334</v>
      </c>
      <c r="AK145" s="66">
        <v>0.1781</v>
      </c>
      <c r="AL145" s="160">
        <v>0.0839</v>
      </c>
      <c r="AM145" s="66">
        <v>0.848</v>
      </c>
      <c r="AN145" s="66">
        <v>0.116</v>
      </c>
      <c r="AO145" s="160">
        <v>0.0545</v>
      </c>
      <c r="AP145" s="66">
        <v>1.231</v>
      </c>
      <c r="AQ145" s="66">
        <v>0.0847</v>
      </c>
      <c r="AR145" s="160">
        <v>0.0403</v>
      </c>
      <c r="AS145" s="66">
        <v>1.221</v>
      </c>
      <c r="AT145" s="66">
        <v>0.0709</v>
      </c>
      <c r="AU145" s="160">
        <v>0.0326</v>
      </c>
      <c r="BE145" s="66">
        <v>2.0085</v>
      </c>
      <c r="BF145" s="160">
        <v>0.9117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H147" s="83">
        <v>44664.0</v>
      </c>
      <c r="AJ147" s="66">
        <v>1.82</v>
      </c>
      <c r="AK147" s="66">
        <v>0.1183</v>
      </c>
      <c r="AL147" s="160">
        <v>0.0631</v>
      </c>
      <c r="AM147" s="66">
        <v>1.4</v>
      </c>
      <c r="AN147" s="66">
        <v>0.0671</v>
      </c>
      <c r="AO147" s="160">
        <v>0.0358</v>
      </c>
      <c r="AP147" s="66">
        <v>2.04</v>
      </c>
      <c r="AQ147" s="66">
        <v>0.1389</v>
      </c>
      <c r="AR147" s="160">
        <v>0.0759</v>
      </c>
      <c r="AS147" s="66">
        <v>1.92</v>
      </c>
      <c r="AT147" s="66">
        <v>0.0861</v>
      </c>
      <c r="AU147" s="160">
        <v>0.0481</v>
      </c>
      <c r="BE147" s="66">
        <v>1.7995</v>
      </c>
      <c r="BF147" s="160">
        <v>0.9273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H148" s="83">
        <v>44664.0</v>
      </c>
      <c r="AJ148" s="66">
        <v>1.8</v>
      </c>
      <c r="AK148" s="66">
        <v>0.0853</v>
      </c>
      <c r="AL148" s="160">
        <v>0.042</v>
      </c>
      <c r="AM148" s="66">
        <v>1.951</v>
      </c>
      <c r="AN148" s="66">
        <v>0.1371</v>
      </c>
      <c r="AO148" s="160">
        <v>0.0699</v>
      </c>
      <c r="AP148" s="66">
        <v>1.295</v>
      </c>
      <c r="AQ148" s="66">
        <v>0.1151</v>
      </c>
      <c r="AR148" s="160">
        <v>0.0572</v>
      </c>
      <c r="AS148" s="66">
        <v>1.584</v>
      </c>
      <c r="AT148" s="66">
        <v>0.1077</v>
      </c>
      <c r="AU148" s="160">
        <v>0.0554</v>
      </c>
      <c r="AV148" s="66">
        <v>1.822</v>
      </c>
      <c r="AW148" s="66">
        <v>0.1545</v>
      </c>
      <c r="AX148" s="160">
        <v>0.0786</v>
      </c>
      <c r="BE148" s="66">
        <v>2.6018</v>
      </c>
      <c r="BF148" s="160">
        <v>1.2356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AJ149" s="66">
        <v>1.672</v>
      </c>
      <c r="AK149" s="66">
        <v>0.1871</v>
      </c>
      <c r="AL149" s="160">
        <v>0.1032</v>
      </c>
      <c r="AM149" s="66">
        <v>1.721</v>
      </c>
      <c r="AN149" s="66">
        <v>0.1809</v>
      </c>
      <c r="AO149" s="160">
        <v>0.1013</v>
      </c>
      <c r="AP149" s="66">
        <v>1.951</v>
      </c>
      <c r="AQ149" s="66">
        <v>0.1204</v>
      </c>
      <c r="AR149" s="160">
        <v>0.068</v>
      </c>
      <c r="BE149" s="66">
        <v>0.8877</v>
      </c>
      <c r="BF149" s="160">
        <v>0.4914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H150" s="83">
        <v>44664.0</v>
      </c>
      <c r="AJ150" s="66">
        <v>2.681</v>
      </c>
      <c r="AK150" s="66">
        <v>0.2</v>
      </c>
      <c r="AL150" s="160">
        <v>0.1129</v>
      </c>
      <c r="AM150" s="66">
        <v>2.551</v>
      </c>
      <c r="AN150" s="66">
        <v>0.1876</v>
      </c>
      <c r="AO150" s="160">
        <v>0.1074</v>
      </c>
      <c r="BE150" s="66">
        <v>1.5848</v>
      </c>
      <c r="BF150" s="160">
        <v>0.8816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H151" s="83">
        <v>44664.0</v>
      </c>
      <c r="AJ151" s="66">
        <v>1.888</v>
      </c>
      <c r="AK151" s="66">
        <v>0.2369</v>
      </c>
      <c r="AL151" s="160">
        <v>0.1283</v>
      </c>
      <c r="AM151" s="66">
        <v>2.091</v>
      </c>
      <c r="AN151" s="66">
        <v>0.2671</v>
      </c>
      <c r="AO151" s="160">
        <v>0.1406</v>
      </c>
      <c r="AP151" s="66">
        <v>2.285</v>
      </c>
      <c r="AQ151" s="66">
        <v>0.2115</v>
      </c>
      <c r="AR151" s="160">
        <v>0.1134</v>
      </c>
      <c r="BE151" s="66">
        <v>0.9998</v>
      </c>
      <c r="BF151" s="160">
        <v>0.5266</v>
      </c>
      <c r="BH151" s="160"/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2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44676.0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2">
        <f>AVERAGE(AP24,AM24,AJ24)</f>
        <v>3.183333333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444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444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AJ124" s="66" t="s">
        <v>421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12">
        <v>2.13</v>
      </c>
      <c r="AH151" s="112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2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445</v>
      </c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44678.0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446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AG117" s="66">
        <v>0.751</v>
      </c>
      <c r="AH117" s="66">
        <v>0.336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61" t="s">
        <v>447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448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449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450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12"/>
      <c r="BF134" s="112"/>
      <c r="BH134" s="161" t="s">
        <v>451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12"/>
      <c r="BF141" s="112"/>
      <c r="BH141" s="66" t="s">
        <v>452</v>
      </c>
      <c r="BI141" s="66"/>
      <c r="BJ141" s="66"/>
      <c r="BK141" s="66"/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453</v>
      </c>
      <c r="BI142" s="66"/>
      <c r="BJ142" s="66"/>
      <c r="BK142" s="66"/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454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I144" s="66">
        <v>1.221</v>
      </c>
      <c r="L144" s="66">
        <v>1.218</v>
      </c>
      <c r="AG144" s="112">
        <v>1.397</v>
      </c>
      <c r="AH144" s="112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2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32"/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  <row r="313">
      <c r="D313" s="130"/>
    </row>
    <row r="314">
      <c r="D314" s="130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44685.0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2">
        <f t="shared" ref="BG7:BG151" si="1">AVERAGE(BB7,AY7,AV7,AS7,AP7,AM7,AJ7)</f>
        <v>2.04925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BG8" s="82" t="str">
        <f t="shared" si="1"/>
        <v>#DIV/0!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2">
        <f t="shared" si="1"/>
        <v>2.707333333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BG10" s="82" t="str">
        <f t="shared" si="1"/>
        <v>#DIV/0!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  <c r="BG11" s="82" t="str">
        <f t="shared" si="1"/>
        <v>#DIV/0!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BG12" s="82" t="str">
        <f t="shared" si="1"/>
        <v>#DIV/0!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BG13" s="82" t="str">
        <f t="shared" si="1"/>
        <v>#DIV/0!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  <c r="BG14" s="82" t="str">
        <f t="shared" si="1"/>
        <v>#DIV/0!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BG15" s="82" t="str">
        <f t="shared" si="1"/>
        <v>#DIV/0!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BG16" s="82" t="str">
        <f t="shared" si="1"/>
        <v>#DIV/0!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  <c r="BG17" s="82" t="str">
        <f t="shared" si="1"/>
        <v>#DIV/0!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2">
        <f t="shared" si="1"/>
        <v>2.969666667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BG19" s="82" t="str">
        <f t="shared" si="1"/>
        <v>#DIV/0!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  <c r="BG20" s="82" t="str">
        <f t="shared" si="1"/>
        <v>#DIV/0!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BG21" s="82" t="str">
        <f t="shared" si="1"/>
        <v>#DIV/0!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BG22" s="82" t="str">
        <f t="shared" si="1"/>
        <v>#DIV/0!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BG23" s="82" t="str">
        <f t="shared" si="1"/>
        <v>#DIV/0!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2">
        <f t="shared" si="1"/>
        <v>2.7922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BG25" s="82" t="str">
        <f t="shared" si="1"/>
        <v>#DIV/0!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  <c r="BG26" s="82" t="str">
        <f t="shared" si="1"/>
        <v>#DIV/0!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149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2">
        <f t="shared" si="1"/>
        <v>2.976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  <c r="BG28" s="82" t="str">
        <f t="shared" si="1"/>
        <v>#DIV/0!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  <c r="BG29" s="82" t="str">
        <f t="shared" si="1"/>
        <v>#DIV/0!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2">
        <f t="shared" si="1"/>
        <v>3.0355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2">
        <f t="shared" si="1"/>
        <v>2.98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2">
        <f t="shared" si="1"/>
        <v>2.101142857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2">
        <f t="shared" si="1"/>
        <v>2.466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2">
        <f t="shared" si="1"/>
        <v>2.94875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2">
        <f t="shared" si="1"/>
        <v>2.3756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BG36" s="82" t="str">
        <f t="shared" si="1"/>
        <v>#DIV/0!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BG37" s="82" t="str">
        <f t="shared" si="1"/>
        <v>#DIV/0!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BG38" s="82" t="str">
        <f t="shared" si="1"/>
        <v>#DIV/0!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BG39" s="82" t="str">
        <f t="shared" si="1"/>
        <v>#DIV/0!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BG40" s="82" t="str">
        <f t="shared" si="1"/>
        <v>#DIV/0!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BG41" s="82" t="str">
        <f t="shared" si="1"/>
        <v>#DIV/0!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2">
        <f t="shared" si="1"/>
        <v>2.500666667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  <c r="BG43" s="82" t="str">
        <f t="shared" si="1"/>
        <v>#DIV/0!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BG44" s="82" t="str">
        <f t="shared" si="1"/>
        <v>#DIV/0!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  <c r="BG45" s="82" t="str">
        <f t="shared" si="1"/>
        <v>#DIV/0!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2">
        <f t="shared" si="1"/>
        <v>1.510142857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2">
        <f t="shared" si="1"/>
        <v>2.271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2">
        <f t="shared" si="1"/>
        <v>2.872857143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BG49" s="82" t="str">
        <f t="shared" si="1"/>
        <v>#DIV/0!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BG50" s="82" t="str">
        <f t="shared" si="1"/>
        <v>#DIV/0!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BG51" s="82" t="str">
        <f t="shared" si="1"/>
        <v>#DIV/0!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BG52" s="82" t="str">
        <f t="shared" si="1"/>
        <v>#DIV/0!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2">
        <f t="shared" si="1"/>
        <v>3.161333333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BG54" s="82" t="str">
        <f t="shared" si="1"/>
        <v>#DIV/0!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BG55" s="82" t="str">
        <f t="shared" si="1"/>
        <v>#DIV/0!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BG56" s="82" t="str">
        <f t="shared" si="1"/>
        <v>#DIV/0!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BG57" s="82" t="str">
        <f t="shared" si="1"/>
        <v>#DIV/0!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BG58" s="82" t="str">
        <f t="shared" si="1"/>
        <v>#DIV/0!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BG59" s="82" t="str">
        <f t="shared" si="1"/>
        <v>#DIV/0!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BG60" s="82" t="str">
        <f t="shared" si="1"/>
        <v>#DIV/0!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BG61" s="82" t="str">
        <f t="shared" si="1"/>
        <v>#DIV/0!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BG62" s="82" t="str">
        <f t="shared" si="1"/>
        <v>#DIV/0!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BG63" s="82" t="str">
        <f t="shared" si="1"/>
        <v>#DIV/0!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BG64" s="82" t="str">
        <f t="shared" si="1"/>
        <v>#DIV/0!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BG65" s="82" t="str">
        <f t="shared" si="1"/>
        <v>#DIV/0!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BG66" s="82" t="str">
        <f t="shared" si="1"/>
        <v>#DIV/0!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BG67" s="82" t="str">
        <f t="shared" si="1"/>
        <v>#DIV/0!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BG68" s="82" t="str">
        <f t="shared" si="1"/>
        <v>#DIV/0!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BG69" s="82" t="str">
        <f t="shared" si="1"/>
        <v>#DIV/0!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BG70" s="82" t="str">
        <f t="shared" si="1"/>
        <v>#DIV/0!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BG71" s="82" t="str">
        <f t="shared" si="1"/>
        <v>#DIV/0!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BG72" s="82" t="str">
        <f t="shared" si="1"/>
        <v>#DIV/0!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BG73" s="82" t="str">
        <f t="shared" si="1"/>
        <v>#DIV/0!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BG74" s="82" t="str">
        <f t="shared" si="1"/>
        <v>#DIV/0!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2">
        <f t="shared" si="1"/>
        <v>2.933333333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BG76" s="82" t="str">
        <f t="shared" si="1"/>
        <v>#DIV/0!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BG77" s="82" t="str">
        <f t="shared" si="1"/>
        <v>#DIV/0!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BG78" s="82" t="str">
        <f t="shared" si="1"/>
        <v>#DIV/0!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BG79" s="82" t="str">
        <f t="shared" si="1"/>
        <v>#DIV/0!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BG80" s="82" t="str">
        <f t="shared" si="1"/>
        <v>#DIV/0!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BG81" s="82" t="str">
        <f t="shared" si="1"/>
        <v>#DIV/0!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2">
        <f t="shared" si="1"/>
        <v>3.193333333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BG83" s="82" t="str">
        <f t="shared" si="1"/>
        <v>#DIV/0!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BG84" s="82" t="str">
        <f t="shared" si="1"/>
        <v>#DIV/0!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BG85" s="82" t="str">
        <f t="shared" si="1"/>
        <v>#DIV/0!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BG86" s="82" t="str">
        <f t="shared" si="1"/>
        <v>#DIV/0!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BG87" s="82" t="str">
        <f t="shared" si="1"/>
        <v>#DIV/0!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BG88" s="82" t="str">
        <f t="shared" si="1"/>
        <v>#DIV/0!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BG89" s="82" t="str">
        <f t="shared" si="1"/>
        <v>#DIV/0!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BG90" s="82" t="str">
        <f t="shared" si="1"/>
        <v>#DIV/0!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2">
        <f t="shared" si="1"/>
        <v>2.683666667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2">
        <f t="shared" si="1"/>
        <v>2.974333333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2">
        <f t="shared" si="1"/>
        <v>3.519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BG94" s="82" t="str">
        <f t="shared" si="1"/>
        <v>#DIV/0!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  <c r="BG95" s="82" t="str">
        <f t="shared" si="1"/>
        <v>#DIV/0!</v>
      </c>
    </row>
    <row r="96">
      <c r="A96" s="129"/>
      <c r="B96" s="124" t="s">
        <v>58</v>
      </c>
      <c r="C96" s="129" t="s">
        <v>87</v>
      </c>
      <c r="D96" s="130" t="s">
        <v>61</v>
      </c>
      <c r="E96" s="130"/>
      <c r="BG96" s="82" t="str">
        <f t="shared" si="1"/>
        <v>#DIV/0!</v>
      </c>
    </row>
    <row r="97">
      <c r="A97" s="129"/>
      <c r="B97" s="124" t="s">
        <v>58</v>
      </c>
      <c r="C97" s="129" t="s">
        <v>87</v>
      </c>
      <c r="D97" s="130" t="s">
        <v>61</v>
      </c>
      <c r="E97" s="130"/>
      <c r="BG97" s="82" t="str">
        <f t="shared" si="1"/>
        <v>#DIV/0!</v>
      </c>
    </row>
    <row r="98">
      <c r="A98" s="129"/>
      <c r="B98" s="124" t="s">
        <v>58</v>
      </c>
      <c r="C98" s="129" t="s">
        <v>87</v>
      </c>
      <c r="D98" s="130" t="s">
        <v>61</v>
      </c>
      <c r="E98" s="130"/>
      <c r="BG98" s="82" t="str">
        <f t="shared" si="1"/>
        <v>#DIV/0!</v>
      </c>
    </row>
    <row r="99">
      <c r="A99" s="129"/>
      <c r="B99" s="124" t="s">
        <v>58</v>
      </c>
      <c r="C99" s="129" t="s">
        <v>87</v>
      </c>
      <c r="D99" s="130" t="s">
        <v>61</v>
      </c>
      <c r="E99" s="130"/>
      <c r="BG99" s="82" t="str">
        <f t="shared" si="1"/>
        <v>#DIV/0!</v>
      </c>
    </row>
    <row r="100">
      <c r="A100" s="129"/>
      <c r="B100" s="124" t="s">
        <v>58</v>
      </c>
      <c r="C100" s="129" t="s">
        <v>88</v>
      </c>
      <c r="D100" s="130" t="s">
        <v>61</v>
      </c>
      <c r="E100" s="130"/>
      <c r="BG100" s="82" t="str">
        <f t="shared" si="1"/>
        <v>#DIV/0!</v>
      </c>
    </row>
    <row r="101">
      <c r="A101" s="129"/>
      <c r="B101" s="124" t="s">
        <v>58</v>
      </c>
      <c r="C101" s="129" t="s">
        <v>88</v>
      </c>
      <c r="D101" s="130" t="s">
        <v>61</v>
      </c>
      <c r="E101" s="130"/>
      <c r="BG101" s="82" t="str">
        <f t="shared" si="1"/>
        <v>#DIV/0!</v>
      </c>
    </row>
    <row r="102">
      <c r="A102" s="129"/>
      <c r="B102" s="124" t="s">
        <v>58</v>
      </c>
      <c r="C102" s="129" t="s">
        <v>88</v>
      </c>
      <c r="D102" s="130" t="s">
        <v>61</v>
      </c>
      <c r="E102" s="130"/>
      <c r="BG102" s="82" t="str">
        <f t="shared" si="1"/>
        <v>#DIV/0!</v>
      </c>
    </row>
    <row r="103">
      <c r="A103" s="129"/>
      <c r="B103" s="124" t="s">
        <v>58</v>
      </c>
      <c r="C103" s="129" t="s">
        <v>88</v>
      </c>
      <c r="D103" s="130" t="s">
        <v>61</v>
      </c>
      <c r="E103" s="130"/>
      <c r="BG103" s="82" t="str">
        <f t="shared" si="1"/>
        <v>#DIV/0!</v>
      </c>
    </row>
    <row r="104">
      <c r="A104" s="129"/>
      <c r="B104" s="124" t="s">
        <v>58</v>
      </c>
      <c r="C104" s="129" t="s">
        <v>88</v>
      </c>
      <c r="D104" s="130" t="s">
        <v>61</v>
      </c>
      <c r="E104" s="130"/>
      <c r="BG104" s="82" t="str">
        <f t="shared" si="1"/>
        <v>#DIV/0!</v>
      </c>
    </row>
    <row r="105">
      <c r="A105" s="121"/>
      <c r="B105" s="124" t="s">
        <v>58</v>
      </c>
      <c r="C105" s="121" t="s">
        <v>89</v>
      </c>
      <c r="D105" s="121" t="s">
        <v>56</v>
      </c>
      <c r="E105" s="121"/>
      <c r="BG105" s="82" t="str">
        <f t="shared" si="1"/>
        <v>#DIV/0!</v>
      </c>
    </row>
    <row r="106">
      <c r="A106" s="121"/>
      <c r="B106" s="124" t="s">
        <v>58</v>
      </c>
      <c r="C106" s="121" t="s">
        <v>89</v>
      </c>
      <c r="D106" s="121" t="s">
        <v>56</v>
      </c>
      <c r="E106" s="121"/>
      <c r="BG106" s="82" t="str">
        <f t="shared" si="1"/>
        <v>#DIV/0!</v>
      </c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2">
        <f t="shared" si="1"/>
        <v>2.645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  <c r="BG108" s="82" t="str">
        <f t="shared" si="1"/>
        <v>#DIV/0!</v>
      </c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  <c r="BG109" s="82" t="str">
        <f t="shared" si="1"/>
        <v>#DIV/0!</v>
      </c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2">
        <f t="shared" si="1"/>
        <v>2.379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2">
        <f t="shared" si="1"/>
        <v>2.236666667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2">
        <f t="shared" si="1"/>
        <v>2.84925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BG113" s="82" t="str">
        <f t="shared" si="1"/>
        <v>#DIV/0!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BG114" s="82" t="str">
        <f t="shared" si="1"/>
        <v>#DIV/0!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BG115" s="82" t="str">
        <f t="shared" si="1"/>
        <v>#DIV/0!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BG116" s="82" t="str">
        <f t="shared" si="1"/>
        <v>#DIV/0!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BG117" s="82" t="str">
        <f t="shared" si="1"/>
        <v>#DIV/0!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BG118" s="82" t="str">
        <f t="shared" si="1"/>
        <v>#DIV/0!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BG119" s="82" t="str">
        <f t="shared" si="1"/>
        <v>#DIV/0!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BG120" s="82" t="str">
        <f t="shared" si="1"/>
        <v>#DIV/0!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BG121" s="82" t="str">
        <f t="shared" si="1"/>
        <v>#DIV/0!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BG122" s="82" t="str">
        <f t="shared" si="1"/>
        <v>#DIV/0!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BG123" s="82" t="str">
        <f t="shared" si="1"/>
        <v>#DIV/0!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BG124" s="82" t="str">
        <f t="shared" si="1"/>
        <v>#DIV/0!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BG125" s="82" t="str">
        <f t="shared" si="1"/>
        <v>#DIV/0!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BG126" s="82" t="str">
        <f t="shared" si="1"/>
        <v>#DIV/0!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BG127" s="82" t="str">
        <f t="shared" si="1"/>
        <v>#DIV/0!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BG128" s="82" t="str">
        <f t="shared" si="1"/>
        <v>#DIV/0!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BG129" s="82" t="str">
        <f t="shared" si="1"/>
        <v>#DIV/0!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BG130" s="82" t="str">
        <f t="shared" si="1"/>
        <v>#DIV/0!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BG131" s="82" t="str">
        <f t="shared" si="1"/>
        <v>#DIV/0!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BG132" s="82" t="str">
        <f t="shared" si="1"/>
        <v>#DIV/0!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BG133" s="82" t="str">
        <f t="shared" si="1"/>
        <v>#DIV/0!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BG134" s="82" t="str">
        <f t="shared" si="1"/>
        <v>#DIV/0!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BG135" s="82" t="str">
        <f t="shared" si="1"/>
        <v>#DIV/0!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BG136" s="82" t="str">
        <f t="shared" si="1"/>
        <v>#DIV/0!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BG137" s="82" t="str">
        <f t="shared" si="1"/>
        <v>#DIV/0!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BG138" s="82" t="str">
        <f t="shared" si="1"/>
        <v>#DIV/0!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BG139" s="82" t="str">
        <f t="shared" si="1"/>
        <v>#DIV/0!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BG140" s="82" t="str">
        <f t="shared" si="1"/>
        <v>#DIV/0!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BG141" s="82" t="str">
        <f t="shared" si="1"/>
        <v>#DIV/0!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BG142" s="82" t="str">
        <f t="shared" si="1"/>
        <v>#DIV/0!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BG143" s="82" t="str">
        <f t="shared" si="1"/>
        <v>#DIV/0!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BG144" s="82" t="str">
        <f t="shared" si="1"/>
        <v>#DIV/0!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BG145" s="82" t="str">
        <f t="shared" si="1"/>
        <v>#DIV/0!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  <c r="BG146" s="82" t="str">
        <f t="shared" si="1"/>
        <v>#DIV/0!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BG147" s="82" t="str">
        <f t="shared" si="1"/>
        <v>#DIV/0!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BG148" s="82" t="str">
        <f t="shared" si="1"/>
        <v>#DIV/0!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2">
        <f t="shared" si="1"/>
        <v>3.105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2">
        <f t="shared" si="1"/>
        <v>2.44725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2">
        <f t="shared" si="1"/>
        <v>2.9542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44690.0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455</v>
      </c>
      <c r="BF6" s="35" t="s">
        <v>456</v>
      </c>
      <c r="BG6" s="35" t="s">
        <v>457</v>
      </c>
      <c r="BH6" s="35" t="s">
        <v>458</v>
      </c>
      <c r="BI6" s="35" t="s">
        <v>368</v>
      </c>
      <c r="BJ6" s="36" t="s">
        <v>45</v>
      </c>
      <c r="BK6" s="14"/>
      <c r="BL6" s="14"/>
      <c r="BM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459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1.2233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460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BE54" s="66">
        <v>2.8503</v>
      </c>
      <c r="BF54" s="66">
        <v>1.7589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461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462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62" t="s">
        <v>463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  <c r="BJ118" s="162"/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464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465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63">
        <v>0.5982</v>
      </c>
      <c r="BG127" s="66">
        <v>1.1121</v>
      </c>
      <c r="BH127" s="66">
        <v>0.6577</v>
      </c>
      <c r="BJ127" s="66" t="s">
        <v>466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467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468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2">
        <f>1.6255-0.0279</f>
        <v>1.5976</v>
      </c>
      <c r="BF140" s="66">
        <v>0.9314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469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C153" s="164"/>
      <c r="D153" s="165" t="s">
        <v>61</v>
      </c>
      <c r="E153" s="163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470</v>
      </c>
    </row>
    <row r="154">
      <c r="C154" s="152"/>
      <c r="D154" s="166" t="s">
        <v>56</v>
      </c>
      <c r="E154" s="153">
        <v>2076.0</v>
      </c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3">
        <v>1.99</v>
      </c>
      <c r="AH154" s="153">
        <v>1.261</v>
      </c>
      <c r="AI154" s="152"/>
      <c r="AJ154" s="152"/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2"/>
      <c r="AV154" s="152"/>
      <c r="AW154" s="152"/>
      <c r="AX154" s="152"/>
      <c r="AY154" s="152"/>
      <c r="AZ154" s="152"/>
      <c r="BA154" s="152"/>
      <c r="BB154" s="152"/>
      <c r="BC154" s="152"/>
      <c r="BD154" s="152"/>
      <c r="BE154" s="152"/>
      <c r="BF154" s="152"/>
      <c r="BG154" s="152"/>
      <c r="BH154" s="152"/>
      <c r="BI154" s="152"/>
      <c r="BJ154" s="153" t="s">
        <v>471</v>
      </c>
      <c r="BK154" s="152"/>
      <c r="BL154" s="152"/>
      <c r="BM154" s="152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44704.0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472</v>
      </c>
      <c r="AH6" s="35" t="s">
        <v>473</v>
      </c>
      <c r="AI6" s="35" t="s">
        <v>474</v>
      </c>
      <c r="AJ6" s="35" t="s">
        <v>475</v>
      </c>
      <c r="AK6" s="35" t="s">
        <v>344</v>
      </c>
      <c r="AL6" s="35" t="s">
        <v>345</v>
      </c>
      <c r="AM6" s="35" t="s">
        <v>346</v>
      </c>
      <c r="AN6" s="35" t="s">
        <v>347</v>
      </c>
      <c r="AO6" s="35" t="s">
        <v>348</v>
      </c>
      <c r="AP6" s="35" t="s">
        <v>349</v>
      </c>
      <c r="AQ6" s="35" t="s">
        <v>350</v>
      </c>
      <c r="AR6" s="35" t="s">
        <v>351</v>
      </c>
      <c r="AS6" s="35" t="s">
        <v>352</v>
      </c>
      <c r="AT6" s="35" t="s">
        <v>353</v>
      </c>
      <c r="AU6" s="35" t="s">
        <v>354</v>
      </c>
      <c r="AV6" s="35" t="s">
        <v>355</v>
      </c>
      <c r="AW6" s="35" t="s">
        <v>356</v>
      </c>
      <c r="AX6" s="35" t="s">
        <v>357</v>
      </c>
      <c r="AY6" s="35" t="s">
        <v>358</v>
      </c>
      <c r="AZ6" s="35" t="s">
        <v>359</v>
      </c>
      <c r="BA6" s="35" t="s">
        <v>360</v>
      </c>
      <c r="BB6" s="35" t="s">
        <v>361</v>
      </c>
      <c r="BC6" s="35" t="s">
        <v>362</v>
      </c>
      <c r="BD6" s="35" t="s">
        <v>363</v>
      </c>
      <c r="BE6" s="35" t="s">
        <v>364</v>
      </c>
      <c r="BF6" s="35" t="s">
        <v>365</v>
      </c>
      <c r="BG6" s="35" t="s">
        <v>476</v>
      </c>
      <c r="BH6" s="35" t="s">
        <v>477</v>
      </c>
      <c r="BI6" s="35" t="s">
        <v>478</v>
      </c>
      <c r="BJ6" s="35" t="s">
        <v>479</v>
      </c>
      <c r="BK6" s="35" t="s">
        <v>368</v>
      </c>
      <c r="BL6" s="36" t="s">
        <v>45</v>
      </c>
      <c r="BM6" s="14"/>
      <c r="BN6" s="14"/>
      <c r="BO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2">
        <f t="shared" ref="BK7:BK152" si="1">AVERAGE(BD7,BA7,AX7,AU7,AR7,AO7,AL7)</f>
        <v>4.1634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  <c r="BK8" s="82" t="str">
        <f t="shared" si="1"/>
        <v>#DIV/0!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2">
        <f t="shared" si="1"/>
        <v>3.676333333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  <c r="BK10" s="82" t="str">
        <f t="shared" si="1"/>
        <v>#DIV/0!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  <c r="BK11" s="82" t="str">
        <f t="shared" si="1"/>
        <v>#DIV/0!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  <c r="BK12" s="82" t="str">
        <f t="shared" si="1"/>
        <v>#DIV/0!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  <c r="BK13" s="82" t="str">
        <f t="shared" si="1"/>
        <v>#DIV/0!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  <c r="BK14" s="82" t="str">
        <f t="shared" si="1"/>
        <v>#DIV/0!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  <c r="BK15" s="82" t="str">
        <f t="shared" si="1"/>
        <v>#DIV/0!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  <c r="BK16" s="82" t="str">
        <f t="shared" si="1"/>
        <v>#DIV/0!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  <c r="BK17" s="82" t="str">
        <f t="shared" si="1"/>
        <v>#DIV/0!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2">
        <f t="shared" si="1"/>
        <v>3.27725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  <c r="BK19" s="82" t="str">
        <f t="shared" si="1"/>
        <v>#DIV/0!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  <c r="BK20" s="82" t="str">
        <f t="shared" si="1"/>
        <v>#DIV/0!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  <c r="BK21" s="82" t="str">
        <f t="shared" si="1"/>
        <v>#DIV/0!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  <c r="BK22" s="82" t="str">
        <f t="shared" si="1"/>
        <v>#DIV/0!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  <c r="BK23" s="82" t="str">
        <f t="shared" si="1"/>
        <v>#DIV/0!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2">
        <f t="shared" si="1"/>
        <v>2.972666667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  <c r="BK25" s="82" t="str">
        <f t="shared" si="1"/>
        <v>#DIV/0!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  <c r="BK26" s="82" t="str">
        <f t="shared" si="1"/>
        <v>#DIV/0!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2">
        <f t="shared" si="1"/>
        <v>2.960333333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  <c r="BK28" s="82" t="str">
        <f t="shared" si="1"/>
        <v>#DIV/0!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  <c r="BK29" s="82" t="str">
        <f t="shared" si="1"/>
        <v>#DIV/0!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2">
        <f t="shared" si="1"/>
        <v>3.72</v>
      </c>
      <c r="BL30" s="66" t="s">
        <v>480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2">
        <f t="shared" si="1"/>
        <v>2.35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2">
        <f t="shared" si="1"/>
        <v>1.61575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2">
        <f t="shared" si="1"/>
        <v>3.192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2">
        <f t="shared" si="1"/>
        <v>3.3255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2">
        <f t="shared" si="1"/>
        <v>3.78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  <c r="BK36" s="82" t="str">
        <f t="shared" si="1"/>
        <v>#DIV/0!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  <c r="BK37" s="82" t="str">
        <f t="shared" si="1"/>
        <v>#DIV/0!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  <c r="BK38" s="82" t="str">
        <f t="shared" si="1"/>
        <v>#DIV/0!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  <c r="BK39" s="82" t="str">
        <f t="shared" si="1"/>
        <v>#DIV/0!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  <c r="BK40" s="82" t="str">
        <f t="shared" si="1"/>
        <v>#DIV/0!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  <c r="BK41" s="82" t="str">
        <f t="shared" si="1"/>
        <v>#DIV/0!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2">
        <f t="shared" si="1"/>
        <v>3.716166667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  <c r="BK43" s="82" t="str">
        <f t="shared" si="1"/>
        <v>#DIV/0!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  <c r="BK44" s="82" t="str">
        <f t="shared" si="1"/>
        <v>#DIV/0!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  <c r="BK45" s="82" t="str">
        <f t="shared" si="1"/>
        <v>#DIV/0!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2">
        <f t="shared" si="1"/>
        <v>2.16975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2">
        <f t="shared" si="1"/>
        <v>3.3165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2">
        <f t="shared" si="1"/>
        <v>2.86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  <c r="BK49" s="82" t="str">
        <f t="shared" si="1"/>
        <v>#DIV/0!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  <c r="BK50" s="82" t="str">
        <f t="shared" si="1"/>
        <v>#DIV/0!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  <c r="BK51" s="82" t="str">
        <f t="shared" si="1"/>
        <v>#DIV/0!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  <c r="BK52" s="82" t="str">
        <f t="shared" si="1"/>
        <v>#DIV/0!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2">
        <f t="shared" si="1"/>
        <v>3.442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  <c r="BK54" s="82" t="str">
        <f t="shared" si="1"/>
        <v>#DIV/0!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  <c r="BK55" s="82" t="str">
        <f t="shared" si="1"/>
        <v>#DIV/0!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  <c r="BK56" s="82" t="str">
        <f t="shared" si="1"/>
        <v>#DIV/0!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  <c r="BK57" s="82" t="str">
        <f t="shared" si="1"/>
        <v>#DIV/0!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  <c r="BK58" s="82" t="str">
        <f t="shared" si="1"/>
        <v>#DIV/0!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  <c r="BK59" s="82" t="str">
        <f t="shared" si="1"/>
        <v>#DIV/0!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  <c r="BK60" s="82" t="str">
        <f t="shared" si="1"/>
        <v>#DIV/0!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  <c r="BK61" s="82" t="str">
        <f t="shared" si="1"/>
        <v>#DIV/0!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  <c r="BK62" s="82" t="str">
        <f t="shared" si="1"/>
        <v>#DIV/0!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  <c r="BK63" s="82" t="str">
        <f t="shared" si="1"/>
        <v>#DIV/0!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  <c r="BK64" s="82" t="str">
        <f t="shared" si="1"/>
        <v>#DIV/0!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  <c r="BK65" s="82" t="str">
        <f t="shared" si="1"/>
        <v>#DIV/0!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  <c r="BK66" s="82" t="str">
        <f t="shared" si="1"/>
        <v>#DIV/0!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  <c r="BK67" s="82" t="str">
        <f t="shared" si="1"/>
        <v>#DIV/0!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  <c r="BK68" s="82" t="str">
        <f t="shared" si="1"/>
        <v>#DIV/0!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  <c r="BK69" s="82" t="str">
        <f t="shared" si="1"/>
        <v>#DIV/0!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  <c r="BK70" s="82" t="str">
        <f t="shared" si="1"/>
        <v>#DIV/0!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  <c r="BK71" s="82" t="str">
        <f t="shared" si="1"/>
        <v>#DIV/0!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  <c r="BK72" s="82" t="str">
        <f t="shared" si="1"/>
        <v>#DIV/0!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  <c r="BK73" s="82" t="str">
        <f t="shared" si="1"/>
        <v>#DIV/0!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BK74" s="82" t="str">
        <f t="shared" si="1"/>
        <v>#DIV/0!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2" t="str">
        <f t="shared" si="1"/>
        <v>#DIV/0!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  <c r="BK76" s="82" t="str">
        <f t="shared" si="1"/>
        <v>#DIV/0!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  <c r="BK77" s="82" t="str">
        <f t="shared" si="1"/>
        <v>#DIV/0!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  <c r="BK78" s="82" t="str">
        <f t="shared" si="1"/>
        <v>#DIV/0!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  <c r="BK79" s="82" t="str">
        <f t="shared" si="1"/>
        <v>#DIV/0!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  <c r="BK80" s="82" t="str">
        <f t="shared" si="1"/>
        <v>#DIV/0!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  <c r="BK81" s="82" t="str">
        <f t="shared" si="1"/>
        <v>#DIV/0!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2" t="str">
        <f t="shared" si="1"/>
        <v>#DIV/0!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  <c r="BK83" s="82" t="str">
        <f t="shared" si="1"/>
        <v>#DIV/0!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  <c r="BK84" s="82" t="str">
        <f t="shared" si="1"/>
        <v>#DIV/0!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  <c r="BK85" s="82" t="str">
        <f t="shared" si="1"/>
        <v>#DIV/0!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  <c r="BK86" s="82" t="str">
        <f t="shared" si="1"/>
        <v>#DIV/0!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  <c r="BK87" s="82" t="str">
        <f t="shared" si="1"/>
        <v>#DIV/0!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  <c r="BK88" s="82" t="str">
        <f t="shared" si="1"/>
        <v>#DIV/0!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  <c r="BK89" s="82" t="str">
        <f t="shared" si="1"/>
        <v>#DIV/0!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  <c r="BK90" s="82" t="str">
        <f t="shared" si="1"/>
        <v>#DIV/0!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2" t="str">
        <f t="shared" si="1"/>
        <v>#DIV/0!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2" t="str">
        <f t="shared" si="1"/>
        <v>#DIV/0!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2" t="str">
        <f t="shared" si="1"/>
        <v>#DIV/0!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  <c r="BK94" s="82" t="str">
        <f t="shared" si="1"/>
        <v>#DIV/0!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  <c r="BK95" s="82" t="str">
        <f t="shared" si="1"/>
        <v>#DIV/0!</v>
      </c>
    </row>
    <row r="96">
      <c r="A96" s="129"/>
      <c r="B96" s="124" t="s">
        <v>58</v>
      </c>
      <c r="C96" s="129" t="s">
        <v>87</v>
      </c>
      <c r="D96" s="130" t="s">
        <v>61</v>
      </c>
      <c r="E96" s="130"/>
      <c r="BK96" s="82" t="str">
        <f t="shared" si="1"/>
        <v>#DIV/0!</v>
      </c>
    </row>
    <row r="97">
      <c r="A97" s="129"/>
      <c r="B97" s="124" t="s">
        <v>58</v>
      </c>
      <c r="C97" s="129" t="s">
        <v>87</v>
      </c>
      <c r="D97" s="130" t="s">
        <v>61</v>
      </c>
      <c r="E97" s="130"/>
      <c r="BK97" s="82" t="str">
        <f t="shared" si="1"/>
        <v>#DIV/0!</v>
      </c>
    </row>
    <row r="98">
      <c r="A98" s="129"/>
      <c r="B98" s="124" t="s">
        <v>58</v>
      </c>
      <c r="C98" s="129" t="s">
        <v>87</v>
      </c>
      <c r="D98" s="130" t="s">
        <v>61</v>
      </c>
      <c r="E98" s="130"/>
      <c r="BK98" s="82" t="str">
        <f t="shared" si="1"/>
        <v>#DIV/0!</v>
      </c>
    </row>
    <row r="99">
      <c r="A99" s="129"/>
      <c r="B99" s="124" t="s">
        <v>58</v>
      </c>
      <c r="C99" s="129" t="s">
        <v>87</v>
      </c>
      <c r="D99" s="130" t="s">
        <v>61</v>
      </c>
      <c r="E99" s="130"/>
      <c r="BK99" s="82" t="str">
        <f t="shared" si="1"/>
        <v>#DIV/0!</v>
      </c>
    </row>
    <row r="100">
      <c r="A100" s="129"/>
      <c r="B100" s="124" t="s">
        <v>58</v>
      </c>
      <c r="C100" s="129" t="s">
        <v>88</v>
      </c>
      <c r="D100" s="130" t="s">
        <v>61</v>
      </c>
      <c r="E100" s="130"/>
      <c r="BK100" s="82" t="str">
        <f t="shared" si="1"/>
        <v>#DIV/0!</v>
      </c>
    </row>
    <row r="101">
      <c r="A101" s="129"/>
      <c r="B101" s="124" t="s">
        <v>58</v>
      </c>
      <c r="C101" s="129" t="s">
        <v>88</v>
      </c>
      <c r="D101" s="130" t="s">
        <v>61</v>
      </c>
      <c r="E101" s="130"/>
      <c r="BK101" s="82" t="str">
        <f t="shared" si="1"/>
        <v>#DIV/0!</v>
      </c>
    </row>
    <row r="102">
      <c r="A102" s="129"/>
      <c r="B102" s="124" t="s">
        <v>58</v>
      </c>
      <c r="C102" s="129" t="s">
        <v>88</v>
      </c>
      <c r="D102" s="130" t="s">
        <v>61</v>
      </c>
      <c r="E102" s="130"/>
      <c r="BK102" s="82" t="str">
        <f t="shared" si="1"/>
        <v>#DIV/0!</v>
      </c>
    </row>
    <row r="103">
      <c r="A103" s="129"/>
      <c r="B103" s="124" t="s">
        <v>58</v>
      </c>
      <c r="C103" s="129" t="s">
        <v>88</v>
      </c>
      <c r="D103" s="130" t="s">
        <v>61</v>
      </c>
      <c r="E103" s="130"/>
      <c r="BK103" s="82" t="str">
        <f t="shared" si="1"/>
        <v>#DIV/0!</v>
      </c>
    </row>
    <row r="104">
      <c r="A104" s="129"/>
      <c r="B104" s="124" t="s">
        <v>58</v>
      </c>
      <c r="C104" s="129" t="s">
        <v>88</v>
      </c>
      <c r="D104" s="130" t="s">
        <v>61</v>
      </c>
      <c r="E104" s="130"/>
      <c r="BK104" s="82" t="str">
        <f t="shared" si="1"/>
        <v>#DIV/0!</v>
      </c>
    </row>
    <row r="105">
      <c r="A105" s="121"/>
      <c r="B105" s="124" t="s">
        <v>58</v>
      </c>
      <c r="C105" s="121" t="s">
        <v>89</v>
      </c>
      <c r="D105" s="121" t="s">
        <v>56</v>
      </c>
      <c r="E105" s="121"/>
      <c r="BK105" s="82" t="str">
        <f t="shared" si="1"/>
        <v>#DIV/0!</v>
      </c>
    </row>
    <row r="106">
      <c r="A106" s="121"/>
      <c r="B106" s="124" t="s">
        <v>58</v>
      </c>
      <c r="C106" s="121" t="s">
        <v>89</v>
      </c>
      <c r="D106" s="121" t="s">
        <v>56</v>
      </c>
      <c r="E106" s="121"/>
      <c r="BK106" s="82" t="str">
        <f t="shared" si="1"/>
        <v>#DIV/0!</v>
      </c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2">
        <f t="shared" si="1"/>
        <v>2.6365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  <c r="BK108" s="82" t="str">
        <f t="shared" si="1"/>
        <v>#DIV/0!</v>
      </c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  <c r="BK109" s="82" t="str">
        <f t="shared" si="1"/>
        <v>#DIV/0!</v>
      </c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2">
        <f t="shared" si="1"/>
        <v>3.888333333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2" t="str">
        <f t="shared" si="1"/>
        <v>#DIV/0!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2" t="str">
        <f t="shared" si="1"/>
        <v>#DIV/0!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BK113" s="82" t="str">
        <f t="shared" si="1"/>
        <v>#DIV/0!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BK114" s="82" t="str">
        <f t="shared" si="1"/>
        <v>#DIV/0!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BK115" s="82" t="str">
        <f t="shared" si="1"/>
        <v>#DIV/0!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BK116" s="82" t="str">
        <f t="shared" si="1"/>
        <v>#DIV/0!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2" t="str">
        <f t="shared" si="1"/>
        <v>#DIV/0!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  <c r="BK118" s="82" t="str">
        <f t="shared" si="1"/>
        <v>#DIV/0!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BK119" s="82" t="str">
        <f t="shared" si="1"/>
        <v>#DIV/0!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2" t="str">
        <f t="shared" si="1"/>
        <v>#DIV/0!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  <c r="BK121" s="82" t="str">
        <f t="shared" si="1"/>
        <v>#DIV/0!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BK122" s="82" t="str">
        <f t="shared" si="1"/>
        <v>#DIV/0!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BK123" s="82" t="str">
        <f t="shared" si="1"/>
        <v>#DIV/0!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BK124" s="82" t="str">
        <f t="shared" si="1"/>
        <v>#DIV/0!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BK125" s="82" t="str">
        <f t="shared" si="1"/>
        <v>#DIV/0!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BK126" s="82" t="str">
        <f t="shared" si="1"/>
        <v>#DIV/0!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BK127" s="82" t="str">
        <f t="shared" si="1"/>
        <v>#DIV/0!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BK128" s="82" t="str">
        <f t="shared" si="1"/>
        <v>#DIV/0!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BK129" s="82" t="str">
        <f t="shared" si="1"/>
        <v>#DIV/0!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AG130" s="66">
        <v>0.36</v>
      </c>
      <c r="AH130" s="66">
        <v>0.202</v>
      </c>
      <c r="BK130" s="82" t="str">
        <f t="shared" si="1"/>
        <v>#DIV/0!</v>
      </c>
      <c r="BL130" s="66" t="s">
        <v>227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BK131" s="82" t="str">
        <f t="shared" si="1"/>
        <v>#DIV/0!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2">
        <f t="shared" si="1"/>
        <v>2.9805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2">
        <f t="shared" si="1"/>
        <v>3.7402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2">
        <f t="shared" si="1"/>
        <v>2.650833333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2">
        <f t="shared" si="1"/>
        <v>2.149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2">
        <f t="shared" si="1"/>
        <v>2.692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2">
        <f t="shared" si="1"/>
        <v>3.0585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2">
        <f t="shared" si="1"/>
        <v>3.367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2">
        <f t="shared" si="1"/>
        <v>3.34425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2">
        <f t="shared" si="1"/>
        <v>3.2125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2">
        <f t="shared" si="1"/>
        <v>2.5555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2">
        <f t="shared" si="1"/>
        <v>2.02375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2">
        <f t="shared" si="1"/>
        <v>2.971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BK144" s="82" t="str">
        <f t="shared" si="1"/>
        <v>#DIV/0!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BK145" s="82" t="str">
        <f t="shared" si="1"/>
        <v>#DIV/0!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  <c r="BK146" s="82" t="str">
        <f t="shared" si="1"/>
        <v>#DIV/0!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BK147" s="82" t="str">
        <f t="shared" si="1"/>
        <v>#DIV/0!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BK148" s="82" t="str">
        <f t="shared" si="1"/>
        <v>#DIV/0!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2" t="str">
        <f t="shared" si="1"/>
        <v>#DIV/0!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2">
        <f t="shared" si="1"/>
        <v>3.568333333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2">
        <f t="shared" si="1"/>
        <v>3.276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  <c r="BK152" s="82" t="str">
        <f t="shared" si="1"/>
        <v>#DIV/0!</v>
      </c>
    </row>
    <row r="153">
      <c r="C153" s="114" t="s">
        <v>481</v>
      </c>
      <c r="D153" s="114" t="s">
        <v>481</v>
      </c>
      <c r="E153" s="114" t="s">
        <v>482</v>
      </c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2">
        <v>0.52</v>
      </c>
      <c r="BH153" s="112">
        <v>0.291</v>
      </c>
      <c r="BI153" s="117"/>
      <c r="BJ153" s="117"/>
      <c r="BK153" s="117"/>
      <c r="BL153" s="117"/>
      <c r="BM153" s="117"/>
      <c r="BN153" s="117"/>
      <c r="BO153" s="117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44706.0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G27" s="66">
        <v>10.0</v>
      </c>
      <c r="I27" s="66">
        <v>2.032</v>
      </c>
      <c r="L27" s="66">
        <v>2.001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AJ35" s="66">
        <v>3.65</v>
      </c>
      <c r="AM35" s="66">
        <v>3.83</v>
      </c>
      <c r="AP35" s="66">
        <v>3.86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G47" s="66">
        <v>10.0</v>
      </c>
      <c r="I47" s="66">
        <v>2.078</v>
      </c>
      <c r="L47" s="66">
        <v>2.043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AJ75" s="66">
        <v>2.52</v>
      </c>
      <c r="AM75" s="66">
        <v>2.68</v>
      </c>
      <c r="AP75" s="66">
        <v>2.72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AJ82" s="66">
        <v>3.07</v>
      </c>
      <c r="AM82" s="66">
        <v>2.65</v>
      </c>
      <c r="AP82" s="66">
        <v>2.91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AJ91" s="66">
        <v>2.92</v>
      </c>
      <c r="AM91" s="66">
        <v>3.5</v>
      </c>
      <c r="AP91" s="66">
        <v>3.18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AJ92" s="66">
        <v>2.7</v>
      </c>
      <c r="AM92" s="66">
        <v>2.61</v>
      </c>
      <c r="AP92" s="66">
        <v>2.36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AJ93" s="66">
        <v>2.37</v>
      </c>
      <c r="AM93" s="66">
        <v>2.21</v>
      </c>
      <c r="AP93" s="66">
        <v>1.96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AJ111" s="66">
        <v>3.47</v>
      </c>
      <c r="AM111" s="66">
        <v>3.27</v>
      </c>
      <c r="AP111" s="66">
        <v>3.29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1.2419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44761.0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AG74" s="66">
        <v>1.98</v>
      </c>
      <c r="AH74" s="66">
        <v>1.249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9" t="s">
        <v>315</v>
      </c>
      <c r="D1" s="120"/>
      <c r="E1" s="120"/>
    </row>
    <row r="3">
      <c r="C3" s="121" t="s">
        <v>1</v>
      </c>
      <c r="D3" s="122" t="s">
        <v>316</v>
      </c>
      <c r="E3" s="121"/>
    </row>
    <row r="4">
      <c r="C4" s="121" t="s">
        <v>3</v>
      </c>
      <c r="D4" s="141">
        <v>44791.0</v>
      </c>
    </row>
    <row r="5">
      <c r="AG5" s="167" t="s">
        <v>282</v>
      </c>
      <c r="BE5" s="167" t="s">
        <v>282</v>
      </c>
    </row>
    <row r="6">
      <c r="A6" s="123" t="s">
        <v>99</v>
      </c>
      <c r="B6" s="124" t="s">
        <v>100</v>
      </c>
      <c r="C6" s="125" t="s">
        <v>11</v>
      </c>
      <c r="D6" s="126" t="s">
        <v>12</v>
      </c>
      <c r="E6" s="126" t="s">
        <v>13</v>
      </c>
      <c r="F6" s="36" t="s">
        <v>28</v>
      </c>
      <c r="G6" s="36" t="s">
        <v>29</v>
      </c>
      <c r="H6" s="35" t="s">
        <v>179</v>
      </c>
      <c r="I6" s="35" t="s">
        <v>318</v>
      </c>
      <c r="J6" s="35" t="s">
        <v>319</v>
      </c>
      <c r="K6" s="35" t="s">
        <v>320</v>
      </c>
      <c r="L6" s="35" t="s">
        <v>321</v>
      </c>
      <c r="M6" s="35" t="s">
        <v>322</v>
      </c>
      <c r="N6" s="35" t="s">
        <v>323</v>
      </c>
      <c r="O6" s="35" t="s">
        <v>324</v>
      </c>
      <c r="P6" s="35" t="s">
        <v>325</v>
      </c>
      <c r="Q6" s="35" t="s">
        <v>326</v>
      </c>
      <c r="R6" s="35" t="s">
        <v>327</v>
      </c>
      <c r="S6" s="35" t="s">
        <v>328</v>
      </c>
      <c r="T6" s="35" t="s">
        <v>329</v>
      </c>
      <c r="U6" s="35" t="s">
        <v>330</v>
      </c>
      <c r="V6" s="35" t="s">
        <v>331</v>
      </c>
      <c r="W6" s="35" t="s">
        <v>332</v>
      </c>
      <c r="X6" s="35" t="s">
        <v>333</v>
      </c>
      <c r="Y6" s="35" t="s">
        <v>334</v>
      </c>
      <c r="Z6" s="35" t="s">
        <v>335</v>
      </c>
      <c r="AA6" s="35" t="s">
        <v>336</v>
      </c>
      <c r="AB6" s="35" t="s">
        <v>337</v>
      </c>
      <c r="AC6" s="35" t="s">
        <v>338</v>
      </c>
      <c r="AD6" s="35" t="s">
        <v>339</v>
      </c>
      <c r="AE6" s="35" t="s">
        <v>340</v>
      </c>
      <c r="AF6" s="35" t="s">
        <v>341</v>
      </c>
      <c r="AG6" s="35" t="s">
        <v>342</v>
      </c>
      <c r="AH6" s="35" t="s">
        <v>343</v>
      </c>
      <c r="AI6" s="35" t="s">
        <v>344</v>
      </c>
      <c r="AJ6" s="35" t="s">
        <v>345</v>
      </c>
      <c r="AK6" s="35" t="s">
        <v>346</v>
      </c>
      <c r="AL6" s="35" t="s">
        <v>347</v>
      </c>
      <c r="AM6" s="35" t="s">
        <v>348</v>
      </c>
      <c r="AN6" s="35" t="s">
        <v>349</v>
      </c>
      <c r="AO6" s="35" t="s">
        <v>350</v>
      </c>
      <c r="AP6" s="35" t="s">
        <v>351</v>
      </c>
      <c r="AQ6" s="35" t="s">
        <v>352</v>
      </c>
      <c r="AR6" s="35" t="s">
        <v>353</v>
      </c>
      <c r="AS6" s="35" t="s">
        <v>354</v>
      </c>
      <c r="AT6" s="35" t="s">
        <v>355</v>
      </c>
      <c r="AU6" s="35" t="s">
        <v>356</v>
      </c>
      <c r="AV6" s="35" t="s">
        <v>357</v>
      </c>
      <c r="AW6" s="35" t="s">
        <v>358</v>
      </c>
      <c r="AX6" s="35" t="s">
        <v>359</v>
      </c>
      <c r="AY6" s="35" t="s">
        <v>360</v>
      </c>
      <c r="AZ6" s="35" t="s">
        <v>361</v>
      </c>
      <c r="BA6" s="35" t="s">
        <v>362</v>
      </c>
      <c r="BB6" s="35" t="s">
        <v>363</v>
      </c>
      <c r="BC6" s="35" t="s">
        <v>364</v>
      </c>
      <c r="BD6" s="35" t="s">
        <v>365</v>
      </c>
      <c r="BE6" s="35" t="s">
        <v>366</v>
      </c>
      <c r="BF6" s="35" t="s">
        <v>367</v>
      </c>
      <c r="BG6" s="35" t="s">
        <v>368</v>
      </c>
      <c r="BH6" s="36" t="s">
        <v>45</v>
      </c>
      <c r="BI6" s="14"/>
      <c r="BJ6" s="14"/>
      <c r="BK6" s="14"/>
    </row>
    <row r="7">
      <c r="A7" s="122" t="s">
        <v>89</v>
      </c>
      <c r="B7" s="124" t="s">
        <v>137</v>
      </c>
      <c r="C7" s="121" t="s">
        <v>55</v>
      </c>
      <c r="D7" s="121" t="s">
        <v>56</v>
      </c>
      <c r="E7" s="121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122" t="s">
        <v>89</v>
      </c>
      <c r="B8" s="124" t="s">
        <v>137</v>
      </c>
      <c r="C8" s="121" t="s">
        <v>55</v>
      </c>
      <c r="D8" s="121" t="s">
        <v>56</v>
      </c>
      <c r="E8" s="121">
        <v>2353.0</v>
      </c>
    </row>
    <row r="9">
      <c r="A9" s="122" t="s">
        <v>89</v>
      </c>
      <c r="B9" s="124" t="s">
        <v>137</v>
      </c>
      <c r="C9" s="121" t="s">
        <v>55</v>
      </c>
      <c r="D9" s="121" t="s">
        <v>56</v>
      </c>
      <c r="E9" s="127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122" t="s">
        <v>89</v>
      </c>
      <c r="B10" s="124" t="s">
        <v>137</v>
      </c>
      <c r="C10" s="121" t="s">
        <v>55</v>
      </c>
      <c r="D10" s="121" t="s">
        <v>61</v>
      </c>
      <c r="E10" s="121">
        <v>2355.0</v>
      </c>
    </row>
    <row r="11">
      <c r="A11" s="122" t="s">
        <v>89</v>
      </c>
      <c r="B11" s="124" t="s">
        <v>58</v>
      </c>
      <c r="C11" s="121" t="s">
        <v>55</v>
      </c>
      <c r="D11" s="121" t="s">
        <v>61</v>
      </c>
      <c r="E11" s="127" t="s">
        <v>62</v>
      </c>
    </row>
    <row r="12">
      <c r="A12" s="122" t="s">
        <v>89</v>
      </c>
      <c r="B12" s="124" t="s">
        <v>137</v>
      </c>
      <c r="C12" s="121" t="s">
        <v>55</v>
      </c>
      <c r="D12" s="121" t="s">
        <v>61</v>
      </c>
      <c r="E12" s="121">
        <v>2356.0</v>
      </c>
    </row>
    <row r="13">
      <c r="A13" s="122" t="s">
        <v>89</v>
      </c>
      <c r="B13" s="124" t="s">
        <v>137</v>
      </c>
      <c r="C13" s="121" t="s">
        <v>55</v>
      </c>
      <c r="D13" s="121" t="s">
        <v>61</v>
      </c>
      <c r="E13" s="121">
        <v>2357.0</v>
      </c>
    </row>
    <row r="14">
      <c r="A14" s="122" t="s">
        <v>89</v>
      </c>
      <c r="B14" s="124" t="s">
        <v>58</v>
      </c>
      <c r="C14" s="121" t="s">
        <v>55</v>
      </c>
      <c r="D14" s="121" t="s">
        <v>61</v>
      </c>
      <c r="E14" s="127" t="s">
        <v>62</v>
      </c>
    </row>
    <row r="15">
      <c r="A15" s="122" t="s">
        <v>89</v>
      </c>
      <c r="B15" s="124" t="s">
        <v>137</v>
      </c>
      <c r="C15" s="121" t="s">
        <v>55</v>
      </c>
      <c r="D15" s="121" t="s">
        <v>61</v>
      </c>
      <c r="E15" s="121">
        <v>2358.0</v>
      </c>
    </row>
    <row r="16">
      <c r="A16" s="122" t="s">
        <v>89</v>
      </c>
      <c r="B16" s="124" t="s">
        <v>137</v>
      </c>
      <c r="C16" s="121" t="s">
        <v>55</v>
      </c>
      <c r="D16" s="121" t="s">
        <v>61</v>
      </c>
      <c r="E16" s="121">
        <v>2359.0</v>
      </c>
    </row>
    <row r="17">
      <c r="A17" s="122" t="s">
        <v>89</v>
      </c>
      <c r="B17" s="124" t="s">
        <v>58</v>
      </c>
      <c r="C17" s="121" t="s">
        <v>55</v>
      </c>
      <c r="D17" s="121" t="s">
        <v>61</v>
      </c>
      <c r="E17" s="127" t="s">
        <v>62</v>
      </c>
    </row>
    <row r="18">
      <c r="A18" s="122" t="s">
        <v>89</v>
      </c>
      <c r="B18" s="124" t="s">
        <v>137</v>
      </c>
      <c r="C18" s="121" t="s">
        <v>55</v>
      </c>
      <c r="D18" s="121" t="s">
        <v>61</v>
      </c>
      <c r="E18" s="121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122" t="s">
        <v>89</v>
      </c>
      <c r="B19" s="124" t="s">
        <v>137</v>
      </c>
      <c r="C19" s="121" t="s">
        <v>55</v>
      </c>
      <c r="D19" s="121" t="s">
        <v>61</v>
      </c>
      <c r="E19" s="121">
        <v>2361.0</v>
      </c>
    </row>
    <row r="20">
      <c r="A20" s="122" t="s">
        <v>89</v>
      </c>
      <c r="B20" s="124" t="s">
        <v>58</v>
      </c>
      <c r="C20" s="121" t="s">
        <v>55</v>
      </c>
      <c r="D20" s="121" t="s">
        <v>61</v>
      </c>
      <c r="E20" s="127" t="s">
        <v>62</v>
      </c>
    </row>
    <row r="21">
      <c r="A21" s="122" t="s">
        <v>89</v>
      </c>
      <c r="B21" s="124" t="s">
        <v>137</v>
      </c>
      <c r="C21" s="121" t="s">
        <v>55</v>
      </c>
      <c r="D21" s="121" t="s">
        <v>61</v>
      </c>
      <c r="E21" s="121">
        <v>2362.0</v>
      </c>
    </row>
    <row r="22">
      <c r="A22" s="122" t="s">
        <v>89</v>
      </c>
      <c r="B22" s="124" t="s">
        <v>137</v>
      </c>
      <c r="C22" s="121" t="s">
        <v>55</v>
      </c>
      <c r="D22" s="121" t="s">
        <v>61</v>
      </c>
      <c r="E22" s="121">
        <v>2363.0</v>
      </c>
    </row>
    <row r="23">
      <c r="A23" s="122" t="s">
        <v>89</v>
      </c>
      <c r="B23" s="124" t="s">
        <v>137</v>
      </c>
      <c r="C23" s="121" t="s">
        <v>55</v>
      </c>
      <c r="D23" s="121" t="s">
        <v>61</v>
      </c>
      <c r="E23" s="121">
        <v>2364.0</v>
      </c>
    </row>
    <row r="24">
      <c r="A24" s="122" t="s">
        <v>89</v>
      </c>
      <c r="B24" s="124" t="s">
        <v>137</v>
      </c>
      <c r="C24" s="121" t="s">
        <v>55</v>
      </c>
      <c r="D24" s="121" t="s">
        <v>61</v>
      </c>
      <c r="E24" s="121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122" t="s">
        <v>89</v>
      </c>
      <c r="B25" s="124" t="s">
        <v>137</v>
      </c>
      <c r="C25" s="121" t="s">
        <v>55</v>
      </c>
      <c r="D25" s="121" t="s">
        <v>61</v>
      </c>
      <c r="E25" s="121">
        <v>2366.0</v>
      </c>
    </row>
    <row r="26">
      <c r="A26" s="122" t="s">
        <v>89</v>
      </c>
      <c r="B26" s="124" t="s">
        <v>58</v>
      </c>
      <c r="C26" s="121" t="s">
        <v>55</v>
      </c>
      <c r="D26" s="121" t="s">
        <v>61</v>
      </c>
      <c r="E26" s="127" t="s">
        <v>62</v>
      </c>
    </row>
    <row r="27">
      <c r="A27" s="122" t="s">
        <v>89</v>
      </c>
      <c r="B27" s="124" t="s">
        <v>137</v>
      </c>
      <c r="C27" s="121" t="s">
        <v>55</v>
      </c>
      <c r="D27" s="121" t="s">
        <v>61</v>
      </c>
      <c r="E27" s="121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122" t="s">
        <v>89</v>
      </c>
      <c r="B28" s="124" t="s">
        <v>58</v>
      </c>
      <c r="C28" s="121" t="s">
        <v>55</v>
      </c>
      <c r="D28" s="121" t="s">
        <v>61</v>
      </c>
      <c r="E28" s="127" t="s">
        <v>62</v>
      </c>
    </row>
    <row r="29">
      <c r="A29" s="122" t="s">
        <v>89</v>
      </c>
      <c r="B29" s="124" t="s">
        <v>58</v>
      </c>
      <c r="C29" s="121" t="s">
        <v>55</v>
      </c>
      <c r="D29" s="121" t="s">
        <v>61</v>
      </c>
      <c r="E29" s="127" t="s">
        <v>62</v>
      </c>
    </row>
    <row r="30">
      <c r="A30" s="122" t="s">
        <v>89</v>
      </c>
      <c r="B30" s="124" t="s">
        <v>137</v>
      </c>
      <c r="C30" s="121" t="s">
        <v>55</v>
      </c>
      <c r="D30" s="121" t="s">
        <v>61</v>
      </c>
      <c r="E30" s="121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122" t="s">
        <v>89</v>
      </c>
      <c r="B31" s="124" t="s">
        <v>137</v>
      </c>
      <c r="C31" s="122" t="s">
        <v>63</v>
      </c>
      <c r="D31" s="122" t="s">
        <v>56</v>
      </c>
      <c r="E31" s="122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122" t="s">
        <v>89</v>
      </c>
      <c r="B32" s="124" t="s">
        <v>137</v>
      </c>
      <c r="C32" s="122" t="s">
        <v>63</v>
      </c>
      <c r="D32" s="122" t="s">
        <v>56</v>
      </c>
      <c r="E32" s="122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122" t="s">
        <v>89</v>
      </c>
      <c r="B33" s="124" t="s">
        <v>137</v>
      </c>
      <c r="C33" s="122" t="s">
        <v>63</v>
      </c>
      <c r="D33" s="122" t="s">
        <v>61</v>
      </c>
      <c r="E33" s="122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122" t="s">
        <v>89</v>
      </c>
      <c r="B34" s="124" t="s">
        <v>137</v>
      </c>
      <c r="C34" s="122" t="s">
        <v>63</v>
      </c>
      <c r="D34" s="122" t="s">
        <v>61</v>
      </c>
      <c r="E34" s="122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122" t="s">
        <v>89</v>
      </c>
      <c r="B35" s="124" t="s">
        <v>137</v>
      </c>
      <c r="C35" s="122" t="s">
        <v>63</v>
      </c>
      <c r="D35" s="122" t="s">
        <v>56</v>
      </c>
      <c r="E35" s="122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122" t="s">
        <v>89</v>
      </c>
      <c r="B36" s="124" t="s">
        <v>113</v>
      </c>
      <c r="C36" s="121" t="s">
        <v>67</v>
      </c>
      <c r="D36" s="121" t="s">
        <v>61</v>
      </c>
      <c r="E36" s="121">
        <v>2337.0</v>
      </c>
    </row>
    <row r="37">
      <c r="A37" s="122" t="s">
        <v>89</v>
      </c>
      <c r="B37" s="124" t="s">
        <v>113</v>
      </c>
      <c r="C37" s="121" t="s">
        <v>67</v>
      </c>
      <c r="D37" s="121" t="s">
        <v>61</v>
      </c>
      <c r="E37" s="121">
        <v>2338.0</v>
      </c>
    </row>
    <row r="38">
      <c r="A38" s="122" t="s">
        <v>89</v>
      </c>
      <c r="B38" s="124" t="s">
        <v>113</v>
      </c>
      <c r="C38" s="121" t="s">
        <v>67</v>
      </c>
      <c r="D38" s="121" t="s">
        <v>61</v>
      </c>
      <c r="E38" s="121">
        <v>2339.0</v>
      </c>
    </row>
    <row r="39">
      <c r="A39" s="122" t="s">
        <v>89</v>
      </c>
      <c r="B39" s="124" t="s">
        <v>113</v>
      </c>
      <c r="C39" s="121" t="s">
        <v>67</v>
      </c>
      <c r="D39" s="121" t="s">
        <v>61</v>
      </c>
      <c r="E39" s="121">
        <v>2340.0</v>
      </c>
    </row>
    <row r="40">
      <c r="A40" s="122" t="s">
        <v>89</v>
      </c>
      <c r="B40" s="124" t="s">
        <v>113</v>
      </c>
      <c r="C40" s="121" t="s">
        <v>67</v>
      </c>
      <c r="D40" s="121" t="s">
        <v>61</v>
      </c>
      <c r="E40" s="121">
        <v>2341.0</v>
      </c>
    </row>
    <row r="41">
      <c r="A41" s="122" t="s">
        <v>89</v>
      </c>
      <c r="B41" s="124" t="s">
        <v>113</v>
      </c>
      <c r="C41" s="121" t="s">
        <v>67</v>
      </c>
      <c r="D41" s="121" t="s">
        <v>61</v>
      </c>
      <c r="E41" s="121">
        <v>2342.0</v>
      </c>
    </row>
    <row r="42">
      <c r="A42" s="122" t="s">
        <v>89</v>
      </c>
      <c r="B42" s="124" t="s">
        <v>113</v>
      </c>
      <c r="C42" s="121" t="s">
        <v>67</v>
      </c>
      <c r="D42" s="121" t="s">
        <v>61</v>
      </c>
      <c r="E42" s="121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122" t="s">
        <v>89</v>
      </c>
      <c r="B43" s="124" t="s">
        <v>58</v>
      </c>
      <c r="C43" s="128" t="s">
        <v>67</v>
      </c>
      <c r="D43" s="128" t="s">
        <v>61</v>
      </c>
      <c r="E43" s="128" t="s">
        <v>70</v>
      </c>
    </row>
    <row r="44">
      <c r="A44" s="122" t="s">
        <v>89</v>
      </c>
      <c r="B44" s="124" t="s">
        <v>113</v>
      </c>
      <c r="C44" s="121" t="s">
        <v>67</v>
      </c>
      <c r="D44" s="121" t="s">
        <v>61</v>
      </c>
      <c r="E44" s="121">
        <v>2344.0</v>
      </c>
    </row>
    <row r="45">
      <c r="A45" s="122" t="s">
        <v>89</v>
      </c>
      <c r="B45" s="124" t="s">
        <v>58</v>
      </c>
      <c r="C45" s="128" t="s">
        <v>67</v>
      </c>
      <c r="D45" s="128" t="s">
        <v>56</v>
      </c>
      <c r="E45" s="128" t="s">
        <v>70</v>
      </c>
    </row>
    <row r="46">
      <c r="A46" s="122" t="s">
        <v>89</v>
      </c>
      <c r="B46" s="124" t="s">
        <v>113</v>
      </c>
      <c r="C46" s="121" t="s">
        <v>67</v>
      </c>
      <c r="D46" s="121" t="s">
        <v>56</v>
      </c>
      <c r="E46" s="127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122" t="s">
        <v>89</v>
      </c>
      <c r="B47" s="124" t="s">
        <v>113</v>
      </c>
      <c r="C47" s="121" t="s">
        <v>67</v>
      </c>
      <c r="D47" s="121" t="s">
        <v>61</v>
      </c>
      <c r="E47" s="121">
        <v>2346.0</v>
      </c>
      <c r="AJ47" s="66">
        <v>5.103</v>
      </c>
      <c r="AM47" s="66">
        <v>5.121</v>
      </c>
    </row>
    <row r="48">
      <c r="A48" s="122" t="s">
        <v>89</v>
      </c>
      <c r="B48" s="124" t="s">
        <v>113</v>
      </c>
      <c r="C48" s="121" t="s">
        <v>67</v>
      </c>
      <c r="D48" s="121" t="s">
        <v>61</v>
      </c>
      <c r="E48" s="121">
        <v>2347.0</v>
      </c>
      <c r="I48" s="66">
        <v>3.991</v>
      </c>
      <c r="AJ48" s="66">
        <v>4.402</v>
      </c>
      <c r="AM48" s="66">
        <v>4.511</v>
      </c>
    </row>
    <row r="49">
      <c r="A49" s="122" t="s">
        <v>89</v>
      </c>
      <c r="B49" s="124" t="s">
        <v>113</v>
      </c>
      <c r="C49" s="121" t="s">
        <v>67</v>
      </c>
      <c r="D49" s="121" t="s">
        <v>61</v>
      </c>
      <c r="E49" s="121">
        <v>2348.0</v>
      </c>
    </row>
    <row r="50">
      <c r="A50" s="122" t="s">
        <v>89</v>
      </c>
      <c r="B50" s="124" t="s">
        <v>113</v>
      </c>
      <c r="C50" s="121" t="s">
        <v>67</v>
      </c>
      <c r="D50" s="121" t="s">
        <v>61</v>
      </c>
      <c r="E50" s="121">
        <v>2349.0</v>
      </c>
    </row>
    <row r="51">
      <c r="A51" s="122" t="s">
        <v>89</v>
      </c>
      <c r="B51" s="124" t="s">
        <v>113</v>
      </c>
      <c r="C51" s="121" t="s">
        <v>67</v>
      </c>
      <c r="D51" s="121" t="s">
        <v>61</v>
      </c>
      <c r="E51" s="121">
        <v>2350.0</v>
      </c>
    </row>
    <row r="52">
      <c r="A52" s="122" t="s">
        <v>89</v>
      </c>
      <c r="B52" s="124" t="s">
        <v>113</v>
      </c>
      <c r="C52" s="121" t="s">
        <v>67</v>
      </c>
      <c r="D52" s="121" t="s">
        <v>61</v>
      </c>
      <c r="E52" s="121">
        <v>2351.0</v>
      </c>
    </row>
    <row r="53">
      <c r="A53" s="122" t="s">
        <v>89</v>
      </c>
      <c r="B53" s="124" t="s">
        <v>113</v>
      </c>
      <c r="C53" s="122" t="s">
        <v>75</v>
      </c>
      <c r="D53" s="122" t="s">
        <v>61</v>
      </c>
      <c r="E53" s="122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122" t="s">
        <v>89</v>
      </c>
      <c r="B54" s="124" t="s">
        <v>134</v>
      </c>
      <c r="C54" s="121" t="s">
        <v>77</v>
      </c>
      <c r="D54" s="121" t="s">
        <v>61</v>
      </c>
      <c r="E54" s="121">
        <v>2310.0</v>
      </c>
    </row>
    <row r="55">
      <c r="A55" s="122" t="s">
        <v>89</v>
      </c>
      <c r="B55" s="124" t="s">
        <v>134</v>
      </c>
      <c r="C55" s="121" t="s">
        <v>77</v>
      </c>
      <c r="D55" s="121" t="s">
        <v>61</v>
      </c>
      <c r="E55" s="121">
        <v>2311.0</v>
      </c>
    </row>
    <row r="56">
      <c r="A56" s="122" t="s">
        <v>89</v>
      </c>
      <c r="B56" s="124" t="s">
        <v>134</v>
      </c>
      <c r="C56" s="121" t="s">
        <v>77</v>
      </c>
      <c r="D56" s="121" t="s">
        <v>61</v>
      </c>
      <c r="E56" s="121">
        <v>2312.0</v>
      </c>
    </row>
    <row r="57">
      <c r="A57" s="122" t="s">
        <v>89</v>
      </c>
      <c r="B57" s="124" t="s">
        <v>134</v>
      </c>
      <c r="C57" s="121" t="s">
        <v>77</v>
      </c>
      <c r="D57" s="121" t="s">
        <v>61</v>
      </c>
      <c r="E57" s="121">
        <v>2313.0</v>
      </c>
    </row>
    <row r="58">
      <c r="A58" s="122" t="s">
        <v>89</v>
      </c>
      <c r="B58" s="124" t="s">
        <v>134</v>
      </c>
      <c r="C58" s="121" t="s">
        <v>77</v>
      </c>
      <c r="D58" s="121" t="s">
        <v>61</v>
      </c>
      <c r="E58" s="121">
        <v>2314.0</v>
      </c>
    </row>
    <row r="59">
      <c r="A59" s="122" t="s">
        <v>89</v>
      </c>
      <c r="B59" s="124" t="s">
        <v>134</v>
      </c>
      <c r="C59" s="121" t="s">
        <v>77</v>
      </c>
      <c r="D59" s="121" t="s">
        <v>56</v>
      </c>
      <c r="E59" s="121">
        <v>2315.0</v>
      </c>
    </row>
    <row r="60">
      <c r="A60" s="122" t="s">
        <v>89</v>
      </c>
      <c r="B60" s="124" t="s">
        <v>134</v>
      </c>
      <c r="C60" s="121" t="s">
        <v>77</v>
      </c>
      <c r="D60" s="121" t="s">
        <v>61</v>
      </c>
      <c r="E60" s="121">
        <v>2316.0</v>
      </c>
    </row>
    <row r="61">
      <c r="A61" s="122" t="s">
        <v>89</v>
      </c>
      <c r="B61" s="124" t="s">
        <v>134</v>
      </c>
      <c r="C61" s="121" t="s">
        <v>77</v>
      </c>
      <c r="D61" s="121" t="s">
        <v>61</v>
      </c>
      <c r="E61" s="121">
        <v>2317.0</v>
      </c>
    </row>
    <row r="62">
      <c r="A62" s="122" t="s">
        <v>89</v>
      </c>
      <c r="B62" s="124" t="s">
        <v>134</v>
      </c>
      <c r="C62" s="121" t="s">
        <v>77</v>
      </c>
      <c r="D62" s="121" t="s">
        <v>61</v>
      </c>
      <c r="E62" s="121">
        <v>2318.0</v>
      </c>
    </row>
    <row r="63">
      <c r="A63" s="122" t="s">
        <v>89</v>
      </c>
      <c r="B63" s="124" t="s">
        <v>134</v>
      </c>
      <c r="C63" s="121" t="s">
        <v>77</v>
      </c>
      <c r="D63" s="121" t="s">
        <v>61</v>
      </c>
      <c r="E63" s="121">
        <v>2319.0</v>
      </c>
    </row>
    <row r="64">
      <c r="A64" s="122" t="s">
        <v>89</v>
      </c>
      <c r="B64" s="124" t="s">
        <v>134</v>
      </c>
      <c r="C64" s="121" t="s">
        <v>77</v>
      </c>
      <c r="D64" s="121" t="s">
        <v>56</v>
      </c>
      <c r="E64" s="121">
        <v>2320.0</v>
      </c>
    </row>
    <row r="65">
      <c r="A65" s="122" t="s">
        <v>89</v>
      </c>
      <c r="B65" s="124" t="s">
        <v>134</v>
      </c>
      <c r="C65" s="121" t="s">
        <v>77</v>
      </c>
      <c r="D65" s="121" t="s">
        <v>61</v>
      </c>
      <c r="E65" s="121">
        <v>2321.0</v>
      </c>
    </row>
    <row r="66">
      <c r="A66" s="122" t="s">
        <v>89</v>
      </c>
      <c r="B66" s="124" t="s">
        <v>134</v>
      </c>
      <c r="C66" s="121" t="s">
        <v>77</v>
      </c>
      <c r="D66" s="121" t="s">
        <v>56</v>
      </c>
      <c r="E66" s="121">
        <v>2322.0</v>
      </c>
    </row>
    <row r="67">
      <c r="A67" s="122" t="s">
        <v>89</v>
      </c>
      <c r="B67" s="124" t="s">
        <v>134</v>
      </c>
      <c r="C67" s="121" t="s">
        <v>77</v>
      </c>
      <c r="D67" s="121" t="s">
        <v>56</v>
      </c>
      <c r="E67" s="121">
        <v>2323.0</v>
      </c>
    </row>
    <row r="68">
      <c r="A68" s="122" t="s">
        <v>89</v>
      </c>
      <c r="B68" s="124" t="s">
        <v>134</v>
      </c>
      <c r="C68" s="121" t="s">
        <v>77</v>
      </c>
      <c r="D68" s="121" t="s">
        <v>61</v>
      </c>
      <c r="E68" s="121">
        <v>2324.0</v>
      </c>
    </row>
    <row r="69">
      <c r="A69" s="122" t="s">
        <v>89</v>
      </c>
      <c r="B69" s="124" t="s">
        <v>134</v>
      </c>
      <c r="C69" s="121" t="s">
        <v>77</v>
      </c>
      <c r="D69" s="121" t="s">
        <v>61</v>
      </c>
      <c r="E69" s="121">
        <v>2325.0</v>
      </c>
    </row>
    <row r="70">
      <c r="A70" s="122" t="s">
        <v>89</v>
      </c>
      <c r="B70" s="124" t="s">
        <v>134</v>
      </c>
      <c r="C70" s="121" t="s">
        <v>77</v>
      </c>
      <c r="D70" s="121" t="s">
        <v>61</v>
      </c>
      <c r="E70" s="121">
        <v>2327.0</v>
      </c>
    </row>
    <row r="71">
      <c r="A71" s="122" t="s">
        <v>89</v>
      </c>
      <c r="B71" s="124" t="s">
        <v>134</v>
      </c>
      <c r="C71" s="121" t="s">
        <v>77</v>
      </c>
      <c r="D71" s="121" t="s">
        <v>61</v>
      </c>
      <c r="E71" s="121">
        <v>2326.0</v>
      </c>
    </row>
    <row r="72">
      <c r="A72" s="122" t="s">
        <v>89</v>
      </c>
      <c r="B72" s="124" t="s">
        <v>134</v>
      </c>
      <c r="C72" s="121" t="s">
        <v>77</v>
      </c>
      <c r="D72" s="121" t="s">
        <v>56</v>
      </c>
      <c r="E72" s="121">
        <v>2328.0</v>
      </c>
    </row>
    <row r="73">
      <c r="A73" s="122" t="s">
        <v>89</v>
      </c>
      <c r="B73" s="124" t="s">
        <v>134</v>
      </c>
      <c r="C73" s="121" t="s">
        <v>77</v>
      </c>
      <c r="D73" s="121" t="s">
        <v>61</v>
      </c>
      <c r="E73" s="121">
        <v>2329.0</v>
      </c>
    </row>
    <row r="74">
      <c r="A74" s="122" t="s">
        <v>89</v>
      </c>
      <c r="B74" s="124" t="s">
        <v>134</v>
      </c>
      <c r="C74" s="121" t="s">
        <v>77</v>
      </c>
      <c r="D74" s="121" t="s">
        <v>61</v>
      </c>
      <c r="E74" s="121">
        <v>2330.0</v>
      </c>
      <c r="I74" s="66">
        <v>3.01</v>
      </c>
      <c r="L74" s="66">
        <v>2.621</v>
      </c>
      <c r="O74" s="66">
        <v>2.926</v>
      </c>
    </row>
    <row r="75">
      <c r="A75" s="122" t="s">
        <v>89</v>
      </c>
      <c r="B75" s="124" t="s">
        <v>134</v>
      </c>
      <c r="C75" s="121" t="s">
        <v>77</v>
      </c>
      <c r="D75" s="121" t="s">
        <v>56</v>
      </c>
      <c r="E75" s="121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122" t="s">
        <v>89</v>
      </c>
      <c r="B76" s="124" t="s">
        <v>134</v>
      </c>
      <c r="C76" s="121" t="s">
        <v>77</v>
      </c>
      <c r="D76" s="121" t="s">
        <v>61</v>
      </c>
      <c r="E76" s="121">
        <v>2332.0</v>
      </c>
    </row>
    <row r="77">
      <c r="A77" s="122" t="s">
        <v>89</v>
      </c>
      <c r="B77" s="124" t="s">
        <v>134</v>
      </c>
      <c r="C77" s="121" t="s">
        <v>77</v>
      </c>
      <c r="D77" s="121" t="s">
        <v>61</v>
      </c>
      <c r="E77" s="121">
        <v>2333.0</v>
      </c>
    </row>
    <row r="78">
      <c r="A78" s="122" t="s">
        <v>89</v>
      </c>
      <c r="B78" s="124" t="s">
        <v>134</v>
      </c>
      <c r="C78" s="129" t="s">
        <v>77</v>
      </c>
      <c r="D78" s="130" t="s">
        <v>61</v>
      </c>
      <c r="E78" s="121">
        <v>2334.0</v>
      </c>
    </row>
    <row r="79">
      <c r="A79" s="122" t="s">
        <v>89</v>
      </c>
      <c r="B79" s="124" t="s">
        <v>134</v>
      </c>
      <c r="C79" s="121" t="s">
        <v>77</v>
      </c>
      <c r="D79" s="121" t="s">
        <v>61</v>
      </c>
      <c r="E79" s="121">
        <v>2336.0</v>
      </c>
    </row>
    <row r="80">
      <c r="A80" s="122" t="s">
        <v>89</v>
      </c>
      <c r="B80" s="124" t="s">
        <v>134</v>
      </c>
      <c r="C80" s="121" t="s">
        <v>77</v>
      </c>
      <c r="D80" s="121" t="s">
        <v>61</v>
      </c>
      <c r="E80" s="121">
        <v>2335.0</v>
      </c>
    </row>
    <row r="81">
      <c r="A81" s="122" t="s">
        <v>89</v>
      </c>
      <c r="B81" s="124" t="s">
        <v>134</v>
      </c>
      <c r="C81" s="122" t="s">
        <v>78</v>
      </c>
      <c r="D81" s="122" t="s">
        <v>61</v>
      </c>
      <c r="E81" s="122">
        <v>2374.0</v>
      </c>
    </row>
    <row r="82">
      <c r="A82" s="122" t="s">
        <v>89</v>
      </c>
      <c r="B82" s="124" t="s">
        <v>113</v>
      </c>
      <c r="C82" s="121" t="s">
        <v>79</v>
      </c>
      <c r="D82" s="121" t="s">
        <v>56</v>
      </c>
      <c r="E82" s="127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122" t="s">
        <v>89</v>
      </c>
      <c r="B83" s="124" t="s">
        <v>113</v>
      </c>
      <c r="C83" s="121" t="s">
        <v>79</v>
      </c>
      <c r="D83" s="121" t="s">
        <v>61</v>
      </c>
      <c r="E83" s="121">
        <v>2302.0</v>
      </c>
    </row>
    <row r="84">
      <c r="A84" s="122" t="s">
        <v>89</v>
      </c>
      <c r="B84" s="124" t="s">
        <v>113</v>
      </c>
      <c r="C84" s="121" t="s">
        <v>79</v>
      </c>
      <c r="D84" s="121" t="s">
        <v>61</v>
      </c>
      <c r="E84" s="121">
        <v>2303.0</v>
      </c>
    </row>
    <row r="85">
      <c r="A85" s="122" t="s">
        <v>89</v>
      </c>
      <c r="B85" s="124" t="s">
        <v>113</v>
      </c>
      <c r="C85" s="121" t="s">
        <v>79</v>
      </c>
      <c r="D85" s="121" t="s">
        <v>61</v>
      </c>
      <c r="E85" s="121">
        <v>2304.0</v>
      </c>
    </row>
    <row r="86">
      <c r="A86" s="122" t="s">
        <v>89</v>
      </c>
      <c r="B86" s="124" t="s">
        <v>113</v>
      </c>
      <c r="C86" s="121" t="s">
        <v>79</v>
      </c>
      <c r="D86" s="121" t="s">
        <v>61</v>
      </c>
      <c r="E86" s="121">
        <v>2305.0</v>
      </c>
    </row>
    <row r="87">
      <c r="A87" s="122" t="s">
        <v>89</v>
      </c>
      <c r="B87" s="124" t="s">
        <v>113</v>
      </c>
      <c r="C87" s="121" t="s">
        <v>79</v>
      </c>
      <c r="D87" s="121" t="s">
        <v>61</v>
      </c>
      <c r="E87" s="121">
        <v>2306.0</v>
      </c>
    </row>
    <row r="88">
      <c r="A88" s="122" t="s">
        <v>89</v>
      </c>
      <c r="B88" s="124" t="s">
        <v>113</v>
      </c>
      <c r="C88" s="121" t="s">
        <v>79</v>
      </c>
      <c r="D88" s="121" t="s">
        <v>61</v>
      </c>
      <c r="E88" s="121">
        <v>2307.0</v>
      </c>
    </row>
    <row r="89">
      <c r="A89" s="122" t="s">
        <v>89</v>
      </c>
      <c r="B89" s="124" t="s">
        <v>113</v>
      </c>
      <c r="C89" s="121" t="s">
        <v>79</v>
      </c>
      <c r="D89" s="121" t="s">
        <v>61</v>
      </c>
      <c r="E89" s="121">
        <v>2308.0</v>
      </c>
    </row>
    <row r="90">
      <c r="A90" s="122" t="s">
        <v>89</v>
      </c>
      <c r="B90" s="124" t="s">
        <v>113</v>
      </c>
      <c r="C90" s="121" t="s">
        <v>79</v>
      </c>
      <c r="D90" s="121" t="s">
        <v>61</v>
      </c>
      <c r="E90" s="121">
        <v>2309.0</v>
      </c>
    </row>
    <row r="91">
      <c r="A91" s="122" t="s">
        <v>89</v>
      </c>
      <c r="B91" s="124" t="s">
        <v>91</v>
      </c>
      <c r="C91" s="131" t="s">
        <v>81</v>
      </c>
      <c r="D91" s="132" t="s">
        <v>61</v>
      </c>
      <c r="E91" s="133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122" t="s">
        <v>89</v>
      </c>
      <c r="B92" s="124" t="s">
        <v>91</v>
      </c>
      <c r="C92" s="131" t="s">
        <v>82</v>
      </c>
      <c r="D92" s="132" t="s">
        <v>61</v>
      </c>
      <c r="E92" s="133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122" t="s">
        <v>89</v>
      </c>
      <c r="B93" s="124" t="s">
        <v>91</v>
      </c>
      <c r="C93" s="131" t="s">
        <v>83</v>
      </c>
      <c r="D93" s="132" t="s">
        <v>61</v>
      </c>
      <c r="E93" s="133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122" t="s">
        <v>89</v>
      </c>
      <c r="B94" s="124" t="s">
        <v>91</v>
      </c>
      <c r="C94" s="131" t="s">
        <v>85</v>
      </c>
      <c r="D94" s="132" t="s">
        <v>61</v>
      </c>
      <c r="E94" s="133">
        <v>2373.0</v>
      </c>
    </row>
    <row r="95">
      <c r="A95" s="129"/>
      <c r="B95" s="124" t="s">
        <v>58</v>
      </c>
      <c r="C95" s="129" t="s">
        <v>87</v>
      </c>
      <c r="D95" s="130" t="s">
        <v>61</v>
      </c>
      <c r="E95" s="130"/>
    </row>
    <row r="96">
      <c r="A96" s="129"/>
      <c r="B96" s="124" t="s">
        <v>58</v>
      </c>
      <c r="C96" s="129" t="s">
        <v>87</v>
      </c>
      <c r="D96" s="130" t="s">
        <v>61</v>
      </c>
      <c r="E96" s="130"/>
    </row>
    <row r="97">
      <c r="A97" s="129"/>
      <c r="B97" s="124" t="s">
        <v>58</v>
      </c>
      <c r="C97" s="129" t="s">
        <v>87</v>
      </c>
      <c r="D97" s="130" t="s">
        <v>61</v>
      </c>
      <c r="E97" s="130"/>
    </row>
    <row r="98">
      <c r="A98" s="129"/>
      <c r="B98" s="124" t="s">
        <v>58</v>
      </c>
      <c r="C98" s="129" t="s">
        <v>87</v>
      </c>
      <c r="D98" s="130" t="s">
        <v>61</v>
      </c>
      <c r="E98" s="130"/>
    </row>
    <row r="99">
      <c r="A99" s="129"/>
      <c r="B99" s="124" t="s">
        <v>58</v>
      </c>
      <c r="C99" s="129" t="s">
        <v>87</v>
      </c>
      <c r="D99" s="130" t="s">
        <v>61</v>
      </c>
      <c r="E99" s="130"/>
    </row>
    <row r="100">
      <c r="A100" s="129"/>
      <c r="B100" s="124" t="s">
        <v>58</v>
      </c>
      <c r="C100" s="129" t="s">
        <v>88</v>
      </c>
      <c r="D100" s="130" t="s">
        <v>61</v>
      </c>
      <c r="E100" s="130"/>
    </row>
    <row r="101">
      <c r="A101" s="129"/>
      <c r="B101" s="124" t="s">
        <v>58</v>
      </c>
      <c r="C101" s="129" t="s">
        <v>88</v>
      </c>
      <c r="D101" s="130" t="s">
        <v>61</v>
      </c>
      <c r="E101" s="130"/>
    </row>
    <row r="102">
      <c r="A102" s="129"/>
      <c r="B102" s="124" t="s">
        <v>58</v>
      </c>
      <c r="C102" s="129" t="s">
        <v>88</v>
      </c>
      <c r="D102" s="130" t="s">
        <v>61</v>
      </c>
      <c r="E102" s="130"/>
    </row>
    <row r="103">
      <c r="A103" s="129"/>
      <c r="B103" s="124" t="s">
        <v>58</v>
      </c>
      <c r="C103" s="129" t="s">
        <v>88</v>
      </c>
      <c r="D103" s="130" t="s">
        <v>61</v>
      </c>
      <c r="E103" s="130"/>
    </row>
    <row r="104">
      <c r="A104" s="129"/>
      <c r="B104" s="124" t="s">
        <v>58</v>
      </c>
      <c r="C104" s="129" t="s">
        <v>88</v>
      </c>
      <c r="D104" s="130" t="s">
        <v>61</v>
      </c>
      <c r="E104" s="130"/>
    </row>
    <row r="105">
      <c r="A105" s="121"/>
      <c r="B105" s="124" t="s">
        <v>58</v>
      </c>
      <c r="C105" s="121" t="s">
        <v>89</v>
      </c>
      <c r="D105" s="121" t="s">
        <v>56</v>
      </c>
      <c r="E105" s="121"/>
    </row>
    <row r="106">
      <c r="A106" s="121"/>
      <c r="B106" s="124" t="s">
        <v>58</v>
      </c>
      <c r="C106" s="121" t="s">
        <v>89</v>
      </c>
      <c r="D106" s="121" t="s">
        <v>56</v>
      </c>
      <c r="E106" s="121"/>
    </row>
    <row r="107">
      <c r="A107" s="131" t="s">
        <v>89</v>
      </c>
      <c r="B107" s="124" t="s">
        <v>91</v>
      </c>
      <c r="C107" s="129" t="s">
        <v>369</v>
      </c>
      <c r="D107" s="130" t="s">
        <v>61</v>
      </c>
      <c r="E107" s="134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31" t="s">
        <v>89</v>
      </c>
      <c r="B108" s="124" t="s">
        <v>58</v>
      </c>
      <c r="C108" s="129" t="s">
        <v>369</v>
      </c>
      <c r="D108" s="130" t="s">
        <v>61</v>
      </c>
      <c r="E108" s="134"/>
    </row>
    <row r="109">
      <c r="A109" s="131" t="s">
        <v>89</v>
      </c>
      <c r="B109" s="124" t="s">
        <v>58</v>
      </c>
      <c r="C109" s="129" t="s">
        <v>369</v>
      </c>
      <c r="D109" s="130" t="s">
        <v>61</v>
      </c>
      <c r="E109" s="134"/>
    </row>
    <row r="110">
      <c r="A110" s="131" t="s">
        <v>89</v>
      </c>
      <c r="B110" s="124" t="s">
        <v>91</v>
      </c>
      <c r="C110" s="129" t="s">
        <v>369</v>
      </c>
      <c r="D110" s="130" t="s">
        <v>61</v>
      </c>
      <c r="E110" s="134">
        <v>2382.0</v>
      </c>
      <c r="I110" s="66">
        <v>3.528</v>
      </c>
      <c r="L110" s="66">
        <v>3.241</v>
      </c>
      <c r="O110" s="66">
        <v>3.234</v>
      </c>
      <c r="AJ110" s="66">
        <v>4.339</v>
      </c>
      <c r="AM110" s="66">
        <v>4.501</v>
      </c>
      <c r="AP110" s="66">
        <v>4.5</v>
      </c>
    </row>
    <row r="111">
      <c r="A111" s="131" t="s">
        <v>89</v>
      </c>
      <c r="B111" s="124" t="s">
        <v>91</v>
      </c>
      <c r="C111" s="129" t="s">
        <v>369</v>
      </c>
      <c r="D111" s="132" t="s">
        <v>61</v>
      </c>
      <c r="E111" s="135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31" t="s">
        <v>89</v>
      </c>
      <c r="B112" s="124" t="s">
        <v>91</v>
      </c>
      <c r="C112" s="129" t="s">
        <v>369</v>
      </c>
      <c r="D112" s="132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24" t="s">
        <v>107</v>
      </c>
      <c r="C113" s="66" t="s">
        <v>104</v>
      </c>
      <c r="D113" s="132" t="s">
        <v>61</v>
      </c>
      <c r="E113" s="66">
        <v>2004.0</v>
      </c>
    </row>
    <row r="114">
      <c r="A114" s="66" t="s">
        <v>104</v>
      </c>
      <c r="B114" s="124" t="s">
        <v>107</v>
      </c>
      <c r="C114" s="66" t="s">
        <v>104</v>
      </c>
      <c r="D114" s="132" t="s">
        <v>61</v>
      </c>
      <c r="E114" s="66">
        <v>2005.0</v>
      </c>
    </row>
    <row r="115">
      <c r="A115" s="66" t="s">
        <v>104</v>
      </c>
      <c r="B115" s="124" t="s">
        <v>107</v>
      </c>
      <c r="C115" s="66" t="s">
        <v>104</v>
      </c>
      <c r="D115" s="132" t="s">
        <v>61</v>
      </c>
      <c r="E115" s="66">
        <v>2006.0</v>
      </c>
    </row>
    <row r="116">
      <c r="A116" s="66" t="s">
        <v>104</v>
      </c>
      <c r="B116" s="124" t="s">
        <v>107</v>
      </c>
      <c r="C116" s="66" t="s">
        <v>104</v>
      </c>
      <c r="D116" s="132" t="s">
        <v>61</v>
      </c>
      <c r="E116" s="66">
        <v>2007.0</v>
      </c>
    </row>
    <row r="117">
      <c r="A117" s="66" t="s">
        <v>89</v>
      </c>
      <c r="B117" s="124" t="s">
        <v>143</v>
      </c>
      <c r="C117" s="66" t="s">
        <v>96</v>
      </c>
      <c r="D117" s="132" t="s">
        <v>160</v>
      </c>
      <c r="E117" s="66" t="s">
        <v>165</v>
      </c>
    </row>
    <row r="118">
      <c r="A118" s="66" t="s">
        <v>124</v>
      </c>
      <c r="B118" s="124" t="s">
        <v>124</v>
      </c>
      <c r="C118" s="66" t="s">
        <v>124</v>
      </c>
      <c r="D118" s="132" t="s">
        <v>160</v>
      </c>
      <c r="E118" s="66" t="s">
        <v>161</v>
      </c>
    </row>
    <row r="119">
      <c r="A119" s="66" t="s">
        <v>104</v>
      </c>
      <c r="B119" s="124" t="s">
        <v>107</v>
      </c>
      <c r="C119" s="66" t="s">
        <v>104</v>
      </c>
      <c r="D119" s="132" t="s">
        <v>160</v>
      </c>
      <c r="E119" s="66" t="s">
        <v>163</v>
      </c>
    </row>
    <row r="120">
      <c r="A120" s="66" t="s">
        <v>89</v>
      </c>
      <c r="B120" s="124" t="s">
        <v>143</v>
      </c>
      <c r="C120" s="66" t="s">
        <v>96</v>
      </c>
      <c r="D120" s="132" t="s">
        <v>95</v>
      </c>
      <c r="E120" s="66" t="s">
        <v>164</v>
      </c>
    </row>
    <row r="121">
      <c r="A121" s="66" t="s">
        <v>124</v>
      </c>
      <c r="B121" s="124" t="s">
        <v>124</v>
      </c>
      <c r="C121" s="66" t="s">
        <v>124</v>
      </c>
      <c r="D121" s="132" t="s">
        <v>95</v>
      </c>
      <c r="E121" s="66" t="s">
        <v>159</v>
      </c>
    </row>
    <row r="122">
      <c r="A122" s="66" t="s">
        <v>104</v>
      </c>
      <c r="B122" s="124" t="s">
        <v>107</v>
      </c>
      <c r="C122" s="66" t="s">
        <v>104</v>
      </c>
      <c r="D122" s="132" t="s">
        <v>95</v>
      </c>
      <c r="E122" s="66" t="s">
        <v>162</v>
      </c>
    </row>
    <row r="123">
      <c r="A123" s="66" t="s">
        <v>98</v>
      </c>
      <c r="B123" s="124" t="s">
        <v>105</v>
      </c>
      <c r="C123" s="66" t="s">
        <v>370</v>
      </c>
      <c r="D123" s="132" t="s">
        <v>56</v>
      </c>
      <c r="E123" s="66">
        <v>2093.0</v>
      </c>
    </row>
    <row r="124">
      <c r="A124" s="66" t="s">
        <v>98</v>
      </c>
      <c r="B124" s="124" t="s">
        <v>105</v>
      </c>
      <c r="C124" s="66" t="s">
        <v>370</v>
      </c>
      <c r="D124" s="132" t="s">
        <v>56</v>
      </c>
      <c r="E124" s="66">
        <v>2092.0</v>
      </c>
    </row>
    <row r="125">
      <c r="A125" s="66" t="s">
        <v>98</v>
      </c>
      <c r="B125" s="124" t="s">
        <v>105</v>
      </c>
      <c r="C125" s="66" t="s">
        <v>370</v>
      </c>
      <c r="D125" s="132" t="s">
        <v>56</v>
      </c>
      <c r="E125" s="66">
        <v>2091.0</v>
      </c>
    </row>
    <row r="126">
      <c r="A126" s="66" t="s">
        <v>98</v>
      </c>
      <c r="B126" s="124" t="s">
        <v>105</v>
      </c>
      <c r="C126" s="66" t="s">
        <v>370</v>
      </c>
      <c r="D126" s="132" t="s">
        <v>61</v>
      </c>
      <c r="E126" s="66">
        <v>2090.0</v>
      </c>
    </row>
    <row r="127">
      <c r="A127" s="66" t="s">
        <v>98</v>
      </c>
      <c r="B127" s="124" t="s">
        <v>105</v>
      </c>
      <c r="C127" s="66" t="s">
        <v>370</v>
      </c>
      <c r="D127" s="132" t="s">
        <v>56</v>
      </c>
      <c r="E127" s="66">
        <v>2089.0</v>
      </c>
    </row>
    <row r="128">
      <c r="A128" s="66" t="s">
        <v>98</v>
      </c>
      <c r="B128" s="124" t="s">
        <v>105</v>
      </c>
      <c r="C128" s="66" t="s">
        <v>370</v>
      </c>
      <c r="D128" s="132" t="s">
        <v>61</v>
      </c>
      <c r="E128" s="66">
        <v>2088.0</v>
      </c>
    </row>
    <row r="129">
      <c r="A129" s="66" t="s">
        <v>98</v>
      </c>
      <c r="B129" s="124" t="s">
        <v>105</v>
      </c>
      <c r="C129" s="66" t="s">
        <v>370</v>
      </c>
      <c r="D129" s="132" t="s">
        <v>61</v>
      </c>
      <c r="E129" s="66">
        <v>2087.0</v>
      </c>
    </row>
    <row r="130">
      <c r="A130" s="66" t="s">
        <v>98</v>
      </c>
      <c r="B130" s="124" t="s">
        <v>105</v>
      </c>
      <c r="C130" s="66" t="s">
        <v>370</v>
      </c>
      <c r="D130" s="132" t="s">
        <v>61</v>
      </c>
      <c r="E130" s="66">
        <v>2086.0</v>
      </c>
    </row>
    <row r="131">
      <c r="A131" s="66" t="s">
        <v>98</v>
      </c>
      <c r="B131" s="124" t="s">
        <v>105</v>
      </c>
      <c r="C131" s="66" t="s">
        <v>370</v>
      </c>
      <c r="D131" s="132" t="s">
        <v>61</v>
      </c>
      <c r="E131" s="66">
        <v>2085.0</v>
      </c>
    </row>
    <row r="132">
      <c r="A132" s="66" t="s">
        <v>124</v>
      </c>
      <c r="B132" s="124" t="s">
        <v>124</v>
      </c>
      <c r="C132" s="66" t="s">
        <v>124</v>
      </c>
      <c r="D132" s="132" t="s">
        <v>61</v>
      </c>
      <c r="E132" s="66">
        <v>2020.0</v>
      </c>
    </row>
    <row r="133">
      <c r="A133" s="66" t="s">
        <v>124</v>
      </c>
      <c r="B133" s="124" t="s">
        <v>124</v>
      </c>
      <c r="C133" s="66" t="s">
        <v>124</v>
      </c>
      <c r="D133" s="132" t="s">
        <v>61</v>
      </c>
      <c r="E133" s="66">
        <v>2021.0</v>
      </c>
    </row>
    <row r="134">
      <c r="A134" s="66" t="s">
        <v>124</v>
      </c>
      <c r="B134" s="124" t="s">
        <v>124</v>
      </c>
      <c r="C134" s="66" t="s">
        <v>124</v>
      </c>
      <c r="D134" s="132" t="s">
        <v>56</v>
      </c>
      <c r="E134" s="66">
        <v>2022.0</v>
      </c>
    </row>
    <row r="135">
      <c r="A135" s="66" t="s">
        <v>124</v>
      </c>
      <c r="B135" s="124" t="s">
        <v>124</v>
      </c>
      <c r="C135" s="66" t="s">
        <v>124</v>
      </c>
      <c r="D135" s="132" t="s">
        <v>56</v>
      </c>
      <c r="E135" s="66">
        <v>2023.0</v>
      </c>
    </row>
    <row r="136">
      <c r="A136" s="66" t="s">
        <v>124</v>
      </c>
      <c r="B136" s="124" t="s">
        <v>124</v>
      </c>
      <c r="C136" s="66" t="s">
        <v>124</v>
      </c>
      <c r="D136" s="132" t="s">
        <v>61</v>
      </c>
      <c r="E136" s="66">
        <v>2024.0</v>
      </c>
    </row>
    <row r="137">
      <c r="A137" s="66" t="s">
        <v>124</v>
      </c>
      <c r="B137" s="124" t="s">
        <v>124</v>
      </c>
      <c r="C137" s="66" t="s">
        <v>124</v>
      </c>
      <c r="D137" s="132" t="s">
        <v>61</v>
      </c>
      <c r="E137" s="66">
        <v>2025.0</v>
      </c>
    </row>
    <row r="138">
      <c r="A138" s="66" t="s">
        <v>124</v>
      </c>
      <c r="B138" s="124" t="s">
        <v>125</v>
      </c>
      <c r="C138" s="66" t="s">
        <v>371</v>
      </c>
      <c r="D138" s="132" t="s">
        <v>61</v>
      </c>
      <c r="E138" s="66">
        <v>2026.0</v>
      </c>
    </row>
    <row r="139">
      <c r="A139" s="66" t="s">
        <v>124</v>
      </c>
      <c r="B139" s="124" t="s">
        <v>125</v>
      </c>
      <c r="C139" s="66" t="s">
        <v>371</v>
      </c>
      <c r="D139" s="132" t="s">
        <v>61</v>
      </c>
      <c r="E139" s="66">
        <v>2027.0</v>
      </c>
    </row>
    <row r="140">
      <c r="A140" s="66" t="s">
        <v>124</v>
      </c>
      <c r="B140" s="124" t="s">
        <v>125</v>
      </c>
      <c r="C140" s="66" t="s">
        <v>371</v>
      </c>
      <c r="D140" s="132" t="s">
        <v>61</v>
      </c>
      <c r="E140" s="66">
        <v>2028.0</v>
      </c>
    </row>
    <row r="141">
      <c r="A141" s="66" t="s">
        <v>124</v>
      </c>
      <c r="B141" s="124" t="s">
        <v>125</v>
      </c>
      <c r="C141" s="66" t="s">
        <v>371</v>
      </c>
      <c r="D141" s="132" t="s">
        <v>56</v>
      </c>
      <c r="E141" s="66">
        <v>2029.0</v>
      </c>
    </row>
    <row r="142">
      <c r="A142" s="66" t="s">
        <v>124</v>
      </c>
      <c r="B142" s="124" t="s">
        <v>125</v>
      </c>
      <c r="C142" s="66" t="s">
        <v>371</v>
      </c>
      <c r="D142" s="132" t="s">
        <v>56</v>
      </c>
      <c r="E142" s="66">
        <v>2030.0</v>
      </c>
    </row>
    <row r="143">
      <c r="A143" s="66" t="s">
        <v>124</v>
      </c>
      <c r="B143" s="124" t="s">
        <v>125</v>
      </c>
      <c r="C143" s="66" t="s">
        <v>371</v>
      </c>
      <c r="D143" s="132" t="s">
        <v>61</v>
      </c>
      <c r="E143" s="66">
        <v>2031.0</v>
      </c>
    </row>
    <row r="144">
      <c r="A144" s="66" t="s">
        <v>104</v>
      </c>
      <c r="B144" s="124" t="s">
        <v>105</v>
      </c>
      <c r="C144" s="66" t="s">
        <v>372</v>
      </c>
      <c r="D144" s="132" t="s">
        <v>61</v>
      </c>
      <c r="E144" s="66">
        <v>2012.0</v>
      </c>
    </row>
    <row r="145">
      <c r="A145" s="66" t="s">
        <v>104</v>
      </c>
      <c r="B145" s="124" t="s">
        <v>105</v>
      </c>
      <c r="C145" s="66" t="s">
        <v>372</v>
      </c>
      <c r="D145" s="132" t="s">
        <v>61</v>
      </c>
      <c r="E145" s="66">
        <v>2013.0</v>
      </c>
    </row>
    <row r="146">
      <c r="A146" s="66" t="s">
        <v>104</v>
      </c>
      <c r="B146" s="124" t="s">
        <v>105</v>
      </c>
      <c r="C146" s="66" t="s">
        <v>372</v>
      </c>
      <c r="D146" s="132" t="s">
        <v>61</v>
      </c>
      <c r="E146" s="66">
        <v>2014.0</v>
      </c>
    </row>
    <row r="147">
      <c r="A147" s="66" t="s">
        <v>104</v>
      </c>
      <c r="B147" s="124" t="s">
        <v>105</v>
      </c>
      <c r="C147" s="66" t="s">
        <v>372</v>
      </c>
      <c r="D147" s="132" t="s">
        <v>61</v>
      </c>
      <c r="E147" s="66">
        <v>2015.0</v>
      </c>
    </row>
    <row r="148">
      <c r="A148" s="66" t="s">
        <v>104</v>
      </c>
      <c r="B148" s="124" t="s">
        <v>105</v>
      </c>
      <c r="C148" s="66" t="s">
        <v>372</v>
      </c>
      <c r="D148" s="132" t="s">
        <v>61</v>
      </c>
      <c r="E148" s="66">
        <v>1478.0</v>
      </c>
    </row>
    <row r="149">
      <c r="A149" s="66" t="s">
        <v>89</v>
      </c>
      <c r="B149" s="124" t="s">
        <v>91</v>
      </c>
      <c r="D149" s="132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24" t="s">
        <v>91</v>
      </c>
      <c r="C150" s="66" t="s">
        <v>373</v>
      </c>
      <c r="D150" s="132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24" t="s">
        <v>113</v>
      </c>
      <c r="C151" s="66" t="s">
        <v>374</v>
      </c>
      <c r="D151" s="132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24" t="s">
        <v>107</v>
      </c>
      <c r="D152" s="132" t="s">
        <v>61</v>
      </c>
      <c r="E152" s="66">
        <v>2008.0</v>
      </c>
    </row>
    <row r="153">
      <c r="D153" s="130"/>
    </row>
    <row r="154">
      <c r="D154" s="130"/>
    </row>
    <row r="155">
      <c r="D155" s="130"/>
    </row>
    <row r="156">
      <c r="D156" s="130"/>
    </row>
    <row r="157">
      <c r="D157" s="130"/>
    </row>
    <row r="158">
      <c r="D158" s="130"/>
    </row>
    <row r="159">
      <c r="D159" s="130"/>
    </row>
    <row r="160">
      <c r="D160" s="130"/>
    </row>
    <row r="161">
      <c r="D161" s="130"/>
    </row>
    <row r="162">
      <c r="D162" s="130"/>
    </row>
    <row r="163">
      <c r="D163" s="130"/>
    </row>
    <row r="164">
      <c r="D164" s="130"/>
    </row>
    <row r="165">
      <c r="D165" s="130"/>
    </row>
    <row r="166">
      <c r="D166" s="130"/>
    </row>
    <row r="167">
      <c r="D167" s="130"/>
    </row>
    <row r="168">
      <c r="D168" s="130"/>
    </row>
    <row r="169">
      <c r="D169" s="130"/>
    </row>
    <row r="170">
      <c r="D170" s="130"/>
    </row>
    <row r="171">
      <c r="D171" s="130"/>
    </row>
    <row r="172">
      <c r="D172" s="130"/>
    </row>
    <row r="173">
      <c r="D173" s="130"/>
    </row>
    <row r="174">
      <c r="D174" s="130"/>
    </row>
    <row r="175">
      <c r="D175" s="130"/>
    </row>
    <row r="176">
      <c r="D176" s="130"/>
    </row>
    <row r="177">
      <c r="D177" s="130"/>
    </row>
    <row r="178">
      <c r="D178" s="130"/>
    </row>
    <row r="179">
      <c r="D179" s="130"/>
    </row>
    <row r="180">
      <c r="D180" s="130"/>
    </row>
    <row r="181">
      <c r="D181" s="130"/>
    </row>
    <row r="182">
      <c r="D182" s="130"/>
    </row>
    <row r="183">
      <c r="D183" s="130"/>
    </row>
    <row r="184">
      <c r="D184" s="130"/>
    </row>
    <row r="185">
      <c r="D185" s="130"/>
    </row>
    <row r="186">
      <c r="D186" s="130"/>
    </row>
    <row r="187">
      <c r="D187" s="130"/>
    </row>
    <row r="188">
      <c r="D188" s="130"/>
    </row>
    <row r="189">
      <c r="D189" s="130"/>
    </row>
    <row r="190">
      <c r="D190" s="130"/>
    </row>
    <row r="191">
      <c r="D191" s="130"/>
    </row>
    <row r="192">
      <c r="D192" s="130"/>
    </row>
    <row r="193">
      <c r="D193" s="130"/>
    </row>
    <row r="194">
      <c r="D194" s="130"/>
    </row>
    <row r="195">
      <c r="D195" s="130"/>
    </row>
    <row r="196">
      <c r="D196" s="130"/>
    </row>
    <row r="197">
      <c r="D197" s="130"/>
    </row>
    <row r="198">
      <c r="D198" s="130"/>
    </row>
    <row r="199">
      <c r="D199" s="130"/>
    </row>
    <row r="200">
      <c r="D200" s="130"/>
    </row>
    <row r="201">
      <c r="D201" s="130"/>
    </row>
    <row r="202">
      <c r="D202" s="130"/>
    </row>
    <row r="203">
      <c r="D203" s="130"/>
    </row>
    <row r="204">
      <c r="D204" s="130"/>
    </row>
    <row r="205">
      <c r="D205" s="130"/>
    </row>
    <row r="206">
      <c r="D206" s="130"/>
    </row>
    <row r="207">
      <c r="D207" s="130"/>
    </row>
    <row r="208">
      <c r="D208" s="130"/>
    </row>
    <row r="209">
      <c r="D209" s="130"/>
    </row>
    <row r="210">
      <c r="D210" s="130"/>
    </row>
    <row r="211">
      <c r="D211" s="130"/>
    </row>
    <row r="212">
      <c r="D212" s="130"/>
    </row>
    <row r="213">
      <c r="D213" s="130"/>
    </row>
    <row r="214">
      <c r="D214" s="130"/>
    </row>
    <row r="215">
      <c r="D215" s="130"/>
    </row>
    <row r="216">
      <c r="D216" s="130"/>
    </row>
    <row r="217">
      <c r="D217" s="130"/>
    </row>
    <row r="218">
      <c r="D218" s="130"/>
    </row>
    <row r="219">
      <c r="D219" s="130"/>
    </row>
    <row r="220">
      <c r="D220" s="130"/>
    </row>
    <row r="221">
      <c r="D221" s="130"/>
    </row>
    <row r="222">
      <c r="D222" s="130"/>
    </row>
    <row r="223">
      <c r="D223" s="130"/>
    </row>
    <row r="224">
      <c r="D224" s="130"/>
    </row>
    <row r="225">
      <c r="D225" s="130"/>
    </row>
    <row r="226">
      <c r="D226" s="130"/>
    </row>
    <row r="227">
      <c r="D227" s="130"/>
    </row>
    <row r="228">
      <c r="D228" s="130"/>
    </row>
    <row r="229">
      <c r="D229" s="130"/>
    </row>
    <row r="230">
      <c r="D230" s="130"/>
    </row>
    <row r="231">
      <c r="D231" s="130"/>
    </row>
    <row r="232">
      <c r="D232" s="130"/>
    </row>
    <row r="233">
      <c r="D233" s="130"/>
    </row>
    <row r="234">
      <c r="D234" s="130"/>
    </row>
    <row r="235">
      <c r="D235" s="130"/>
    </row>
    <row r="236">
      <c r="D236" s="130"/>
    </row>
    <row r="237">
      <c r="D237" s="130"/>
    </row>
    <row r="238">
      <c r="D238" s="130"/>
    </row>
    <row r="239">
      <c r="D239" s="130"/>
    </row>
    <row r="240">
      <c r="D240" s="130"/>
    </row>
    <row r="241">
      <c r="D241" s="130"/>
    </row>
    <row r="242">
      <c r="D242" s="130"/>
    </row>
    <row r="243">
      <c r="D243" s="130"/>
    </row>
    <row r="244">
      <c r="D244" s="130"/>
    </row>
    <row r="245">
      <c r="D245" s="130"/>
    </row>
    <row r="246">
      <c r="D246" s="130"/>
    </row>
    <row r="247">
      <c r="D247" s="130"/>
    </row>
    <row r="248">
      <c r="D248" s="130"/>
    </row>
    <row r="249">
      <c r="D249" s="130"/>
    </row>
    <row r="250">
      <c r="D250" s="130"/>
    </row>
    <row r="251">
      <c r="D251" s="130"/>
    </row>
    <row r="252">
      <c r="D252" s="130"/>
    </row>
    <row r="253">
      <c r="D253" s="130"/>
    </row>
    <row r="254">
      <c r="D254" s="130"/>
    </row>
    <row r="255">
      <c r="D255" s="130"/>
    </row>
    <row r="256">
      <c r="D256" s="130"/>
    </row>
    <row r="257">
      <c r="D257" s="130"/>
    </row>
    <row r="258">
      <c r="D258" s="130"/>
    </row>
    <row r="259">
      <c r="D259" s="130"/>
    </row>
    <row r="260">
      <c r="D260" s="130"/>
    </row>
    <row r="261">
      <c r="D261" s="130"/>
    </row>
    <row r="262">
      <c r="D262" s="130"/>
    </row>
    <row r="263">
      <c r="D263" s="130"/>
    </row>
    <row r="264">
      <c r="D264" s="130"/>
    </row>
    <row r="265">
      <c r="D265" s="130"/>
    </row>
    <row r="266">
      <c r="D266" s="130"/>
    </row>
    <row r="267">
      <c r="D267" s="130"/>
    </row>
    <row r="268">
      <c r="D268" s="130"/>
    </row>
    <row r="269">
      <c r="D269" s="130"/>
    </row>
    <row r="270">
      <c r="D270" s="130"/>
    </row>
    <row r="271">
      <c r="D271" s="130"/>
    </row>
    <row r="272">
      <c r="D272" s="130"/>
    </row>
    <row r="273">
      <c r="D273" s="130"/>
    </row>
    <row r="274">
      <c r="D274" s="130"/>
    </row>
    <row r="275">
      <c r="D275" s="130"/>
    </row>
    <row r="276">
      <c r="D276" s="130"/>
    </row>
    <row r="277">
      <c r="D277" s="130"/>
    </row>
    <row r="278">
      <c r="D278" s="130"/>
    </row>
    <row r="279">
      <c r="D279" s="130"/>
    </row>
    <row r="280">
      <c r="D280" s="130"/>
    </row>
    <row r="281">
      <c r="D281" s="130"/>
    </row>
    <row r="282">
      <c r="D282" s="130"/>
    </row>
    <row r="283">
      <c r="D283" s="130"/>
    </row>
    <row r="284">
      <c r="D284" s="130"/>
    </row>
    <row r="285">
      <c r="D285" s="130"/>
    </row>
    <row r="286">
      <c r="D286" s="130"/>
    </row>
    <row r="287">
      <c r="D287" s="130"/>
    </row>
    <row r="288">
      <c r="D288" s="130"/>
    </row>
    <row r="289">
      <c r="D289" s="130"/>
    </row>
    <row r="290">
      <c r="D290" s="130"/>
    </row>
    <row r="291">
      <c r="D291" s="130"/>
    </row>
    <row r="292">
      <c r="D292" s="130"/>
    </row>
    <row r="293">
      <c r="D293" s="130"/>
    </row>
    <row r="294">
      <c r="D294" s="130"/>
    </row>
    <row r="295">
      <c r="D295" s="130"/>
    </row>
    <row r="296">
      <c r="D296" s="130"/>
    </row>
    <row r="297">
      <c r="D297" s="130"/>
    </row>
    <row r="298">
      <c r="D298" s="130"/>
    </row>
    <row r="299">
      <c r="D299" s="130"/>
    </row>
    <row r="300">
      <c r="D300" s="130"/>
    </row>
    <row r="301">
      <c r="D301" s="130"/>
    </row>
    <row r="302">
      <c r="D302" s="130"/>
    </row>
    <row r="303">
      <c r="D303" s="130"/>
    </row>
    <row r="304">
      <c r="D304" s="130"/>
    </row>
    <row r="305">
      <c r="D305" s="130"/>
    </row>
    <row r="306">
      <c r="D306" s="130"/>
    </row>
    <row r="307">
      <c r="D307" s="130"/>
    </row>
    <row r="308">
      <c r="D308" s="130"/>
    </row>
    <row r="309">
      <c r="D309" s="130"/>
    </row>
    <row r="310">
      <c r="D310" s="130"/>
    </row>
    <row r="311">
      <c r="D311" s="130"/>
    </row>
    <row r="312">
      <c r="D312" s="130"/>
    </row>
  </sheetData>
  <mergeCells count="2">
    <mergeCell ref="AG5:AH5"/>
    <mergeCell ref="BE5:BF5"/>
  </mergeCells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6" t="s">
        <v>483</v>
      </c>
      <c r="B1" s="66" t="s">
        <v>179</v>
      </c>
      <c r="C1" s="66" t="s">
        <v>484</v>
      </c>
      <c r="D1" s="66" t="s">
        <v>485</v>
      </c>
      <c r="E1" s="66" t="s">
        <v>212</v>
      </c>
    </row>
    <row r="2">
      <c r="A2" s="66">
        <v>2375.0</v>
      </c>
      <c r="B2" s="83">
        <v>45181.0</v>
      </c>
      <c r="C2" s="66">
        <v>1.0</v>
      </c>
      <c r="D2" s="66">
        <v>1.012</v>
      </c>
      <c r="E2" s="66" t="s">
        <v>226</v>
      </c>
    </row>
    <row r="3">
      <c r="A3" s="66">
        <v>2375.0</v>
      </c>
      <c r="B3" s="83">
        <v>45181.0</v>
      </c>
      <c r="C3" s="66">
        <v>2.0</v>
      </c>
      <c r="D3" s="66">
        <v>1.5</v>
      </c>
      <c r="E3" s="66" t="s">
        <v>226</v>
      </c>
    </row>
    <row r="4">
      <c r="A4" s="66">
        <v>2375.0</v>
      </c>
      <c r="B4" s="83">
        <v>45181.0</v>
      </c>
      <c r="C4" s="66">
        <v>3.0</v>
      </c>
      <c r="D4" s="66">
        <v>1.106</v>
      </c>
      <c r="E4" s="66" t="s">
        <v>226</v>
      </c>
    </row>
    <row r="5">
      <c r="A5" s="66">
        <v>2375.0</v>
      </c>
      <c r="B5" s="83">
        <v>45181.0</v>
      </c>
      <c r="C5" s="66">
        <v>4.0</v>
      </c>
      <c r="D5" s="66">
        <v>1.173</v>
      </c>
      <c r="E5" s="66" t="s">
        <v>226</v>
      </c>
    </row>
    <row r="6">
      <c r="A6" s="66">
        <v>2345.0</v>
      </c>
      <c r="B6" s="83">
        <v>45181.0</v>
      </c>
      <c r="C6" s="66">
        <v>1.0</v>
      </c>
      <c r="D6" s="66">
        <v>0.423</v>
      </c>
      <c r="E6" s="66" t="s">
        <v>226</v>
      </c>
    </row>
    <row r="7">
      <c r="A7" s="66">
        <v>2345.0</v>
      </c>
      <c r="B7" s="83">
        <v>45181.0</v>
      </c>
      <c r="C7" s="66">
        <v>2.0</v>
      </c>
      <c r="D7" s="66">
        <v>0.25</v>
      </c>
      <c r="E7" s="66" t="s">
        <v>226</v>
      </c>
    </row>
    <row r="8">
      <c r="A8" s="66">
        <v>2345.0</v>
      </c>
      <c r="B8" s="83">
        <v>45181.0</v>
      </c>
      <c r="C8" s="66">
        <v>3.0</v>
      </c>
      <c r="D8" s="66">
        <v>0.29</v>
      </c>
      <c r="E8" s="66" t="s">
        <v>226</v>
      </c>
    </row>
    <row r="9">
      <c r="A9" s="66">
        <v>2009.0</v>
      </c>
      <c r="B9" s="83">
        <v>45181.0</v>
      </c>
      <c r="C9" s="66">
        <v>1.0</v>
      </c>
      <c r="D9" s="66">
        <v>1.6</v>
      </c>
      <c r="E9" s="66" t="s">
        <v>226</v>
      </c>
    </row>
    <row r="10">
      <c r="A10" s="66">
        <v>2009.0</v>
      </c>
      <c r="B10" s="83">
        <v>45181.0</v>
      </c>
      <c r="C10" s="66">
        <v>2.0</v>
      </c>
      <c r="D10" s="66">
        <v>1.5</v>
      </c>
      <c r="E10" s="66" t="s">
        <v>226</v>
      </c>
    </row>
    <row r="11">
      <c r="A11" s="66">
        <v>2009.0</v>
      </c>
      <c r="B11" s="83">
        <v>45181.0</v>
      </c>
      <c r="C11" s="66">
        <v>3.0</v>
      </c>
      <c r="D11" s="66">
        <v>1.725</v>
      </c>
      <c r="E11" s="66" t="s">
        <v>226</v>
      </c>
    </row>
    <row r="12">
      <c r="A12" s="66">
        <v>2352.0</v>
      </c>
      <c r="B12" s="83">
        <v>45181.0</v>
      </c>
      <c r="C12" s="66">
        <v>1.0</v>
      </c>
      <c r="D12" s="66">
        <v>1.47</v>
      </c>
      <c r="E12" s="66" t="s">
        <v>226</v>
      </c>
    </row>
    <row r="13">
      <c r="A13" s="66">
        <v>2352.0</v>
      </c>
      <c r="B13" s="83">
        <v>45181.0</v>
      </c>
      <c r="C13" s="66">
        <v>2.0</v>
      </c>
      <c r="D13" s="66">
        <v>2.0</v>
      </c>
      <c r="E13" s="66" t="s">
        <v>226</v>
      </c>
    </row>
    <row r="14">
      <c r="A14" s="66">
        <v>2352.0</v>
      </c>
      <c r="B14" s="83">
        <v>45181.0</v>
      </c>
      <c r="C14" s="66">
        <v>3.0</v>
      </c>
      <c r="D14" s="66">
        <v>0.67</v>
      </c>
      <c r="E14" s="66" t="s">
        <v>226</v>
      </c>
    </row>
    <row r="15">
      <c r="A15" s="66">
        <v>2352.0</v>
      </c>
      <c r="B15" s="83">
        <v>45181.0</v>
      </c>
      <c r="C15" s="66">
        <v>4.0</v>
      </c>
      <c r="D15" s="66">
        <v>0.71</v>
      </c>
      <c r="E15" s="66" t="s">
        <v>226</v>
      </c>
    </row>
    <row r="16">
      <c r="A16" s="66">
        <v>2352.0</v>
      </c>
      <c r="B16" s="83">
        <v>45181.0</v>
      </c>
      <c r="C16" s="66">
        <v>5.0</v>
      </c>
      <c r="D16" s="66">
        <v>0.16</v>
      </c>
      <c r="E16" s="66" t="s">
        <v>226</v>
      </c>
    </row>
    <row r="17">
      <c r="A17" s="66">
        <v>2372.0</v>
      </c>
      <c r="B17" s="83">
        <v>45181.0</v>
      </c>
      <c r="C17" s="66">
        <v>1.0</v>
      </c>
      <c r="D17" s="66">
        <v>1.95</v>
      </c>
      <c r="E17" s="66" t="s">
        <v>226</v>
      </c>
    </row>
    <row r="18">
      <c r="A18" s="66">
        <v>2372.0</v>
      </c>
      <c r="B18" s="83">
        <v>45181.0</v>
      </c>
      <c r="C18" s="66">
        <v>2.0</v>
      </c>
      <c r="D18" s="66">
        <v>1.925</v>
      </c>
      <c r="E18" s="66" t="s">
        <v>226</v>
      </c>
    </row>
    <row r="19">
      <c r="A19" s="66">
        <v>2372.0</v>
      </c>
      <c r="B19" s="83">
        <v>45181.0</v>
      </c>
      <c r="C19" s="66">
        <v>3.0</v>
      </c>
      <c r="D19" s="66">
        <v>2.25</v>
      </c>
      <c r="E19" s="66" t="s">
        <v>226</v>
      </c>
    </row>
    <row r="20">
      <c r="A20" s="66">
        <v>2360.0</v>
      </c>
      <c r="B20" s="83">
        <v>45181.0</v>
      </c>
      <c r="C20" s="66">
        <v>1.0</v>
      </c>
      <c r="D20" s="66">
        <v>2.57</v>
      </c>
      <c r="E20" s="66" t="s">
        <v>226</v>
      </c>
    </row>
    <row r="21">
      <c r="A21" s="66">
        <v>2360.0</v>
      </c>
      <c r="B21" s="83">
        <v>45181.0</v>
      </c>
      <c r="C21" s="66">
        <v>2.0</v>
      </c>
      <c r="D21" s="66">
        <v>2.85</v>
      </c>
      <c r="E21" s="66" t="s">
        <v>226</v>
      </c>
    </row>
    <row r="22">
      <c r="A22" s="66">
        <v>2360.0</v>
      </c>
      <c r="B22" s="83">
        <v>45181.0</v>
      </c>
      <c r="C22" s="66">
        <v>3.0</v>
      </c>
      <c r="D22" s="66">
        <v>2.6</v>
      </c>
      <c r="E22" s="66" t="s">
        <v>226</v>
      </c>
    </row>
    <row r="23">
      <c r="A23" s="66">
        <v>2301.0</v>
      </c>
      <c r="B23" s="83">
        <v>45181.0</v>
      </c>
      <c r="C23" s="66">
        <v>1.0</v>
      </c>
      <c r="D23" s="66">
        <v>1.725</v>
      </c>
      <c r="E23" s="66" t="s">
        <v>226</v>
      </c>
    </row>
    <row r="24">
      <c r="A24" s="66">
        <v>2301.0</v>
      </c>
      <c r="B24" s="83">
        <v>45181.0</v>
      </c>
      <c r="C24" s="66">
        <v>2.0</v>
      </c>
      <c r="D24" s="66">
        <v>1.15</v>
      </c>
      <c r="E24" s="66" t="s">
        <v>226</v>
      </c>
    </row>
    <row r="25">
      <c r="A25" s="66">
        <v>2301.0</v>
      </c>
      <c r="B25" s="83">
        <v>45181.0</v>
      </c>
      <c r="C25" s="66">
        <v>3.0</v>
      </c>
      <c r="D25" s="66">
        <v>1.25</v>
      </c>
      <c r="E25" s="66" t="s">
        <v>226</v>
      </c>
    </row>
    <row r="26">
      <c r="A26" s="66">
        <v>2301.0</v>
      </c>
      <c r="B26" s="83">
        <v>45181.0</v>
      </c>
      <c r="C26" s="66">
        <v>4.0</v>
      </c>
      <c r="D26" s="66">
        <v>1.2</v>
      </c>
      <c r="E26" s="66" t="s">
        <v>226</v>
      </c>
    </row>
    <row r="27">
      <c r="A27" s="66">
        <v>2026.0</v>
      </c>
      <c r="B27" s="83">
        <v>45181.0</v>
      </c>
      <c r="C27" s="66">
        <v>1.0</v>
      </c>
      <c r="D27" s="66">
        <v>0.97</v>
      </c>
      <c r="E27" s="66" t="s">
        <v>226</v>
      </c>
    </row>
    <row r="28">
      <c r="A28" s="66">
        <v>2026.0</v>
      </c>
      <c r="B28" s="83">
        <v>45181.0</v>
      </c>
      <c r="C28" s="66">
        <v>2.0</v>
      </c>
      <c r="D28" s="66">
        <v>2.34</v>
      </c>
      <c r="E28" s="66" t="s">
        <v>226</v>
      </c>
    </row>
    <row r="29">
      <c r="A29" s="66">
        <v>2026.0</v>
      </c>
      <c r="B29" s="83">
        <v>45181.0</v>
      </c>
      <c r="C29" s="66">
        <v>3.0</v>
      </c>
      <c r="D29" s="66">
        <v>2.07</v>
      </c>
      <c r="E29" s="66" t="s">
        <v>226</v>
      </c>
    </row>
    <row r="30">
      <c r="A30" s="66">
        <v>2026.0</v>
      </c>
      <c r="B30" s="83">
        <v>45181.0</v>
      </c>
      <c r="C30" s="66">
        <v>4.0</v>
      </c>
      <c r="D30" s="66">
        <v>1.844</v>
      </c>
      <c r="E30" s="66" t="s">
        <v>226</v>
      </c>
    </row>
    <row r="31">
      <c r="A31" s="66">
        <v>2331.0</v>
      </c>
      <c r="B31" s="83">
        <v>45181.0</v>
      </c>
      <c r="C31" s="66">
        <v>1.0</v>
      </c>
      <c r="D31" s="66">
        <v>2.25</v>
      </c>
      <c r="E31" s="66" t="s">
        <v>226</v>
      </c>
    </row>
    <row r="32">
      <c r="A32" s="66">
        <v>2331.0</v>
      </c>
      <c r="B32" s="83">
        <v>45181.0</v>
      </c>
      <c r="C32" s="66">
        <v>2.0</v>
      </c>
      <c r="D32" s="66">
        <v>2.3</v>
      </c>
      <c r="E32" s="66" t="s">
        <v>226</v>
      </c>
    </row>
    <row r="33">
      <c r="A33" s="66">
        <v>2331.0</v>
      </c>
      <c r="B33" s="83">
        <v>45181.0</v>
      </c>
      <c r="C33" s="66">
        <v>3.0</v>
      </c>
      <c r="D33" s="66">
        <v>0.7</v>
      </c>
      <c r="E33" s="66" t="s">
        <v>226</v>
      </c>
    </row>
    <row r="34">
      <c r="A34" s="66">
        <v>2331.0</v>
      </c>
      <c r="B34" s="83">
        <v>45181.0</v>
      </c>
      <c r="C34" s="66">
        <v>4.0</v>
      </c>
      <c r="D34" s="66">
        <v>1.7</v>
      </c>
      <c r="E34" s="66" t="s">
        <v>226</v>
      </c>
    </row>
    <row r="35">
      <c r="A35" s="66">
        <v>2331.0</v>
      </c>
      <c r="B35" s="83">
        <v>45181.0</v>
      </c>
      <c r="C35" s="66">
        <v>5.0</v>
      </c>
      <c r="D35" s="66">
        <v>1.7</v>
      </c>
      <c r="E35" s="66" t="s">
        <v>226</v>
      </c>
    </row>
    <row r="36">
      <c r="A36" s="66">
        <v>2331.0</v>
      </c>
      <c r="B36" s="83">
        <v>45181.0</v>
      </c>
      <c r="C36" s="66">
        <v>6.0</v>
      </c>
      <c r="D36" s="66">
        <v>2.22</v>
      </c>
      <c r="E36" s="66" t="s">
        <v>226</v>
      </c>
    </row>
    <row r="37">
      <c r="A37" s="66">
        <v>2370.0</v>
      </c>
      <c r="B37" s="83">
        <v>45181.0</v>
      </c>
      <c r="C37" s="66">
        <v>1.0</v>
      </c>
      <c r="D37" s="66">
        <v>2.45</v>
      </c>
      <c r="E37" s="66" t="s">
        <v>226</v>
      </c>
    </row>
    <row r="38">
      <c r="A38" s="66">
        <v>2370.0</v>
      </c>
      <c r="B38" s="83">
        <v>45181.0</v>
      </c>
      <c r="C38" s="66">
        <v>2.0</v>
      </c>
      <c r="D38" s="66">
        <v>2.35</v>
      </c>
      <c r="E38" s="66" t="s">
        <v>226</v>
      </c>
    </row>
    <row r="39">
      <c r="A39" s="66">
        <v>2370.0</v>
      </c>
      <c r="B39" s="83">
        <v>45181.0</v>
      </c>
      <c r="C39" s="66">
        <v>3.0</v>
      </c>
      <c r="D39" s="66">
        <v>2.45</v>
      </c>
      <c r="E39" s="66" t="s">
        <v>226</v>
      </c>
    </row>
    <row r="40">
      <c r="A40" s="66">
        <v>2021.0</v>
      </c>
      <c r="B40" s="83">
        <v>45181.0</v>
      </c>
      <c r="C40" s="66">
        <v>1.0</v>
      </c>
      <c r="D40" s="66">
        <v>1.853</v>
      </c>
      <c r="E40" s="66" t="s">
        <v>226</v>
      </c>
    </row>
    <row r="41">
      <c r="A41" s="66">
        <v>2021.0</v>
      </c>
      <c r="B41" s="83">
        <v>45181.0</v>
      </c>
      <c r="C41" s="66">
        <v>2.0</v>
      </c>
      <c r="D41" s="66">
        <v>2.07</v>
      </c>
      <c r="E41" s="66" t="s">
        <v>226</v>
      </c>
    </row>
    <row r="42">
      <c r="A42" s="66">
        <v>2021.0</v>
      </c>
      <c r="B42" s="83">
        <v>45181.0</v>
      </c>
      <c r="C42" s="66">
        <v>3.0</v>
      </c>
      <c r="D42" s="66">
        <v>1.982</v>
      </c>
      <c r="E42" s="66" t="s">
        <v>226</v>
      </c>
    </row>
    <row r="43">
      <c r="A43" s="66">
        <v>2092.0</v>
      </c>
      <c r="B43" s="83">
        <v>45181.0</v>
      </c>
      <c r="C43" s="66">
        <v>1.0</v>
      </c>
      <c r="D43" s="66">
        <v>0.54</v>
      </c>
      <c r="E43" s="66" t="s">
        <v>226</v>
      </c>
    </row>
    <row r="44">
      <c r="A44" s="66">
        <v>2092.0</v>
      </c>
      <c r="B44" s="83">
        <v>45181.0</v>
      </c>
      <c r="C44" s="66">
        <v>2.0</v>
      </c>
      <c r="D44" s="66">
        <v>2.9</v>
      </c>
      <c r="E44" s="66" t="s">
        <v>226</v>
      </c>
    </row>
    <row r="45">
      <c r="A45" s="66">
        <v>2092.0</v>
      </c>
      <c r="B45" s="83">
        <v>45181.0</v>
      </c>
      <c r="C45" s="66">
        <v>3.0</v>
      </c>
      <c r="D45" s="66">
        <v>0.76</v>
      </c>
      <c r="E45" s="66" t="s">
        <v>226</v>
      </c>
    </row>
    <row r="46">
      <c r="A46" s="66">
        <v>2092.0</v>
      </c>
      <c r="B46" s="83">
        <v>45181.0</v>
      </c>
      <c r="C46" s="66">
        <v>4.0</v>
      </c>
      <c r="D46" s="66">
        <v>0.67</v>
      </c>
      <c r="E46" s="66" t="s">
        <v>226</v>
      </c>
    </row>
    <row r="47">
      <c r="A47" s="66">
        <v>2092.0</v>
      </c>
      <c r="B47" s="83">
        <v>45181.0</v>
      </c>
      <c r="C47" s="66">
        <v>5.0</v>
      </c>
      <c r="D47" s="66">
        <v>1.27</v>
      </c>
      <c r="E47" s="66" t="s">
        <v>226</v>
      </c>
    </row>
    <row r="48">
      <c r="A48" s="66">
        <v>2092.0</v>
      </c>
      <c r="B48" s="83">
        <v>45181.0</v>
      </c>
      <c r="C48" s="66">
        <v>6.0</v>
      </c>
      <c r="D48" s="66">
        <v>1.95</v>
      </c>
      <c r="E48" s="66" t="s">
        <v>226</v>
      </c>
    </row>
    <row r="49">
      <c r="A49" s="66">
        <v>2029.0</v>
      </c>
      <c r="B49" s="83">
        <v>45181.0</v>
      </c>
      <c r="C49" s="66">
        <v>1.0</v>
      </c>
      <c r="D49" s="66">
        <v>1.01</v>
      </c>
      <c r="E49" s="66" t="s">
        <v>226</v>
      </c>
    </row>
    <row r="50">
      <c r="A50" s="66">
        <v>2029.0</v>
      </c>
      <c r="B50" s="83">
        <v>45181.0</v>
      </c>
      <c r="C50" s="66">
        <v>2.0</v>
      </c>
      <c r="D50" s="66">
        <v>1.49</v>
      </c>
      <c r="E50" s="66" t="s">
        <v>226</v>
      </c>
    </row>
    <row r="51">
      <c r="A51" s="66">
        <v>2029.0</v>
      </c>
      <c r="B51" s="83">
        <v>45181.0</v>
      </c>
      <c r="C51" s="66">
        <v>3.0</v>
      </c>
      <c r="D51" s="66">
        <v>1.487</v>
      </c>
      <c r="E51" s="66" t="s">
        <v>226</v>
      </c>
    </row>
    <row r="52">
      <c r="A52" s="66">
        <v>2085.0</v>
      </c>
      <c r="B52" s="83">
        <v>45181.0</v>
      </c>
      <c r="C52" s="66">
        <v>1.0</v>
      </c>
      <c r="D52" s="66">
        <v>0.36</v>
      </c>
      <c r="E52" s="66" t="s">
        <v>226</v>
      </c>
    </row>
    <row r="53">
      <c r="A53" s="66">
        <v>2085.0</v>
      </c>
      <c r="B53" s="83">
        <v>45181.0</v>
      </c>
      <c r="C53" s="66">
        <v>2.0</v>
      </c>
      <c r="D53" s="66">
        <v>1.67</v>
      </c>
      <c r="E53" s="66" t="s">
        <v>226</v>
      </c>
    </row>
    <row r="54">
      <c r="A54" s="66">
        <v>2085.0</v>
      </c>
      <c r="B54" s="83">
        <v>45181.0</v>
      </c>
      <c r="C54" s="66">
        <v>3.0</v>
      </c>
      <c r="D54" s="66">
        <v>0.935</v>
      </c>
      <c r="E54" s="66" t="s">
        <v>226</v>
      </c>
    </row>
    <row r="55">
      <c r="A55" s="66">
        <v>2085.0</v>
      </c>
      <c r="B55" s="83">
        <v>45181.0</v>
      </c>
      <c r="C55" s="66">
        <v>4.0</v>
      </c>
      <c r="D55" s="66">
        <v>0.92</v>
      </c>
      <c r="E55" s="66" t="s">
        <v>226</v>
      </c>
    </row>
    <row r="56">
      <c r="A56" s="66">
        <v>2085.0</v>
      </c>
      <c r="B56" s="83">
        <v>45181.0</v>
      </c>
      <c r="C56" s="66">
        <v>5.0</v>
      </c>
      <c r="D56" s="66">
        <v>2.25</v>
      </c>
      <c r="E56" s="66" t="s">
        <v>226</v>
      </c>
    </row>
    <row r="57">
      <c r="A57" s="66">
        <v>2085.0</v>
      </c>
      <c r="B57" s="83">
        <v>45181.0</v>
      </c>
      <c r="C57" s="66">
        <v>6.0</v>
      </c>
      <c r="D57" s="66">
        <v>0.45</v>
      </c>
      <c r="E57" s="66" t="s">
        <v>226</v>
      </c>
    </row>
    <row r="58">
      <c r="A58" s="66">
        <v>2376.0</v>
      </c>
      <c r="B58" s="83">
        <v>45181.0</v>
      </c>
      <c r="C58" s="66">
        <v>1.0</v>
      </c>
      <c r="D58" s="66">
        <v>1.75</v>
      </c>
      <c r="E58" s="66" t="s">
        <v>226</v>
      </c>
    </row>
    <row r="59">
      <c r="A59" s="66">
        <v>2376.0</v>
      </c>
      <c r="B59" s="83">
        <v>45181.0</v>
      </c>
      <c r="C59" s="66">
        <v>2.0</v>
      </c>
      <c r="D59" s="66">
        <v>1.5</v>
      </c>
      <c r="E59" s="66" t="s">
        <v>226</v>
      </c>
    </row>
    <row r="60">
      <c r="A60" s="66">
        <v>2376.0</v>
      </c>
      <c r="B60" s="83">
        <v>45181.0</v>
      </c>
      <c r="C60" s="66">
        <v>3.0</v>
      </c>
      <c r="D60" s="66">
        <v>2.35</v>
      </c>
      <c r="E60" s="66" t="s">
        <v>226</v>
      </c>
    </row>
    <row r="61">
      <c r="A61" s="66">
        <v>2376.0</v>
      </c>
      <c r="B61" s="83">
        <v>45181.0</v>
      </c>
      <c r="C61" s="66">
        <v>4.0</v>
      </c>
      <c r="D61" s="66">
        <v>1.325</v>
      </c>
      <c r="E61" s="66" t="s">
        <v>226</v>
      </c>
    </row>
    <row r="62">
      <c r="A62" s="66">
        <v>2376.0</v>
      </c>
      <c r="B62" s="83">
        <v>45181.0</v>
      </c>
      <c r="C62" s="66">
        <v>5.0</v>
      </c>
      <c r="D62" s="66">
        <v>1.925</v>
      </c>
      <c r="E62" s="66" t="s">
        <v>226</v>
      </c>
    </row>
    <row r="63">
      <c r="A63" s="66">
        <v>2005.0</v>
      </c>
      <c r="B63" s="83">
        <v>45181.0</v>
      </c>
      <c r="C63" s="66">
        <v>1.0</v>
      </c>
      <c r="D63" s="66">
        <v>1.825</v>
      </c>
      <c r="E63" s="66" t="s">
        <v>226</v>
      </c>
    </row>
    <row r="64">
      <c r="A64" s="66">
        <v>2005.0</v>
      </c>
      <c r="B64" s="83">
        <v>45181.0</v>
      </c>
      <c r="C64" s="66">
        <v>2.0</v>
      </c>
      <c r="D64" s="66">
        <v>2.06</v>
      </c>
      <c r="E64" s="66" t="s">
        <v>226</v>
      </c>
    </row>
    <row r="65">
      <c r="A65" s="66">
        <v>2005.0</v>
      </c>
      <c r="B65" s="83">
        <v>45181.0</v>
      </c>
      <c r="C65" s="66">
        <v>3.0</v>
      </c>
      <c r="D65" s="66">
        <v>1.1</v>
      </c>
      <c r="E65" s="66" t="s">
        <v>226</v>
      </c>
    </row>
    <row r="66">
      <c r="A66" s="66">
        <v>2005.0</v>
      </c>
      <c r="B66" s="83">
        <v>45181.0</v>
      </c>
      <c r="C66" s="66">
        <v>4.0</v>
      </c>
      <c r="D66" s="66">
        <v>2.1</v>
      </c>
      <c r="E66" s="66" t="s">
        <v>226</v>
      </c>
    </row>
    <row r="67">
      <c r="A67" s="66">
        <v>2005.0</v>
      </c>
      <c r="B67" s="83">
        <v>45181.0</v>
      </c>
      <c r="C67" s="66">
        <v>5.0</v>
      </c>
      <c r="D67" s="66">
        <v>1.35</v>
      </c>
      <c r="E67" s="66" t="s">
        <v>226</v>
      </c>
    </row>
    <row r="68">
      <c r="A68" s="66">
        <v>2383.0</v>
      </c>
      <c r="B68" s="83">
        <v>45181.0</v>
      </c>
      <c r="C68" s="66">
        <v>1.0</v>
      </c>
      <c r="D68" s="66">
        <v>2.02</v>
      </c>
      <c r="E68" s="66" t="s">
        <v>226</v>
      </c>
    </row>
    <row r="69">
      <c r="A69" s="66">
        <v>2383.0</v>
      </c>
      <c r="B69" s="83">
        <v>45181.0</v>
      </c>
      <c r="C69" s="66">
        <v>2.0</v>
      </c>
      <c r="D69" s="66">
        <v>2.3</v>
      </c>
      <c r="E69" s="66" t="s">
        <v>226</v>
      </c>
    </row>
    <row r="70">
      <c r="A70" s="66">
        <v>2383.0</v>
      </c>
      <c r="B70" s="83">
        <v>45181.0</v>
      </c>
      <c r="C70" s="66">
        <v>3.0</v>
      </c>
      <c r="D70" s="66">
        <v>0.354</v>
      </c>
      <c r="E70" s="66" t="s">
        <v>226</v>
      </c>
    </row>
    <row r="71">
      <c r="A71" s="66">
        <v>2371.0</v>
      </c>
      <c r="B71" s="83">
        <v>45181.0</v>
      </c>
      <c r="C71" s="66">
        <v>1.0</v>
      </c>
      <c r="D71" s="66">
        <v>1.48</v>
      </c>
      <c r="E71" s="66" t="s">
        <v>226</v>
      </c>
    </row>
    <row r="72">
      <c r="A72" s="66">
        <v>2371.0</v>
      </c>
      <c r="B72" s="83">
        <v>45181.0</v>
      </c>
      <c r="C72" s="66">
        <v>2.0</v>
      </c>
      <c r="D72" s="66">
        <v>2.1</v>
      </c>
      <c r="E72" s="66" t="s">
        <v>226</v>
      </c>
    </row>
    <row r="73">
      <c r="A73" s="66">
        <v>2371.0</v>
      </c>
      <c r="B73" s="83">
        <v>45181.0</v>
      </c>
      <c r="C73" s="66">
        <v>3.0</v>
      </c>
      <c r="D73" s="66">
        <v>2.71</v>
      </c>
      <c r="E73" s="66" t="s">
        <v>226</v>
      </c>
    </row>
    <row r="74">
      <c r="A74" s="66">
        <v>2371.0</v>
      </c>
      <c r="B74" s="83">
        <v>45181.0</v>
      </c>
      <c r="C74" s="66">
        <v>4.0</v>
      </c>
      <c r="D74" s="66">
        <v>1.77</v>
      </c>
      <c r="E74" s="66" t="s">
        <v>226</v>
      </c>
    </row>
    <row r="75">
      <c r="A75" s="66">
        <v>2354.0</v>
      </c>
      <c r="B75" s="83">
        <v>45181.0</v>
      </c>
      <c r="C75" s="66">
        <v>1.0</v>
      </c>
      <c r="D75" s="66">
        <v>2.9</v>
      </c>
      <c r="E75" s="66" t="s">
        <v>226</v>
      </c>
    </row>
    <row r="76">
      <c r="A76" s="66">
        <v>2354.0</v>
      </c>
      <c r="B76" s="83">
        <v>45181.0</v>
      </c>
      <c r="C76" s="66">
        <v>2.0</v>
      </c>
      <c r="D76" s="66">
        <v>1.25</v>
      </c>
      <c r="E76" s="66" t="s">
        <v>226</v>
      </c>
    </row>
    <row r="77">
      <c r="A77" s="66">
        <v>2354.0</v>
      </c>
      <c r="B77" s="83">
        <v>45181.0</v>
      </c>
      <c r="C77" s="66">
        <v>3.0</v>
      </c>
      <c r="D77" s="66">
        <v>1.525</v>
      </c>
      <c r="E77" s="66" t="s">
        <v>226</v>
      </c>
    </row>
    <row r="78">
      <c r="A78" s="66">
        <v>2354.0</v>
      </c>
      <c r="B78" s="83">
        <v>45181.0</v>
      </c>
      <c r="C78" s="66">
        <v>4.0</v>
      </c>
      <c r="D78" s="66">
        <v>1.3</v>
      </c>
      <c r="E78" s="66" t="s">
        <v>226</v>
      </c>
    </row>
    <row r="79">
      <c r="A79" s="66">
        <v>2024.0</v>
      </c>
      <c r="B79" s="83">
        <v>45181.0</v>
      </c>
      <c r="C79" s="66">
        <v>1.0</v>
      </c>
      <c r="D79" s="66">
        <v>2.08</v>
      </c>
      <c r="E79" s="66" t="s">
        <v>226</v>
      </c>
    </row>
    <row r="80">
      <c r="A80" s="66">
        <v>2024.0</v>
      </c>
      <c r="B80" s="83">
        <v>45181.0</v>
      </c>
      <c r="C80" s="66">
        <v>2.0</v>
      </c>
      <c r="D80" s="66">
        <v>1.98</v>
      </c>
      <c r="E80" s="66" t="s">
        <v>226</v>
      </c>
    </row>
    <row r="81">
      <c r="A81" s="66">
        <v>2024.0</v>
      </c>
      <c r="B81" s="83">
        <v>45181.0</v>
      </c>
      <c r="C81" s="66">
        <v>3.0</v>
      </c>
      <c r="D81" s="66">
        <v>2.05</v>
      </c>
      <c r="E81" s="66" t="s">
        <v>226</v>
      </c>
    </row>
    <row r="82">
      <c r="A82" s="66">
        <v>2378.0</v>
      </c>
      <c r="B82" s="83">
        <v>45181.0</v>
      </c>
      <c r="C82" s="66">
        <v>1.0</v>
      </c>
      <c r="D82" s="66">
        <v>1.96</v>
      </c>
      <c r="E82" s="66" t="s">
        <v>226</v>
      </c>
    </row>
    <row r="83">
      <c r="A83" s="66">
        <v>2378.0</v>
      </c>
      <c r="B83" s="83">
        <v>45181.0</v>
      </c>
      <c r="C83" s="66">
        <v>2.0</v>
      </c>
      <c r="D83" s="66">
        <v>1.904</v>
      </c>
      <c r="E83" s="66" t="s">
        <v>226</v>
      </c>
    </row>
    <row r="84">
      <c r="A84" s="66">
        <v>2378.0</v>
      </c>
      <c r="B84" s="83">
        <v>45181.0</v>
      </c>
      <c r="C84" s="66">
        <v>3.0</v>
      </c>
      <c r="D84" s="66">
        <v>1.94</v>
      </c>
      <c r="E84" s="66" t="s">
        <v>226</v>
      </c>
    </row>
    <row r="85">
      <c r="A85" s="66">
        <v>2031.0</v>
      </c>
      <c r="B85" s="83">
        <v>45181.0</v>
      </c>
      <c r="C85" s="66">
        <v>1.0</v>
      </c>
      <c r="D85" s="66">
        <v>2.99</v>
      </c>
      <c r="E85" s="66" t="s">
        <v>226</v>
      </c>
    </row>
    <row r="86">
      <c r="A86" s="66">
        <v>2031.0</v>
      </c>
      <c r="B86" s="83">
        <v>45181.0</v>
      </c>
      <c r="C86" s="66">
        <v>2.0</v>
      </c>
      <c r="D86" s="66">
        <v>2.53</v>
      </c>
      <c r="E86" s="66" t="s">
        <v>226</v>
      </c>
    </row>
    <row r="87">
      <c r="A87" s="66">
        <v>2031.0</v>
      </c>
      <c r="B87" s="83">
        <v>45181.0</v>
      </c>
      <c r="C87" s="66">
        <v>3.0</v>
      </c>
      <c r="D87" s="66">
        <v>3.17</v>
      </c>
      <c r="E87" s="66" t="s">
        <v>226</v>
      </c>
    </row>
    <row r="88">
      <c r="A88" s="66">
        <v>2089.0</v>
      </c>
      <c r="B88" s="83">
        <v>45181.0</v>
      </c>
      <c r="C88" s="66">
        <v>1.0</v>
      </c>
      <c r="D88" s="66">
        <v>0.838</v>
      </c>
      <c r="E88" s="66" t="s">
        <v>226</v>
      </c>
    </row>
    <row r="89">
      <c r="A89" s="66">
        <v>2089.0</v>
      </c>
      <c r="B89" s="83">
        <v>45181.0</v>
      </c>
      <c r="C89" s="66">
        <v>2.0</v>
      </c>
      <c r="D89" s="66">
        <v>1.76</v>
      </c>
      <c r="E89" s="66" t="s">
        <v>226</v>
      </c>
    </row>
    <row r="90">
      <c r="A90" s="66">
        <v>2089.0</v>
      </c>
      <c r="B90" s="83">
        <v>45181.0</v>
      </c>
      <c r="C90" s="66">
        <v>3.0</v>
      </c>
      <c r="D90" s="66">
        <v>1.38</v>
      </c>
      <c r="E90" s="66" t="s">
        <v>226</v>
      </c>
    </row>
    <row r="91">
      <c r="A91" s="66">
        <v>2089.0</v>
      </c>
      <c r="B91" s="83">
        <v>45181.0</v>
      </c>
      <c r="C91" s="66">
        <v>4.0</v>
      </c>
      <c r="D91" s="66">
        <v>1.447</v>
      </c>
      <c r="E91" s="66" t="s">
        <v>226</v>
      </c>
    </row>
    <row r="92">
      <c r="A92" s="66">
        <v>2089.0</v>
      </c>
      <c r="B92" s="83">
        <v>45181.0</v>
      </c>
      <c r="C92" s="66">
        <v>5.0</v>
      </c>
      <c r="D92" s="66">
        <v>2.44</v>
      </c>
      <c r="E92" s="66" t="s">
        <v>226</v>
      </c>
    </row>
    <row r="93">
      <c r="A93" s="66">
        <v>2089.0</v>
      </c>
      <c r="B93" s="83">
        <v>45181.0</v>
      </c>
      <c r="C93" s="66">
        <v>6.0</v>
      </c>
      <c r="D93" s="66">
        <v>1.56</v>
      </c>
      <c r="E93" s="66" t="s">
        <v>226</v>
      </c>
    </row>
    <row r="94">
      <c r="A94" s="66">
        <v>2377.0</v>
      </c>
      <c r="B94" s="83">
        <v>45181.0</v>
      </c>
      <c r="C94" s="66">
        <v>1.0</v>
      </c>
      <c r="D94" s="66">
        <v>0.716</v>
      </c>
      <c r="E94" s="66" t="s">
        <v>226</v>
      </c>
    </row>
    <row r="95">
      <c r="A95" s="66">
        <v>2377.0</v>
      </c>
      <c r="B95" s="83">
        <v>45181.0</v>
      </c>
      <c r="C95" s="66">
        <v>2.0</v>
      </c>
      <c r="D95" s="66">
        <v>0.46</v>
      </c>
      <c r="E95" s="66" t="s">
        <v>226</v>
      </c>
    </row>
    <row r="96">
      <c r="A96" s="66">
        <v>2377.0</v>
      </c>
      <c r="B96" s="83">
        <v>45181.0</v>
      </c>
      <c r="C96" s="66">
        <v>3.0</v>
      </c>
      <c r="D96" s="66">
        <v>0.59</v>
      </c>
      <c r="E96" s="66" t="s">
        <v>226</v>
      </c>
    </row>
    <row r="97">
      <c r="A97" s="66">
        <v>2090.0</v>
      </c>
      <c r="B97" s="83">
        <v>45181.0</v>
      </c>
      <c r="C97" s="66">
        <v>1.0</v>
      </c>
      <c r="D97" s="66">
        <v>1.62</v>
      </c>
      <c r="E97" s="66" t="s">
        <v>226</v>
      </c>
    </row>
    <row r="98">
      <c r="A98" s="66">
        <v>2090.0</v>
      </c>
      <c r="B98" s="83">
        <v>45181.0</v>
      </c>
      <c r="C98" s="66">
        <v>2.0</v>
      </c>
      <c r="D98" s="66">
        <v>1.61</v>
      </c>
      <c r="E98" s="66" t="s">
        <v>226</v>
      </c>
    </row>
    <row r="99">
      <c r="A99" s="66">
        <v>2090.0</v>
      </c>
      <c r="B99" s="83">
        <v>45181.0</v>
      </c>
      <c r="C99" s="66">
        <v>3.0</v>
      </c>
      <c r="D99" s="66">
        <v>1.0</v>
      </c>
      <c r="E99" s="66" t="s">
        <v>226</v>
      </c>
    </row>
    <row r="100">
      <c r="A100" s="66">
        <v>2090.0</v>
      </c>
      <c r="B100" s="83">
        <v>45181.0</v>
      </c>
      <c r="C100" s="66">
        <v>4.0</v>
      </c>
      <c r="D100" s="66">
        <v>1.32</v>
      </c>
      <c r="E100" s="66" t="s">
        <v>226</v>
      </c>
    </row>
    <row r="101">
      <c r="A101" s="66">
        <v>2010.0</v>
      </c>
      <c r="B101" s="83">
        <v>45181.0</v>
      </c>
      <c r="C101" s="66">
        <v>1.0</v>
      </c>
      <c r="D101" s="66">
        <v>2.04</v>
      </c>
      <c r="E101" s="66" t="s">
        <v>226</v>
      </c>
    </row>
    <row r="102">
      <c r="A102" s="66">
        <v>2010.0</v>
      </c>
      <c r="B102" s="83">
        <v>45181.0</v>
      </c>
      <c r="C102" s="66">
        <v>2.0</v>
      </c>
      <c r="D102" s="66">
        <v>1.82</v>
      </c>
      <c r="E102" s="66" t="s">
        <v>226</v>
      </c>
    </row>
    <row r="103">
      <c r="A103" s="66">
        <v>2010.0</v>
      </c>
      <c r="B103" s="83">
        <v>45181.0</v>
      </c>
      <c r="C103" s="66">
        <v>3.0</v>
      </c>
      <c r="D103" s="66">
        <v>1.89</v>
      </c>
      <c r="E103" s="66" t="s">
        <v>226</v>
      </c>
    </row>
    <row r="104">
      <c r="A104" s="66">
        <v>2367.0</v>
      </c>
      <c r="B104" s="83">
        <v>45181.0</v>
      </c>
      <c r="C104" s="66">
        <v>1.0</v>
      </c>
      <c r="D104" s="66">
        <v>3.354</v>
      </c>
      <c r="E104" s="66" t="s">
        <v>226</v>
      </c>
    </row>
    <row r="105">
      <c r="A105" s="66">
        <v>2367.0</v>
      </c>
      <c r="B105" s="83">
        <v>45181.0</v>
      </c>
      <c r="C105" s="66">
        <v>2.0</v>
      </c>
      <c r="D105" s="66">
        <v>3.504</v>
      </c>
      <c r="E105" s="66" t="s">
        <v>226</v>
      </c>
    </row>
    <row r="106">
      <c r="A106" s="66">
        <v>2367.0</v>
      </c>
      <c r="B106" s="83">
        <v>45181.0</v>
      </c>
      <c r="C106" s="66">
        <v>3.0</v>
      </c>
      <c r="D106" s="66">
        <v>3.593</v>
      </c>
      <c r="E106" s="66" t="s">
        <v>226</v>
      </c>
    </row>
    <row r="107">
      <c r="A107" s="66">
        <v>2004.0</v>
      </c>
      <c r="B107" s="83">
        <v>45181.0</v>
      </c>
      <c r="C107" s="66">
        <v>1.0</v>
      </c>
      <c r="D107" s="66">
        <v>1.64</v>
      </c>
      <c r="E107" s="66" t="s">
        <v>226</v>
      </c>
    </row>
    <row r="108">
      <c r="A108" s="66">
        <v>2004.0</v>
      </c>
      <c r="B108" s="83">
        <v>45181.0</v>
      </c>
      <c r="C108" s="66">
        <v>2.0</v>
      </c>
      <c r="D108" s="66">
        <v>2.0</v>
      </c>
      <c r="E108" s="66" t="s">
        <v>226</v>
      </c>
    </row>
    <row r="109">
      <c r="A109" s="66">
        <v>2004.0</v>
      </c>
      <c r="B109" s="83">
        <v>45181.0</v>
      </c>
      <c r="C109" s="66">
        <v>3.0</v>
      </c>
      <c r="D109" s="66">
        <v>1.42</v>
      </c>
      <c r="E109" s="66" t="s">
        <v>226</v>
      </c>
    </row>
    <row r="110">
      <c r="A110" s="66">
        <v>2004.0</v>
      </c>
      <c r="B110" s="83">
        <v>45181.0</v>
      </c>
      <c r="C110" s="66">
        <v>4.0</v>
      </c>
      <c r="D110" s="66">
        <v>1.67</v>
      </c>
      <c r="E110" s="66" t="s">
        <v>226</v>
      </c>
    </row>
    <row r="111">
      <c r="A111" s="66">
        <v>2007.0</v>
      </c>
      <c r="B111" s="83">
        <v>45181.0</v>
      </c>
      <c r="C111" s="66">
        <v>1.0</v>
      </c>
      <c r="D111" s="66">
        <v>1.31</v>
      </c>
      <c r="E111" s="66" t="s">
        <v>226</v>
      </c>
    </row>
    <row r="112">
      <c r="A112" s="66">
        <v>2007.0</v>
      </c>
      <c r="B112" s="83">
        <v>45181.0</v>
      </c>
      <c r="C112" s="66">
        <v>2.0</v>
      </c>
      <c r="D112" s="66">
        <v>1.22</v>
      </c>
      <c r="E112" s="66" t="s">
        <v>226</v>
      </c>
    </row>
    <row r="113">
      <c r="A113" s="66">
        <v>2007.0</v>
      </c>
      <c r="B113" s="83">
        <v>45181.0</v>
      </c>
      <c r="C113" s="66">
        <v>3.0</v>
      </c>
      <c r="D113" s="66">
        <v>1.51</v>
      </c>
      <c r="E113" s="66" t="s">
        <v>226</v>
      </c>
    </row>
    <row r="114">
      <c r="A114" s="66">
        <v>2007.0</v>
      </c>
      <c r="B114" s="83">
        <v>45181.0</v>
      </c>
      <c r="C114" s="66">
        <v>4.0</v>
      </c>
      <c r="D114" s="66">
        <v>1.58</v>
      </c>
      <c r="E114" s="66" t="s">
        <v>226</v>
      </c>
    </row>
    <row r="115">
      <c r="A115" s="66">
        <v>2091.0</v>
      </c>
      <c r="B115" s="83">
        <v>45181.0</v>
      </c>
      <c r="C115" s="66">
        <v>1.0</v>
      </c>
      <c r="D115" s="66">
        <v>0.93</v>
      </c>
      <c r="E115" s="66" t="s">
        <v>226</v>
      </c>
    </row>
    <row r="116">
      <c r="A116" s="66">
        <v>2091.0</v>
      </c>
      <c r="B116" s="83">
        <v>45181.0</v>
      </c>
      <c r="C116" s="66">
        <v>2.0</v>
      </c>
      <c r="D116" s="66">
        <v>0.2</v>
      </c>
      <c r="E116" s="66" t="s">
        <v>226</v>
      </c>
    </row>
    <row r="117">
      <c r="A117" s="66">
        <v>2091.0</v>
      </c>
      <c r="B117" s="83">
        <v>45181.0</v>
      </c>
      <c r="C117" s="66">
        <v>3.0</v>
      </c>
      <c r="D117" s="66">
        <v>0.39</v>
      </c>
      <c r="E117" s="66" t="s">
        <v>226</v>
      </c>
    </row>
    <row r="118">
      <c r="A118" s="66">
        <v>2091.0</v>
      </c>
      <c r="B118" s="83">
        <v>45181.0</v>
      </c>
      <c r="C118" s="66">
        <v>4.0</v>
      </c>
      <c r="D118" s="66">
        <v>0.66</v>
      </c>
      <c r="E118" s="66" t="s">
        <v>226</v>
      </c>
    </row>
    <row r="119">
      <c r="A119" s="66">
        <v>2091.0</v>
      </c>
      <c r="B119" s="83">
        <v>45181.0</v>
      </c>
      <c r="C119" s="66">
        <v>5.0</v>
      </c>
      <c r="D119" s="66">
        <v>0.54</v>
      </c>
      <c r="E119" s="66" t="s">
        <v>226</v>
      </c>
    </row>
    <row r="120">
      <c r="A120" s="66">
        <v>2088.0</v>
      </c>
      <c r="B120" s="83">
        <v>45181.0</v>
      </c>
      <c r="C120" s="66">
        <v>1.0</v>
      </c>
      <c r="D120" s="66">
        <v>2.66</v>
      </c>
      <c r="E120" s="66" t="s">
        <v>226</v>
      </c>
    </row>
    <row r="121">
      <c r="A121" s="66">
        <v>2088.0</v>
      </c>
      <c r="B121" s="83">
        <v>45181.0</v>
      </c>
      <c r="C121" s="66">
        <v>2.0</v>
      </c>
      <c r="D121" s="66">
        <v>1.07</v>
      </c>
      <c r="E121" s="66" t="s">
        <v>226</v>
      </c>
    </row>
    <row r="122">
      <c r="A122" s="66">
        <v>2088.0</v>
      </c>
      <c r="B122" s="83">
        <v>45181.0</v>
      </c>
      <c r="C122" s="66">
        <v>3.0</v>
      </c>
      <c r="D122" s="66">
        <v>1.86</v>
      </c>
      <c r="E122" s="66" t="s">
        <v>226</v>
      </c>
    </row>
    <row r="123">
      <c r="A123" s="66">
        <v>2088.0</v>
      </c>
      <c r="B123" s="83">
        <v>45181.0</v>
      </c>
      <c r="C123" s="66">
        <v>4.0</v>
      </c>
      <c r="D123" s="66">
        <v>0.796</v>
      </c>
      <c r="E123" s="66" t="s">
        <v>226</v>
      </c>
    </row>
    <row r="124">
      <c r="A124" s="66">
        <v>2088.0</v>
      </c>
      <c r="B124" s="83">
        <v>45181.0</v>
      </c>
      <c r="C124" s="66">
        <v>5.0</v>
      </c>
      <c r="D124" s="66">
        <v>1.46</v>
      </c>
      <c r="E124" s="66" t="s">
        <v>226</v>
      </c>
    </row>
    <row r="125">
      <c r="A125" s="66">
        <v>2006.0</v>
      </c>
      <c r="B125" s="83">
        <v>45181.0</v>
      </c>
      <c r="C125" s="66">
        <v>1.0</v>
      </c>
      <c r="D125" s="66">
        <v>3.43</v>
      </c>
      <c r="E125" s="66" t="s">
        <v>226</v>
      </c>
    </row>
    <row r="126">
      <c r="A126" s="66">
        <v>2006.0</v>
      </c>
      <c r="B126" s="83">
        <v>45181.0</v>
      </c>
      <c r="C126" s="66">
        <v>2.0</v>
      </c>
      <c r="D126" s="66">
        <v>1.6</v>
      </c>
      <c r="E126" s="66" t="s">
        <v>226</v>
      </c>
    </row>
    <row r="127">
      <c r="A127" s="66">
        <v>2006.0</v>
      </c>
      <c r="B127" s="83">
        <v>45181.0</v>
      </c>
      <c r="C127" s="66">
        <v>3.0</v>
      </c>
      <c r="D127" s="66">
        <v>1.43</v>
      </c>
      <c r="E127" s="66" t="s">
        <v>226</v>
      </c>
    </row>
    <row r="128">
      <c r="A128" s="66">
        <v>2006.0</v>
      </c>
      <c r="B128" s="83">
        <v>45181.0</v>
      </c>
      <c r="C128" s="66">
        <v>4.0</v>
      </c>
      <c r="D128" s="66">
        <v>1.72</v>
      </c>
      <c r="E128" s="66" t="s">
        <v>226</v>
      </c>
    </row>
    <row r="129">
      <c r="A129" s="66">
        <v>2093.0</v>
      </c>
      <c r="B129" s="83">
        <v>45181.0</v>
      </c>
      <c r="C129" s="66">
        <v>1.0</v>
      </c>
      <c r="D129" s="66">
        <v>0.36</v>
      </c>
      <c r="E129" s="66" t="s">
        <v>226</v>
      </c>
    </row>
    <row r="130">
      <c r="A130" s="66">
        <v>2093.0</v>
      </c>
      <c r="B130" s="83">
        <v>45181.0</v>
      </c>
      <c r="C130" s="66">
        <v>2.0</v>
      </c>
      <c r="D130" s="66">
        <v>0.72</v>
      </c>
      <c r="E130" s="66" t="s">
        <v>226</v>
      </c>
    </row>
    <row r="131">
      <c r="A131" s="66">
        <v>2093.0</v>
      </c>
      <c r="B131" s="83">
        <v>45181.0</v>
      </c>
      <c r="C131" s="66">
        <v>3.0</v>
      </c>
      <c r="D131" s="66">
        <v>1.13</v>
      </c>
      <c r="E131" s="66" t="s">
        <v>226</v>
      </c>
    </row>
    <row r="132">
      <c r="A132" s="66">
        <v>2093.0</v>
      </c>
      <c r="B132" s="83">
        <v>45181.0</v>
      </c>
      <c r="C132" s="66">
        <v>4.0</v>
      </c>
      <c r="D132" s="66">
        <v>0.88</v>
      </c>
      <c r="E132" s="66" t="s">
        <v>226</v>
      </c>
    </row>
    <row r="133">
      <c r="A133" s="66">
        <v>2343.0</v>
      </c>
      <c r="B133" s="83">
        <v>45181.0</v>
      </c>
      <c r="C133" s="66">
        <v>1.0</v>
      </c>
      <c r="D133" s="66">
        <v>2.64</v>
      </c>
      <c r="E133" s="66" t="s">
        <v>226</v>
      </c>
    </row>
    <row r="134">
      <c r="A134" s="66">
        <v>2343.0</v>
      </c>
      <c r="B134" s="83">
        <v>45181.0</v>
      </c>
      <c r="C134" s="66">
        <v>2.0</v>
      </c>
      <c r="D134" s="66">
        <v>2.39</v>
      </c>
      <c r="E134" s="66" t="s">
        <v>226</v>
      </c>
    </row>
    <row r="135">
      <c r="A135" s="66">
        <v>2343.0</v>
      </c>
      <c r="B135" s="83">
        <v>45181.0</v>
      </c>
      <c r="C135" s="66">
        <v>3.0</v>
      </c>
      <c r="D135" s="66">
        <v>2.73</v>
      </c>
      <c r="E135" s="66" t="s">
        <v>226</v>
      </c>
    </row>
    <row r="136">
      <c r="A136" s="66">
        <v>2343.0</v>
      </c>
      <c r="B136" s="83">
        <v>45181.0</v>
      </c>
      <c r="C136" s="66">
        <v>4.0</v>
      </c>
      <c r="D136" s="66">
        <v>2.1</v>
      </c>
      <c r="E136" s="66" t="s">
        <v>226</v>
      </c>
    </row>
    <row r="137">
      <c r="A137" s="66">
        <v>2343.0</v>
      </c>
      <c r="B137" s="83">
        <v>45181.0</v>
      </c>
      <c r="C137" s="66">
        <v>5.0</v>
      </c>
      <c r="D137" s="66">
        <v>2.225</v>
      </c>
      <c r="E137" s="66" t="s">
        <v>226</v>
      </c>
    </row>
    <row r="138">
      <c r="A138" s="66">
        <v>2343.0</v>
      </c>
      <c r="B138" s="83">
        <v>45181.0</v>
      </c>
      <c r="C138" s="66">
        <v>6.0</v>
      </c>
      <c r="D138" s="66">
        <v>2.25</v>
      </c>
      <c r="E138" s="66" t="s">
        <v>226</v>
      </c>
    </row>
    <row r="139">
      <c r="A139" s="66">
        <v>2384.0</v>
      </c>
      <c r="B139" s="83">
        <v>45181.0</v>
      </c>
      <c r="C139" s="66">
        <v>1.0</v>
      </c>
      <c r="D139" s="66">
        <v>1.98</v>
      </c>
      <c r="E139" s="66" t="s">
        <v>226</v>
      </c>
    </row>
    <row r="140">
      <c r="A140" s="66">
        <v>2384.0</v>
      </c>
      <c r="B140" s="83">
        <v>45181.0</v>
      </c>
      <c r="C140" s="66">
        <v>2.0</v>
      </c>
      <c r="D140" s="66">
        <v>2.67</v>
      </c>
      <c r="E140" s="66" t="s">
        <v>226</v>
      </c>
    </row>
    <row r="141">
      <c r="A141" s="66">
        <v>2384.0</v>
      </c>
      <c r="B141" s="83">
        <v>45181.0</v>
      </c>
      <c r="C141" s="66">
        <v>3.0</v>
      </c>
      <c r="D141" s="66">
        <v>2.046</v>
      </c>
      <c r="E141" s="66" t="s">
        <v>226</v>
      </c>
    </row>
    <row r="142">
      <c r="A142" s="66">
        <v>2027.0</v>
      </c>
      <c r="B142" s="83">
        <v>45181.0</v>
      </c>
      <c r="C142" s="66">
        <v>1.0</v>
      </c>
      <c r="D142" s="66">
        <v>3.067</v>
      </c>
      <c r="E142" s="66" t="s">
        <v>226</v>
      </c>
    </row>
    <row r="143">
      <c r="A143" s="66">
        <v>2027.0</v>
      </c>
      <c r="B143" s="83">
        <v>45181.0</v>
      </c>
      <c r="C143" s="66">
        <v>2.0</v>
      </c>
      <c r="D143" s="66">
        <v>2.67</v>
      </c>
      <c r="E143" s="66" t="s">
        <v>226</v>
      </c>
    </row>
    <row r="144">
      <c r="A144" s="66">
        <v>2027.0</v>
      </c>
      <c r="B144" s="83">
        <v>45181.0</v>
      </c>
      <c r="C144" s="66">
        <v>3.0</v>
      </c>
      <c r="D144" s="66">
        <v>2.884</v>
      </c>
      <c r="E144" s="66" t="s">
        <v>226</v>
      </c>
    </row>
    <row r="145">
      <c r="A145" s="66">
        <v>2087.0</v>
      </c>
      <c r="B145" s="83">
        <v>45181.0</v>
      </c>
      <c r="C145" s="66">
        <v>1.0</v>
      </c>
      <c r="D145" s="66">
        <v>1.1</v>
      </c>
      <c r="E145" s="66" t="s">
        <v>226</v>
      </c>
    </row>
    <row r="146">
      <c r="A146" s="66">
        <v>2087.0</v>
      </c>
      <c r="B146" s="83">
        <v>45181.0</v>
      </c>
      <c r="C146" s="66">
        <v>2.0</v>
      </c>
      <c r="D146" s="66">
        <v>1.75</v>
      </c>
      <c r="E146" s="66" t="s">
        <v>226</v>
      </c>
    </row>
    <row r="147">
      <c r="A147" s="66">
        <v>2087.0</v>
      </c>
      <c r="B147" s="83">
        <v>45181.0</v>
      </c>
      <c r="C147" s="66">
        <v>3.0</v>
      </c>
      <c r="D147" s="66">
        <v>2.5</v>
      </c>
      <c r="E147" s="66" t="s">
        <v>226</v>
      </c>
    </row>
    <row r="148">
      <c r="A148" s="66">
        <v>2087.0</v>
      </c>
      <c r="B148" s="83">
        <v>45181.0</v>
      </c>
      <c r="C148" s="66">
        <v>4.0</v>
      </c>
      <c r="D148" s="66">
        <v>2.0</v>
      </c>
      <c r="E148" s="66" t="s">
        <v>226</v>
      </c>
    </row>
    <row r="149">
      <c r="A149" s="66">
        <v>2087.0</v>
      </c>
      <c r="B149" s="83">
        <v>45181.0</v>
      </c>
      <c r="C149" s="66">
        <v>5.0</v>
      </c>
      <c r="D149" s="66">
        <v>1.5</v>
      </c>
      <c r="E149" s="66" t="s">
        <v>226</v>
      </c>
    </row>
    <row r="150">
      <c r="A150" s="66">
        <v>2020.0</v>
      </c>
      <c r="B150" s="83">
        <v>45181.0</v>
      </c>
      <c r="C150" s="66">
        <v>1.0</v>
      </c>
      <c r="D150" s="66">
        <v>2.063</v>
      </c>
      <c r="E150" s="66" t="s">
        <v>226</v>
      </c>
    </row>
    <row r="151">
      <c r="A151" s="66">
        <v>2020.0</v>
      </c>
      <c r="B151" s="83">
        <v>45181.0</v>
      </c>
      <c r="C151" s="66">
        <v>2.0</v>
      </c>
      <c r="D151" s="66">
        <v>2.167</v>
      </c>
      <c r="E151" s="66" t="s">
        <v>226</v>
      </c>
    </row>
    <row r="152">
      <c r="A152" s="66">
        <v>2020.0</v>
      </c>
      <c r="B152" s="83">
        <v>45181.0</v>
      </c>
      <c r="C152" s="66">
        <v>3.0</v>
      </c>
      <c r="D152" s="66">
        <v>2.09</v>
      </c>
      <c r="E152" s="66" t="s">
        <v>226</v>
      </c>
    </row>
    <row r="153">
      <c r="A153" s="66">
        <v>2086.0</v>
      </c>
      <c r="B153" s="83">
        <v>45181.0</v>
      </c>
      <c r="C153" s="66">
        <v>1.0</v>
      </c>
      <c r="D153" s="66">
        <v>1.19</v>
      </c>
      <c r="E153" s="66" t="s">
        <v>226</v>
      </c>
    </row>
    <row r="154">
      <c r="A154" s="66">
        <v>2086.0</v>
      </c>
      <c r="B154" s="83">
        <v>45181.0</v>
      </c>
      <c r="C154" s="66">
        <v>2.0</v>
      </c>
      <c r="D154" s="66">
        <v>1.45</v>
      </c>
      <c r="E154" s="66" t="s">
        <v>226</v>
      </c>
    </row>
    <row r="155">
      <c r="A155" s="66">
        <v>2086.0</v>
      </c>
      <c r="B155" s="83">
        <v>45181.0</v>
      </c>
      <c r="C155" s="66">
        <v>3.0</v>
      </c>
      <c r="D155" s="66">
        <v>1.29</v>
      </c>
      <c r="E155" s="66" t="s">
        <v>226</v>
      </c>
    </row>
    <row r="156">
      <c r="A156" s="66">
        <v>2369.0</v>
      </c>
      <c r="B156" s="83">
        <v>45181.0</v>
      </c>
      <c r="C156" s="66">
        <v>1.0</v>
      </c>
      <c r="D156" s="66">
        <v>1.37</v>
      </c>
      <c r="E156" s="66" t="s">
        <v>226</v>
      </c>
    </row>
    <row r="157">
      <c r="A157" s="66">
        <v>2369.0</v>
      </c>
      <c r="B157" s="83">
        <v>45181.0</v>
      </c>
      <c r="C157" s="66">
        <v>2.0</v>
      </c>
      <c r="D157" s="66">
        <v>2.3</v>
      </c>
      <c r="E157" s="66" t="s">
        <v>226</v>
      </c>
    </row>
    <row r="158">
      <c r="A158" s="66">
        <v>2369.0</v>
      </c>
      <c r="B158" s="83">
        <v>45181.0</v>
      </c>
      <c r="C158" s="66">
        <v>3.0</v>
      </c>
      <c r="D158" s="66">
        <v>2.57</v>
      </c>
      <c r="E158" s="66" t="s">
        <v>226</v>
      </c>
    </row>
    <row r="159">
      <c r="A159" s="66">
        <v>2369.0</v>
      </c>
      <c r="B159" s="83">
        <v>45181.0</v>
      </c>
      <c r="C159" s="66">
        <v>4.0</v>
      </c>
      <c r="D159" s="66">
        <v>2.6</v>
      </c>
      <c r="E159" s="66" t="s">
        <v>226</v>
      </c>
    </row>
    <row r="160">
      <c r="A160" s="66">
        <v>2011.0</v>
      </c>
      <c r="B160" s="83">
        <v>45181.0</v>
      </c>
      <c r="C160" s="66">
        <v>1.0</v>
      </c>
      <c r="D160" s="66">
        <v>1.32</v>
      </c>
      <c r="E160" s="66" t="s">
        <v>226</v>
      </c>
    </row>
    <row r="161">
      <c r="A161" s="66">
        <v>2011.0</v>
      </c>
      <c r="B161" s="83">
        <v>45181.0</v>
      </c>
      <c r="C161" s="66">
        <v>2.0</v>
      </c>
      <c r="D161" s="66">
        <v>1.6</v>
      </c>
      <c r="E161" s="66" t="s">
        <v>226</v>
      </c>
    </row>
    <row r="162">
      <c r="A162" s="66">
        <v>2011.0</v>
      </c>
      <c r="B162" s="83">
        <v>45181.0</v>
      </c>
      <c r="C162" s="66">
        <v>3.0</v>
      </c>
      <c r="D162" s="66">
        <v>1.75</v>
      </c>
      <c r="E162" s="66" t="s">
        <v>226</v>
      </c>
    </row>
    <row r="163">
      <c r="A163" s="66">
        <v>2011.0</v>
      </c>
      <c r="B163" s="83">
        <v>45181.0</v>
      </c>
      <c r="C163" s="66">
        <v>4.0</v>
      </c>
      <c r="D163" s="66">
        <v>1.61</v>
      </c>
      <c r="E163" s="66" t="s">
        <v>226</v>
      </c>
    </row>
    <row r="164">
      <c r="A164" s="66">
        <v>2381.0</v>
      </c>
      <c r="B164" s="83">
        <v>45181.0</v>
      </c>
      <c r="C164" s="66">
        <v>1.0</v>
      </c>
      <c r="D164" s="66">
        <v>1.36</v>
      </c>
      <c r="E164" s="66" t="s">
        <v>226</v>
      </c>
    </row>
    <row r="165">
      <c r="A165" s="66">
        <v>2381.0</v>
      </c>
      <c r="B165" s="83">
        <v>45181.0</v>
      </c>
      <c r="C165" s="66">
        <v>2.0</v>
      </c>
      <c r="D165" s="66">
        <v>1.11</v>
      </c>
      <c r="E165" s="66" t="s">
        <v>226</v>
      </c>
    </row>
    <row r="166">
      <c r="A166" s="66">
        <v>2381.0</v>
      </c>
      <c r="B166" s="83">
        <v>45181.0</v>
      </c>
      <c r="C166" s="66">
        <v>3.0</v>
      </c>
      <c r="D166" s="66">
        <v>0.76</v>
      </c>
      <c r="E166" s="66" t="s">
        <v>226</v>
      </c>
    </row>
    <row r="167">
      <c r="A167" s="66">
        <v>2381.0</v>
      </c>
      <c r="B167" s="83">
        <v>45181.0</v>
      </c>
      <c r="C167" s="66">
        <v>4.0</v>
      </c>
      <c r="D167" s="66">
        <v>1.7</v>
      </c>
      <c r="E167" s="66" t="s">
        <v>226</v>
      </c>
    </row>
    <row r="168">
      <c r="A168" s="66">
        <v>2028.0</v>
      </c>
      <c r="B168" s="83">
        <v>45181.0</v>
      </c>
      <c r="C168" s="66">
        <v>1.0</v>
      </c>
      <c r="D168" s="66">
        <v>2.48</v>
      </c>
      <c r="E168" s="66" t="s">
        <v>226</v>
      </c>
    </row>
    <row r="169">
      <c r="A169" s="66">
        <v>2028.0</v>
      </c>
      <c r="B169" s="83">
        <v>45181.0</v>
      </c>
      <c r="C169" s="66">
        <v>2.0</v>
      </c>
      <c r="D169" s="66">
        <v>2.285</v>
      </c>
      <c r="E169" s="66" t="s">
        <v>226</v>
      </c>
    </row>
    <row r="170">
      <c r="A170" s="66">
        <v>2028.0</v>
      </c>
      <c r="B170" s="83">
        <v>45181.0</v>
      </c>
      <c r="C170" s="66">
        <v>3.0</v>
      </c>
      <c r="D170" s="66">
        <v>2.312</v>
      </c>
      <c r="E170" s="66" t="s">
        <v>226</v>
      </c>
    </row>
    <row r="171">
      <c r="A171" s="66" t="s">
        <v>486</v>
      </c>
      <c r="B171" s="83">
        <v>45181.0</v>
      </c>
      <c r="C171" s="66">
        <v>1.0</v>
      </c>
      <c r="D171" s="66">
        <v>5.865</v>
      </c>
      <c r="E171" s="66" t="s">
        <v>226</v>
      </c>
    </row>
    <row r="172">
      <c r="A172" s="66" t="s">
        <v>486</v>
      </c>
      <c r="B172" s="83">
        <v>45181.0</v>
      </c>
      <c r="C172" s="66">
        <v>2.0</v>
      </c>
      <c r="D172" s="66">
        <v>6.2</v>
      </c>
      <c r="E172" s="66" t="s">
        <v>226</v>
      </c>
    </row>
    <row r="173">
      <c r="A173" s="66" t="s">
        <v>486</v>
      </c>
      <c r="B173" s="83">
        <v>45181.0</v>
      </c>
      <c r="C173" s="66">
        <v>3.0</v>
      </c>
      <c r="D173" s="66">
        <v>5.89</v>
      </c>
      <c r="E173" s="66" t="s">
        <v>226</v>
      </c>
    </row>
    <row r="174">
      <c r="A174" s="66">
        <v>2347.0</v>
      </c>
      <c r="B174" s="83">
        <v>45181.0</v>
      </c>
      <c r="C174" s="66">
        <v>1.0</v>
      </c>
      <c r="D174" s="66">
        <v>2.75</v>
      </c>
      <c r="E174" s="66" t="s">
        <v>226</v>
      </c>
    </row>
    <row r="175">
      <c r="A175" s="66">
        <v>2347.0</v>
      </c>
      <c r="B175" s="83">
        <v>45181.0</v>
      </c>
      <c r="C175" s="66">
        <v>2.0</v>
      </c>
      <c r="D175" s="66">
        <v>2.62</v>
      </c>
      <c r="E175" s="66" t="s">
        <v>226</v>
      </c>
    </row>
    <row r="176">
      <c r="A176" s="66">
        <v>2347.0</v>
      </c>
      <c r="B176" s="83">
        <v>45181.0</v>
      </c>
      <c r="C176" s="66">
        <v>3.0</v>
      </c>
      <c r="D176" s="66">
        <v>2.5</v>
      </c>
      <c r="E176" s="66" t="s">
        <v>226</v>
      </c>
    </row>
    <row r="177">
      <c r="A177" s="66">
        <v>2030.0</v>
      </c>
      <c r="B177" s="83">
        <v>45181.0</v>
      </c>
      <c r="C177" s="66">
        <v>1.0</v>
      </c>
      <c r="D177" s="66">
        <v>1.75</v>
      </c>
      <c r="E177" s="66" t="s">
        <v>226</v>
      </c>
    </row>
    <row r="178">
      <c r="A178" s="66">
        <v>2030.0</v>
      </c>
      <c r="B178" s="83">
        <v>45181.0</v>
      </c>
      <c r="C178" s="66">
        <v>2.0</v>
      </c>
      <c r="D178" s="66">
        <v>2.2</v>
      </c>
      <c r="E178" s="66" t="s">
        <v>226</v>
      </c>
    </row>
    <row r="179">
      <c r="A179" s="66">
        <v>2030.0</v>
      </c>
      <c r="B179" s="83">
        <v>45181.0</v>
      </c>
      <c r="C179" s="66">
        <v>3.0</v>
      </c>
      <c r="D179" s="66">
        <v>2.05</v>
      </c>
      <c r="E179" s="66" t="s">
        <v>226</v>
      </c>
    </row>
    <row r="180">
      <c r="A180" s="66">
        <v>2382.0</v>
      </c>
      <c r="B180" s="83">
        <v>45181.0</v>
      </c>
      <c r="C180" s="66">
        <v>1.0</v>
      </c>
      <c r="D180" s="66">
        <v>2.2</v>
      </c>
      <c r="E180" s="66" t="s">
        <v>226</v>
      </c>
    </row>
    <row r="181">
      <c r="A181" s="66">
        <v>2382.0</v>
      </c>
      <c r="B181" s="83">
        <v>45181.0</v>
      </c>
      <c r="C181" s="66">
        <v>2.0</v>
      </c>
      <c r="D181" s="66">
        <v>2.5</v>
      </c>
      <c r="E181" s="66" t="s">
        <v>226</v>
      </c>
    </row>
    <row r="182">
      <c r="A182" s="66">
        <v>2382.0</v>
      </c>
      <c r="B182" s="83">
        <v>45181.0</v>
      </c>
      <c r="C182" s="66">
        <v>3.0</v>
      </c>
      <c r="D182" s="66">
        <v>2.25</v>
      </c>
      <c r="E182" s="66" t="s">
        <v>226</v>
      </c>
    </row>
    <row r="183">
      <c r="A183" s="66">
        <v>2365.0</v>
      </c>
      <c r="B183" s="83">
        <v>45181.0</v>
      </c>
      <c r="C183" s="66">
        <v>1.0</v>
      </c>
      <c r="D183" s="66">
        <v>2.4</v>
      </c>
      <c r="E183" s="66" t="s">
        <v>226</v>
      </c>
    </row>
    <row r="184">
      <c r="A184" s="66">
        <v>2365.0</v>
      </c>
      <c r="B184" s="83">
        <v>45181.0</v>
      </c>
      <c r="C184" s="66">
        <v>2.0</v>
      </c>
      <c r="D184" s="66">
        <v>2.5</v>
      </c>
      <c r="E184" s="66" t="s">
        <v>226</v>
      </c>
    </row>
    <row r="185">
      <c r="A185" s="66">
        <v>2365.0</v>
      </c>
      <c r="B185" s="83">
        <v>45181.0</v>
      </c>
      <c r="C185" s="66">
        <v>3.0</v>
      </c>
      <c r="D185" s="66">
        <v>2.55</v>
      </c>
      <c r="E185" s="66" t="s">
        <v>226</v>
      </c>
    </row>
    <row r="186">
      <c r="A186" s="66">
        <v>2346.0</v>
      </c>
      <c r="B186" s="83">
        <v>45181.0</v>
      </c>
      <c r="C186" s="66">
        <v>1.0</v>
      </c>
      <c r="D186" s="66">
        <v>2.7</v>
      </c>
      <c r="E186" s="66" t="s">
        <v>226</v>
      </c>
    </row>
    <row r="187">
      <c r="A187" s="66">
        <v>2346.0</v>
      </c>
      <c r="B187" s="83">
        <v>45181.0</v>
      </c>
      <c r="C187" s="66">
        <v>2.0</v>
      </c>
      <c r="D187" s="66">
        <v>3.3</v>
      </c>
      <c r="E187" s="66" t="s">
        <v>226</v>
      </c>
    </row>
    <row r="188">
      <c r="A188" s="66">
        <v>2346.0</v>
      </c>
      <c r="B188" s="83">
        <v>45181.0</v>
      </c>
      <c r="C188" s="66">
        <v>3.0</v>
      </c>
      <c r="D188" s="66">
        <v>3.2</v>
      </c>
      <c r="E188" s="66" t="s">
        <v>226</v>
      </c>
    </row>
    <row r="189">
      <c r="A189" s="66" t="s">
        <v>487</v>
      </c>
      <c r="B189" s="83">
        <v>45181.0</v>
      </c>
      <c r="C189" s="66">
        <v>1.0</v>
      </c>
      <c r="D189" s="66">
        <v>6.05</v>
      </c>
      <c r="E189" s="66" t="s">
        <v>226</v>
      </c>
    </row>
    <row r="190">
      <c r="A190" s="66" t="s">
        <v>487</v>
      </c>
      <c r="B190" s="83">
        <v>45181.0</v>
      </c>
      <c r="C190" s="66">
        <v>2.0</v>
      </c>
      <c r="D190" s="66">
        <v>5.2</v>
      </c>
      <c r="E190" s="66" t="s">
        <v>226</v>
      </c>
    </row>
    <row r="191">
      <c r="A191" s="66" t="s">
        <v>487</v>
      </c>
      <c r="B191" s="83">
        <v>45181.0</v>
      </c>
      <c r="C191" s="66">
        <v>3.0</v>
      </c>
      <c r="D191" s="66">
        <v>5.9</v>
      </c>
      <c r="E191" s="66" t="s">
        <v>226</v>
      </c>
    </row>
    <row r="192">
      <c r="A192" s="66" t="s">
        <v>488</v>
      </c>
      <c r="B192" s="83">
        <v>45181.0</v>
      </c>
      <c r="C192" s="66">
        <v>1.0</v>
      </c>
      <c r="D192" s="66">
        <v>4.8</v>
      </c>
      <c r="E192" s="66" t="s">
        <v>226</v>
      </c>
    </row>
    <row r="193">
      <c r="A193" s="66" t="s">
        <v>488</v>
      </c>
      <c r="B193" s="83">
        <v>45181.0</v>
      </c>
      <c r="C193" s="66">
        <v>2.0</v>
      </c>
      <c r="D193" s="66">
        <v>3.5</v>
      </c>
      <c r="E193" s="66" t="s">
        <v>226</v>
      </c>
    </row>
    <row r="194">
      <c r="A194" s="66" t="s">
        <v>488</v>
      </c>
      <c r="B194" s="83">
        <v>45181.0</v>
      </c>
      <c r="C194" s="66">
        <v>3.0</v>
      </c>
      <c r="D194" s="66">
        <v>5.85</v>
      </c>
      <c r="E194" s="66" t="s">
        <v>226</v>
      </c>
    </row>
    <row r="195">
      <c r="A195" s="66" t="s">
        <v>488</v>
      </c>
      <c r="B195" s="83">
        <v>45181.0</v>
      </c>
      <c r="C195" s="66">
        <v>4.0</v>
      </c>
      <c r="D195" s="66">
        <v>6.1</v>
      </c>
      <c r="E195" s="66" t="s">
        <v>226</v>
      </c>
    </row>
    <row r="196">
      <c r="A196" s="66">
        <v>2022.0</v>
      </c>
      <c r="B196" s="83">
        <v>45181.0</v>
      </c>
      <c r="C196" s="66">
        <v>1.0</v>
      </c>
      <c r="D196" s="66">
        <v>1.57</v>
      </c>
      <c r="E196" s="66" t="s">
        <v>226</v>
      </c>
    </row>
    <row r="197">
      <c r="A197" s="66">
        <v>2022.0</v>
      </c>
      <c r="B197" s="83">
        <v>45181.0</v>
      </c>
      <c r="C197" s="66">
        <v>2.0</v>
      </c>
      <c r="D197" s="66">
        <v>1.56</v>
      </c>
      <c r="E197" s="66" t="s">
        <v>226</v>
      </c>
    </row>
    <row r="198">
      <c r="A198" s="66">
        <v>2022.0</v>
      </c>
      <c r="B198" s="83">
        <v>45181.0</v>
      </c>
      <c r="C198" s="66">
        <v>3.0</v>
      </c>
      <c r="D198" s="66">
        <v>1.19</v>
      </c>
      <c r="E198" s="66" t="s">
        <v>226</v>
      </c>
    </row>
    <row r="199">
      <c r="A199" s="66">
        <v>2380.0</v>
      </c>
      <c r="B199" s="83">
        <v>45181.0</v>
      </c>
      <c r="C199" s="66">
        <v>1.0</v>
      </c>
      <c r="D199" s="66">
        <v>0.79</v>
      </c>
      <c r="E199" s="66" t="s">
        <v>226</v>
      </c>
    </row>
    <row r="200">
      <c r="A200" s="66">
        <v>2380.0</v>
      </c>
      <c r="B200" s="83">
        <v>45181.0</v>
      </c>
      <c r="C200" s="66">
        <v>2.0</v>
      </c>
      <c r="D200" s="66">
        <v>0.95</v>
      </c>
      <c r="E200" s="66" t="s">
        <v>226</v>
      </c>
    </row>
    <row r="201">
      <c r="A201" s="66">
        <v>2380.0</v>
      </c>
      <c r="B201" s="83">
        <v>45181.0</v>
      </c>
      <c r="C201" s="66">
        <v>3.0</v>
      </c>
      <c r="D201" s="66">
        <v>0.763</v>
      </c>
      <c r="E201" s="66" t="s">
        <v>226</v>
      </c>
    </row>
    <row r="202">
      <c r="A202" s="66">
        <v>2379.0</v>
      </c>
      <c r="B202" s="83">
        <v>45181.0</v>
      </c>
      <c r="C202" s="66">
        <v>1.0</v>
      </c>
      <c r="D202" s="66">
        <v>1.78</v>
      </c>
      <c r="E202" s="66" t="s">
        <v>226</v>
      </c>
    </row>
    <row r="203">
      <c r="A203" s="66">
        <v>2379.0</v>
      </c>
      <c r="B203" s="83">
        <v>45181.0</v>
      </c>
      <c r="C203" s="66">
        <v>2.0</v>
      </c>
      <c r="D203" s="66">
        <v>1.77</v>
      </c>
      <c r="E203" s="66" t="s">
        <v>226</v>
      </c>
    </row>
    <row r="204">
      <c r="A204" s="66">
        <v>2379.0</v>
      </c>
      <c r="B204" s="83">
        <v>45181.0</v>
      </c>
      <c r="C204" s="66">
        <v>3.0</v>
      </c>
      <c r="D204" s="66">
        <v>1.54</v>
      </c>
      <c r="E204" s="66" t="s">
        <v>226</v>
      </c>
    </row>
    <row r="205">
      <c r="A205" s="66">
        <v>2023.0</v>
      </c>
      <c r="B205" s="83">
        <v>45181.0</v>
      </c>
      <c r="C205" s="66">
        <v>1.0</v>
      </c>
      <c r="D205" s="66">
        <v>1.098</v>
      </c>
      <c r="E205" s="66" t="s">
        <v>226</v>
      </c>
    </row>
    <row r="206">
      <c r="A206" s="66">
        <v>2023.0</v>
      </c>
      <c r="B206" s="83">
        <v>45181.0</v>
      </c>
      <c r="C206" s="66">
        <v>2.0</v>
      </c>
      <c r="D206" s="66">
        <v>1.77</v>
      </c>
      <c r="E206" s="66" t="s">
        <v>226</v>
      </c>
    </row>
    <row r="207">
      <c r="A207" s="66">
        <v>2023.0</v>
      </c>
      <c r="B207" s="83">
        <v>45181.0</v>
      </c>
      <c r="C207" s="66">
        <v>3.0</v>
      </c>
      <c r="D207" s="66">
        <v>1.598</v>
      </c>
      <c r="E207" s="66" t="s">
        <v>226</v>
      </c>
    </row>
    <row r="208">
      <c r="A208" s="66">
        <v>2023.0</v>
      </c>
      <c r="B208" s="83">
        <v>45181.0</v>
      </c>
      <c r="C208" s="66">
        <v>4.0</v>
      </c>
      <c r="D208" s="66">
        <v>1.732</v>
      </c>
      <c r="E208" s="66" t="s">
        <v>226</v>
      </c>
    </row>
    <row r="209">
      <c r="A209" s="66" t="s">
        <v>489</v>
      </c>
      <c r="B209" s="83">
        <v>45181.0</v>
      </c>
      <c r="C209" s="66">
        <v>1.0</v>
      </c>
      <c r="D209" s="66">
        <v>6.35</v>
      </c>
      <c r="E209" s="66" t="s">
        <v>226</v>
      </c>
    </row>
    <row r="210">
      <c r="A210" s="66" t="s">
        <v>489</v>
      </c>
      <c r="B210" s="83">
        <v>45181.0</v>
      </c>
      <c r="C210" s="66">
        <v>2.0</v>
      </c>
      <c r="D210" s="66">
        <v>3.2</v>
      </c>
      <c r="E210" s="66" t="s">
        <v>226</v>
      </c>
    </row>
    <row r="211">
      <c r="A211" s="66" t="s">
        <v>489</v>
      </c>
      <c r="B211" s="83">
        <v>45181.0</v>
      </c>
      <c r="C211" s="66">
        <v>3.0</v>
      </c>
      <c r="D211" s="66">
        <v>4.76</v>
      </c>
      <c r="E211" s="66" t="s">
        <v>226</v>
      </c>
    </row>
    <row r="212">
      <c r="A212" s="66" t="s">
        <v>489</v>
      </c>
      <c r="B212" s="83">
        <v>45181.0</v>
      </c>
      <c r="C212" s="66">
        <v>4.0</v>
      </c>
      <c r="D212" s="66">
        <v>2.08</v>
      </c>
      <c r="E212" s="66" t="s">
        <v>226</v>
      </c>
    </row>
    <row r="213">
      <c r="A213" s="66" t="s">
        <v>490</v>
      </c>
      <c r="B213" s="83">
        <v>45181.0</v>
      </c>
      <c r="C213" s="66">
        <v>1.0</v>
      </c>
      <c r="D213" s="66">
        <v>2.9</v>
      </c>
      <c r="E213" s="66" t="s">
        <v>226</v>
      </c>
    </row>
    <row r="214">
      <c r="A214" s="66" t="s">
        <v>490</v>
      </c>
      <c r="B214" s="83">
        <v>45181.0</v>
      </c>
      <c r="C214" s="66">
        <v>2.0</v>
      </c>
      <c r="D214" s="66">
        <v>5.5</v>
      </c>
      <c r="E214" s="66" t="s">
        <v>226</v>
      </c>
    </row>
    <row r="215">
      <c r="A215" s="66" t="s">
        <v>490</v>
      </c>
      <c r="B215" s="83">
        <v>45181.0</v>
      </c>
      <c r="C215" s="66">
        <v>3.0</v>
      </c>
      <c r="D215" s="66">
        <v>3.41</v>
      </c>
      <c r="E215" s="66" t="s">
        <v>226</v>
      </c>
    </row>
    <row r="216">
      <c r="A216" s="66" t="s">
        <v>490</v>
      </c>
      <c r="B216" s="83">
        <v>45181.0</v>
      </c>
      <c r="C216" s="66">
        <v>4.0</v>
      </c>
      <c r="D216" s="66">
        <v>3.43</v>
      </c>
      <c r="E216" s="66" t="s">
        <v>226</v>
      </c>
    </row>
    <row r="217">
      <c r="A217" s="66" t="s">
        <v>490</v>
      </c>
      <c r="B217" s="83">
        <v>45181.0</v>
      </c>
      <c r="C217" s="66">
        <v>5.0</v>
      </c>
      <c r="D217" s="66">
        <v>3.54</v>
      </c>
      <c r="E217" s="66" t="s">
        <v>226</v>
      </c>
    </row>
    <row r="218">
      <c r="A218" s="66">
        <v>2093.0</v>
      </c>
      <c r="B218" s="83">
        <v>45184.0</v>
      </c>
      <c r="C218" s="66">
        <v>1.0</v>
      </c>
      <c r="D218" s="66">
        <v>2.531</v>
      </c>
      <c r="E218" s="66" t="s">
        <v>221</v>
      </c>
      <c r="F218" s="66" t="s">
        <v>491</v>
      </c>
    </row>
    <row r="219">
      <c r="A219" s="66">
        <v>2093.0</v>
      </c>
      <c r="B219" s="83">
        <v>45184.0</v>
      </c>
      <c r="C219" s="66">
        <v>2.0</v>
      </c>
      <c r="D219" s="66">
        <v>1.652</v>
      </c>
      <c r="E219" s="66" t="s">
        <v>221</v>
      </c>
      <c r="F219" s="66" t="s">
        <v>491</v>
      </c>
    </row>
    <row r="220">
      <c r="A220" s="66">
        <v>2093.0</v>
      </c>
      <c r="B220" s="83">
        <v>45184.0</v>
      </c>
      <c r="C220" s="66">
        <v>3.0</v>
      </c>
      <c r="D220" s="66">
        <v>2.327</v>
      </c>
      <c r="E220" s="66" t="s">
        <v>221</v>
      </c>
      <c r="F220" s="66" t="s">
        <v>491</v>
      </c>
    </row>
    <row r="221">
      <c r="A221" s="66">
        <v>2093.0</v>
      </c>
      <c r="B221" s="83">
        <v>45184.0</v>
      </c>
      <c r="C221" s="66">
        <v>4.0</v>
      </c>
      <c r="D221" s="66">
        <v>2.315</v>
      </c>
      <c r="E221" s="66" t="s">
        <v>221</v>
      </c>
      <c r="F221" s="66" t="s">
        <v>491</v>
      </c>
    </row>
    <row r="222">
      <c r="A222" s="66">
        <v>2089.0</v>
      </c>
      <c r="B222" s="83">
        <v>45184.0</v>
      </c>
      <c r="C222" s="66">
        <v>1.0</v>
      </c>
      <c r="D222" s="66">
        <v>4.801</v>
      </c>
      <c r="E222" s="66" t="s">
        <v>221</v>
      </c>
      <c r="F222" s="66" t="s">
        <v>491</v>
      </c>
    </row>
    <row r="223">
      <c r="A223" s="66">
        <v>2089.0</v>
      </c>
      <c r="B223" s="83">
        <v>45184.0</v>
      </c>
      <c r="C223" s="66">
        <v>2.0</v>
      </c>
      <c r="D223" s="66">
        <v>4.399</v>
      </c>
      <c r="E223" s="66" t="s">
        <v>221</v>
      </c>
      <c r="F223" s="66" t="s">
        <v>491</v>
      </c>
    </row>
    <row r="224">
      <c r="A224" s="66">
        <v>2089.0</v>
      </c>
      <c r="B224" s="83">
        <v>45184.0</v>
      </c>
      <c r="C224" s="66">
        <v>3.0</v>
      </c>
      <c r="D224" s="66">
        <v>2.684</v>
      </c>
      <c r="E224" s="66" t="s">
        <v>221</v>
      </c>
      <c r="F224" s="66" t="s">
        <v>491</v>
      </c>
    </row>
    <row r="225">
      <c r="A225" s="66">
        <v>2089.0</v>
      </c>
      <c r="B225" s="83">
        <v>45184.0</v>
      </c>
      <c r="C225" s="66">
        <v>4.0</v>
      </c>
      <c r="D225" s="66">
        <v>2.641</v>
      </c>
      <c r="E225" s="66" t="s">
        <v>221</v>
      </c>
      <c r="F225" s="66" t="s">
        <v>491</v>
      </c>
    </row>
    <row r="226">
      <c r="A226" s="66">
        <v>2089.0</v>
      </c>
      <c r="B226" s="83">
        <v>45184.0</v>
      </c>
      <c r="C226" s="66">
        <v>5.0</v>
      </c>
      <c r="D226" s="66">
        <v>3.238</v>
      </c>
      <c r="E226" s="66" t="s">
        <v>221</v>
      </c>
      <c r="F226" s="66" t="s">
        <v>491</v>
      </c>
    </row>
    <row r="227">
      <c r="A227" s="66">
        <v>2089.0</v>
      </c>
      <c r="B227" s="83">
        <v>45184.0</v>
      </c>
      <c r="C227" s="66">
        <v>6.0</v>
      </c>
      <c r="D227" s="66">
        <v>2.813</v>
      </c>
      <c r="E227" s="66" t="s">
        <v>221</v>
      </c>
      <c r="F227" s="66" t="s">
        <v>491</v>
      </c>
    </row>
    <row r="228">
      <c r="A228" s="66">
        <v>2380.0</v>
      </c>
      <c r="B228" s="83">
        <v>45184.0</v>
      </c>
      <c r="C228" s="66">
        <v>1.0</v>
      </c>
      <c r="D228" s="66">
        <v>3.7</v>
      </c>
      <c r="E228" s="66" t="s">
        <v>221</v>
      </c>
      <c r="F228" s="66" t="s">
        <v>491</v>
      </c>
    </row>
    <row r="229">
      <c r="A229" s="66">
        <v>2380.0</v>
      </c>
      <c r="B229" s="83">
        <v>45184.0</v>
      </c>
      <c r="C229" s="66">
        <v>2.0</v>
      </c>
      <c r="D229" s="66">
        <v>4.647</v>
      </c>
      <c r="E229" s="66" t="s">
        <v>221</v>
      </c>
      <c r="F229" s="66" t="s">
        <v>491</v>
      </c>
    </row>
    <row r="230">
      <c r="A230" s="66">
        <v>2380.0</v>
      </c>
      <c r="B230" s="83">
        <v>45184.0</v>
      </c>
      <c r="C230" s="66">
        <v>3.0</v>
      </c>
      <c r="D230" s="66">
        <v>2.578</v>
      </c>
      <c r="E230" s="66" t="s">
        <v>221</v>
      </c>
      <c r="F230" s="66" t="s">
        <v>491</v>
      </c>
    </row>
    <row r="231">
      <c r="A231" s="66">
        <v>2380.0</v>
      </c>
      <c r="B231" s="83">
        <v>45184.0</v>
      </c>
      <c r="C231" s="66">
        <v>4.0</v>
      </c>
      <c r="D231" s="66">
        <v>2.572</v>
      </c>
      <c r="E231" s="66" t="s">
        <v>221</v>
      </c>
      <c r="F231" s="66" t="s">
        <v>491</v>
      </c>
    </row>
    <row r="232">
      <c r="A232" s="66">
        <v>2380.0</v>
      </c>
      <c r="B232" s="83">
        <v>45184.0</v>
      </c>
      <c r="C232" s="66">
        <v>5.0</v>
      </c>
      <c r="D232" s="66">
        <v>3.983</v>
      </c>
      <c r="E232" s="66" t="s">
        <v>221</v>
      </c>
      <c r="F232" s="66" t="s">
        <v>491</v>
      </c>
    </row>
    <row r="233">
      <c r="A233" s="66">
        <v>2377.0</v>
      </c>
      <c r="B233" s="83">
        <v>45184.0</v>
      </c>
      <c r="C233" s="66">
        <v>1.0</v>
      </c>
      <c r="D233" s="66">
        <v>2.954</v>
      </c>
      <c r="E233" s="66" t="s">
        <v>221</v>
      </c>
      <c r="F233" s="66" t="s">
        <v>491</v>
      </c>
    </row>
    <row r="234">
      <c r="A234" s="66">
        <v>2377.0</v>
      </c>
      <c r="B234" s="83">
        <v>45184.0</v>
      </c>
      <c r="C234" s="66">
        <v>2.0</v>
      </c>
      <c r="D234" s="66">
        <v>2.208</v>
      </c>
      <c r="E234" s="66" t="s">
        <v>221</v>
      </c>
      <c r="F234" s="66" t="s">
        <v>491</v>
      </c>
    </row>
    <row r="235">
      <c r="A235" s="66">
        <v>2377.0</v>
      </c>
      <c r="B235" s="83">
        <v>45184.0</v>
      </c>
      <c r="C235" s="66">
        <v>3.0</v>
      </c>
      <c r="D235" s="66">
        <v>2.481</v>
      </c>
      <c r="E235" s="66" t="s">
        <v>221</v>
      </c>
      <c r="F235" s="66" t="s">
        <v>491</v>
      </c>
    </row>
    <row r="236">
      <c r="A236" s="66">
        <v>2091.0</v>
      </c>
      <c r="B236" s="83">
        <v>45184.0</v>
      </c>
      <c r="C236" s="66">
        <v>1.0</v>
      </c>
      <c r="D236" s="66">
        <v>3.367</v>
      </c>
      <c r="E236" s="66" t="s">
        <v>221</v>
      </c>
      <c r="F236" s="66" t="s">
        <v>491</v>
      </c>
    </row>
    <row r="237">
      <c r="A237" s="66">
        <v>2091.0</v>
      </c>
      <c r="B237" s="83">
        <v>45184.0</v>
      </c>
      <c r="C237" s="66">
        <v>2.0</v>
      </c>
      <c r="D237" s="66">
        <v>2.182</v>
      </c>
      <c r="E237" s="66" t="s">
        <v>221</v>
      </c>
      <c r="F237" s="66" t="s">
        <v>491</v>
      </c>
    </row>
    <row r="238">
      <c r="A238" s="66">
        <v>2091.0</v>
      </c>
      <c r="B238" s="83">
        <v>45184.0</v>
      </c>
      <c r="C238" s="66">
        <v>3.0</v>
      </c>
      <c r="D238" s="66">
        <v>3.231</v>
      </c>
      <c r="E238" s="66" t="s">
        <v>221</v>
      </c>
      <c r="F238" s="66" t="s">
        <v>491</v>
      </c>
    </row>
    <row r="239">
      <c r="A239" s="66">
        <v>2091.0</v>
      </c>
      <c r="B239" s="83">
        <v>45184.0</v>
      </c>
      <c r="C239" s="66">
        <v>4.0</v>
      </c>
      <c r="D239" s="66">
        <v>2.999</v>
      </c>
      <c r="E239" s="66" t="s">
        <v>221</v>
      </c>
      <c r="F239" s="66" t="s">
        <v>491</v>
      </c>
    </row>
    <row r="240">
      <c r="A240" s="66">
        <v>2092.0</v>
      </c>
      <c r="B240" s="83">
        <v>45184.0</v>
      </c>
      <c r="C240" s="66">
        <v>1.0</v>
      </c>
      <c r="D240" s="66">
        <v>2.001</v>
      </c>
      <c r="E240" s="66" t="s">
        <v>221</v>
      </c>
      <c r="F240" s="66" t="s">
        <v>491</v>
      </c>
    </row>
    <row r="241">
      <c r="A241" s="66">
        <v>2092.0</v>
      </c>
      <c r="B241" s="83">
        <v>45184.0</v>
      </c>
      <c r="C241" s="66">
        <v>2.0</v>
      </c>
      <c r="D241" s="66">
        <v>3.612</v>
      </c>
      <c r="E241" s="66" t="s">
        <v>221</v>
      </c>
      <c r="F241" s="66" t="s">
        <v>491</v>
      </c>
    </row>
    <row r="242">
      <c r="A242" s="66">
        <v>2092.0</v>
      </c>
      <c r="B242" s="83">
        <v>45184.0</v>
      </c>
      <c r="C242" s="66">
        <v>3.0</v>
      </c>
      <c r="D242" s="66">
        <v>2.81</v>
      </c>
      <c r="E242" s="66" t="s">
        <v>221</v>
      </c>
      <c r="F242" s="66" t="s">
        <v>491</v>
      </c>
    </row>
    <row r="243">
      <c r="A243" s="66">
        <v>2092.0</v>
      </c>
      <c r="B243" s="83">
        <v>45184.0</v>
      </c>
      <c r="C243" s="66">
        <v>4.0</v>
      </c>
      <c r="D243" s="66">
        <v>3.672</v>
      </c>
      <c r="E243" s="66" t="s">
        <v>221</v>
      </c>
      <c r="F243" s="66" t="s">
        <v>491</v>
      </c>
    </row>
    <row r="244">
      <c r="A244" s="66">
        <v>2092.0</v>
      </c>
      <c r="B244" s="83">
        <v>45184.0</v>
      </c>
      <c r="C244" s="66">
        <v>5.0</v>
      </c>
      <c r="D244" s="66">
        <v>3.317</v>
      </c>
      <c r="E244" s="66" t="s">
        <v>221</v>
      </c>
      <c r="F244" s="66" t="s">
        <v>491</v>
      </c>
    </row>
    <row r="245">
      <c r="A245" s="66" t="s">
        <v>492</v>
      </c>
      <c r="B245" s="83">
        <v>45184.0</v>
      </c>
      <c r="D245" s="66">
        <v>7.412</v>
      </c>
      <c r="E245" s="66" t="s">
        <v>221</v>
      </c>
    </row>
    <row r="246">
      <c r="A246" s="66" t="s">
        <v>492</v>
      </c>
      <c r="B246" s="83">
        <v>45184.0</v>
      </c>
      <c r="D246" s="66">
        <v>6.402</v>
      </c>
      <c r="E246" s="66" t="s">
        <v>221</v>
      </c>
    </row>
    <row r="247">
      <c r="A247" s="66" t="s">
        <v>492</v>
      </c>
      <c r="B247" s="83">
        <v>45184.0</v>
      </c>
      <c r="D247" s="66">
        <v>7.088</v>
      </c>
      <c r="E247" s="66" t="s">
        <v>221</v>
      </c>
    </row>
    <row r="248">
      <c r="A248" s="66" t="s">
        <v>493</v>
      </c>
      <c r="B248" s="83">
        <v>45184.0</v>
      </c>
      <c r="D248" s="66">
        <v>7.482</v>
      </c>
      <c r="E248" s="66" t="s">
        <v>221</v>
      </c>
    </row>
    <row r="249">
      <c r="A249" s="66" t="s">
        <v>493</v>
      </c>
      <c r="B249" s="83">
        <v>45184.0</v>
      </c>
      <c r="D249" s="66">
        <v>8.001</v>
      </c>
      <c r="E249" s="66" t="s">
        <v>221</v>
      </c>
    </row>
    <row r="250">
      <c r="A250" s="66">
        <v>2383.0</v>
      </c>
      <c r="B250" s="83">
        <v>45184.0</v>
      </c>
      <c r="D250" s="66">
        <v>3.421</v>
      </c>
      <c r="E250" s="66" t="s">
        <v>221</v>
      </c>
    </row>
    <row r="251">
      <c r="A251" s="66">
        <v>2383.0</v>
      </c>
      <c r="B251" s="83">
        <v>45184.0</v>
      </c>
      <c r="D251" s="66">
        <v>4.501</v>
      </c>
      <c r="E251" s="66" t="s">
        <v>221</v>
      </c>
    </row>
    <row r="252">
      <c r="A252" s="66">
        <v>2383.0</v>
      </c>
      <c r="B252" s="83">
        <v>45184.0</v>
      </c>
      <c r="D252" s="66">
        <v>4.581</v>
      </c>
      <c r="E252" s="66" t="s">
        <v>221</v>
      </c>
    </row>
    <row r="253">
      <c r="A253" s="66">
        <v>2087.0</v>
      </c>
      <c r="B253" s="83">
        <v>45184.0</v>
      </c>
      <c r="D253" s="66">
        <v>3.762</v>
      </c>
      <c r="E253" s="66" t="s">
        <v>221</v>
      </c>
    </row>
    <row r="254">
      <c r="A254" s="66">
        <v>2087.0</v>
      </c>
      <c r="B254" s="83">
        <v>45184.0</v>
      </c>
      <c r="D254" s="66">
        <v>3.292</v>
      </c>
      <c r="E254" s="66" t="s">
        <v>221</v>
      </c>
    </row>
    <row r="255">
      <c r="A255" s="66">
        <v>2087.0</v>
      </c>
      <c r="B255" s="83">
        <v>45184.0</v>
      </c>
      <c r="D255" s="66">
        <v>4.128</v>
      </c>
      <c r="E255" s="66" t="s">
        <v>221</v>
      </c>
    </row>
    <row r="256">
      <c r="A256" s="66">
        <v>2378.0</v>
      </c>
      <c r="B256" s="83">
        <v>45184.0</v>
      </c>
      <c r="D256" s="66">
        <v>4.299</v>
      </c>
      <c r="E256" s="66" t="s">
        <v>221</v>
      </c>
    </row>
    <row r="257">
      <c r="A257" s="66">
        <v>2378.0</v>
      </c>
      <c r="B257" s="83">
        <v>45184.0</v>
      </c>
      <c r="D257" s="66">
        <v>4.335</v>
      </c>
      <c r="E257" s="66" t="s">
        <v>221</v>
      </c>
    </row>
    <row r="258">
      <c r="A258" s="66" t="s">
        <v>427</v>
      </c>
      <c r="B258" s="83">
        <v>45184.0</v>
      </c>
      <c r="D258" s="66">
        <v>3.773</v>
      </c>
      <c r="E258" s="66" t="s">
        <v>221</v>
      </c>
    </row>
    <row r="259">
      <c r="A259" s="66" t="s">
        <v>427</v>
      </c>
      <c r="B259" s="83">
        <v>45184.0</v>
      </c>
      <c r="D259" s="66">
        <v>3.774</v>
      </c>
      <c r="E259" s="66" t="s">
        <v>221</v>
      </c>
    </row>
    <row r="260">
      <c r="A260" s="66">
        <v>2011.0</v>
      </c>
      <c r="B260" s="83">
        <v>45184.0</v>
      </c>
      <c r="D260" s="66">
        <v>3.721</v>
      </c>
      <c r="E260" s="66" t="s">
        <v>221</v>
      </c>
    </row>
    <row r="261">
      <c r="A261" s="66">
        <v>2011.0</v>
      </c>
      <c r="B261" s="83">
        <v>45184.0</v>
      </c>
      <c r="D261" s="66">
        <v>3.951</v>
      </c>
      <c r="E261" s="66" t="s">
        <v>221</v>
      </c>
    </row>
    <row r="262">
      <c r="A262" s="66">
        <v>2379.0</v>
      </c>
      <c r="B262" s="83">
        <v>45184.0</v>
      </c>
      <c r="D262" s="66">
        <v>4.782</v>
      </c>
      <c r="E262" s="66" t="s">
        <v>221</v>
      </c>
    </row>
    <row r="263">
      <c r="A263" s="66">
        <v>2379.0</v>
      </c>
      <c r="B263" s="83">
        <v>45184.0</v>
      </c>
      <c r="D263" s="66">
        <v>5.301</v>
      </c>
      <c r="E263" s="66" t="s">
        <v>221</v>
      </c>
    </row>
    <row r="264">
      <c r="A264" s="66">
        <v>2379.0</v>
      </c>
      <c r="B264" s="83">
        <v>45184.0</v>
      </c>
      <c r="D264" s="66">
        <v>4.529</v>
      </c>
      <c r="E264" s="66" t="s">
        <v>221</v>
      </c>
    </row>
    <row r="265">
      <c r="A265" s="66">
        <v>2085.0</v>
      </c>
      <c r="B265" s="83">
        <v>45184.0</v>
      </c>
      <c r="D265" s="66">
        <v>3.479</v>
      </c>
      <c r="E265" s="66" t="s">
        <v>221</v>
      </c>
    </row>
    <row r="266">
      <c r="A266" s="66">
        <v>2085.0</v>
      </c>
      <c r="B266" s="83">
        <v>45184.0</v>
      </c>
      <c r="D266" s="66">
        <v>3.633</v>
      </c>
      <c r="E266" s="66" t="s">
        <v>221</v>
      </c>
    </row>
    <row r="267">
      <c r="A267" s="66">
        <v>2381.0</v>
      </c>
      <c r="B267" s="83">
        <v>45184.0</v>
      </c>
      <c r="D267" s="66">
        <v>4.801</v>
      </c>
      <c r="E267" s="66" t="s">
        <v>221</v>
      </c>
    </row>
    <row r="268">
      <c r="A268" s="66">
        <v>2381.0</v>
      </c>
      <c r="B268" s="83">
        <v>45184.0</v>
      </c>
      <c r="D268" s="66">
        <v>5.0</v>
      </c>
      <c r="E268" s="66" t="s">
        <v>221</v>
      </c>
    </row>
    <row r="269">
      <c r="A269" s="66">
        <v>2381.0</v>
      </c>
      <c r="B269" s="83">
        <v>45184.0</v>
      </c>
      <c r="D269" s="66">
        <v>4.421</v>
      </c>
      <c r="E269" s="66" t="s">
        <v>221</v>
      </c>
    </row>
    <row r="270">
      <c r="A270" s="66">
        <v>2086.0</v>
      </c>
      <c r="B270" s="83">
        <v>45184.0</v>
      </c>
      <c r="D270" s="66">
        <v>4.381</v>
      </c>
      <c r="E270" s="66" t="s">
        <v>221</v>
      </c>
      <c r="F270" s="66" t="s">
        <v>494</v>
      </c>
    </row>
    <row r="271">
      <c r="A271" s="66">
        <v>2086.0</v>
      </c>
      <c r="B271" s="83">
        <v>45184.0</v>
      </c>
      <c r="D271" s="66">
        <v>4.376</v>
      </c>
      <c r="E271" s="66" t="s">
        <v>221</v>
      </c>
    </row>
    <row r="272">
      <c r="A272" s="66">
        <v>2013.0</v>
      </c>
      <c r="B272" s="83">
        <v>45185.0</v>
      </c>
      <c r="D272" s="66">
        <v>2.029</v>
      </c>
      <c r="E272" s="66" t="s">
        <v>226</v>
      </c>
    </row>
    <row r="273">
      <c r="A273" s="66">
        <v>2013.0</v>
      </c>
      <c r="B273" s="83">
        <v>45185.0</v>
      </c>
      <c r="D273" s="66">
        <v>2.032</v>
      </c>
      <c r="E273" s="66" t="s">
        <v>226</v>
      </c>
    </row>
    <row r="274">
      <c r="A274" s="66">
        <v>2012.0</v>
      </c>
      <c r="B274" s="83">
        <v>45185.0</v>
      </c>
      <c r="D274" s="66">
        <v>2.471</v>
      </c>
      <c r="E274" s="66" t="s">
        <v>226</v>
      </c>
    </row>
    <row r="275">
      <c r="A275" s="66">
        <v>2012.0</v>
      </c>
      <c r="B275" s="83">
        <v>45185.0</v>
      </c>
      <c r="D275" s="66">
        <v>2.336</v>
      </c>
      <c r="E275" s="66" t="s">
        <v>226</v>
      </c>
    </row>
    <row r="276">
      <c r="A276" s="66">
        <v>2015.0</v>
      </c>
      <c r="B276" s="83">
        <v>45185.0</v>
      </c>
      <c r="D276" s="66">
        <v>1.882</v>
      </c>
      <c r="E276" s="66" t="s">
        <v>226</v>
      </c>
    </row>
    <row r="277">
      <c r="A277" s="66">
        <v>2015.0</v>
      </c>
      <c r="B277" s="83">
        <v>45185.0</v>
      </c>
      <c r="D277" s="66">
        <v>2.007</v>
      </c>
      <c r="E277" s="66" t="s">
        <v>226</v>
      </c>
    </row>
    <row r="278">
      <c r="A278" s="66">
        <v>2015.0</v>
      </c>
      <c r="B278" s="83">
        <v>45185.0</v>
      </c>
      <c r="D278" s="66">
        <v>1.604</v>
      </c>
      <c r="E278" s="66" t="s">
        <v>226</v>
      </c>
    </row>
    <row r="279">
      <c r="A279" s="66">
        <v>2015.0</v>
      </c>
      <c r="B279" s="83">
        <v>45185.0</v>
      </c>
      <c r="D279" s="66">
        <v>1.894</v>
      </c>
      <c r="E279" s="66" t="s">
        <v>226</v>
      </c>
    </row>
    <row r="280">
      <c r="A280" s="66">
        <v>1478.0</v>
      </c>
      <c r="B280" s="83">
        <v>45185.0</v>
      </c>
      <c r="D280" s="66">
        <v>1.723</v>
      </c>
      <c r="E280" s="66" t="s">
        <v>226</v>
      </c>
    </row>
    <row r="281">
      <c r="A281" s="66">
        <v>1478.0</v>
      </c>
      <c r="B281" s="83">
        <v>45185.0</v>
      </c>
      <c r="D281" s="66">
        <v>1.667</v>
      </c>
      <c r="E281" s="66" t="s">
        <v>226</v>
      </c>
    </row>
    <row r="282">
      <c r="A282" s="66">
        <v>2007.0</v>
      </c>
      <c r="B282" s="83">
        <v>45185.0</v>
      </c>
      <c r="D282" s="66">
        <v>1.037</v>
      </c>
      <c r="E282" s="66" t="s">
        <v>226</v>
      </c>
    </row>
    <row r="283">
      <c r="A283" s="66">
        <v>2007.0</v>
      </c>
      <c r="B283" s="83">
        <v>45185.0</v>
      </c>
      <c r="D283" s="66">
        <v>1.108</v>
      </c>
      <c r="E283" s="66" t="s">
        <v>226</v>
      </c>
    </row>
    <row r="284">
      <c r="A284" s="66">
        <v>2006.0</v>
      </c>
      <c r="B284" s="83">
        <v>45185.0</v>
      </c>
      <c r="D284" s="66">
        <v>1.602</v>
      </c>
      <c r="E284" s="66" t="s">
        <v>226</v>
      </c>
    </row>
    <row r="285">
      <c r="A285" s="66">
        <v>2006.0</v>
      </c>
      <c r="B285" s="83">
        <v>45185.0</v>
      </c>
      <c r="D285" s="66">
        <v>1.664</v>
      </c>
      <c r="E285" s="66" t="s">
        <v>226</v>
      </c>
    </row>
    <row r="286">
      <c r="A286" s="66">
        <v>2093.0</v>
      </c>
      <c r="B286" s="83">
        <v>45185.0</v>
      </c>
      <c r="D286" s="66">
        <v>1.72</v>
      </c>
      <c r="E286" s="66" t="s">
        <v>226</v>
      </c>
    </row>
    <row r="287">
      <c r="A287" s="66">
        <v>2093.0</v>
      </c>
      <c r="B287" s="83">
        <v>45185.0</v>
      </c>
      <c r="D287" s="66">
        <v>1.831</v>
      </c>
      <c r="E287" s="66" t="s">
        <v>226</v>
      </c>
    </row>
    <row r="288">
      <c r="A288" s="66">
        <v>2093.0</v>
      </c>
      <c r="B288" s="83">
        <v>45185.0</v>
      </c>
      <c r="D288" s="66">
        <v>1.921</v>
      </c>
      <c r="E288" s="66" t="s">
        <v>226</v>
      </c>
    </row>
    <row r="289">
      <c r="A289" s="66">
        <v>2085.0</v>
      </c>
      <c r="B289" s="83">
        <v>45185.0</v>
      </c>
      <c r="D289" s="66">
        <v>2.302</v>
      </c>
      <c r="E289" s="66" t="s">
        <v>226</v>
      </c>
    </row>
    <row r="290">
      <c r="A290" s="66">
        <v>2085.0</v>
      </c>
      <c r="B290" s="83">
        <v>45185.0</v>
      </c>
      <c r="D290" s="66">
        <v>2.04</v>
      </c>
      <c r="E290" s="66" t="s">
        <v>226</v>
      </c>
    </row>
    <row r="291">
      <c r="A291" s="66">
        <v>2085.0</v>
      </c>
      <c r="B291" s="83">
        <v>45185.0</v>
      </c>
      <c r="D291" s="66">
        <v>2.415</v>
      </c>
      <c r="E291" s="66" t="s">
        <v>226</v>
      </c>
    </row>
    <row r="292">
      <c r="A292" s="66">
        <v>2086.0</v>
      </c>
      <c r="B292" s="83">
        <v>45185.0</v>
      </c>
      <c r="D292" s="66">
        <v>2.694</v>
      </c>
      <c r="E292" s="66" t="s">
        <v>226</v>
      </c>
    </row>
    <row r="293">
      <c r="A293" s="66">
        <v>2086.0</v>
      </c>
      <c r="B293" s="83">
        <v>45185.0</v>
      </c>
      <c r="D293" s="66">
        <v>2.7</v>
      </c>
      <c r="E293" s="66" t="s">
        <v>226</v>
      </c>
    </row>
    <row r="294">
      <c r="A294" s="66">
        <v>2004.0</v>
      </c>
      <c r="B294" s="83">
        <v>45185.0</v>
      </c>
      <c r="D294" s="66">
        <v>1.469</v>
      </c>
      <c r="E294" s="66" t="s">
        <v>226</v>
      </c>
    </row>
    <row r="295">
      <c r="A295" s="66">
        <v>2004.0</v>
      </c>
      <c r="B295" s="83">
        <v>45185.0</v>
      </c>
      <c r="D295" s="66">
        <v>1.524</v>
      </c>
      <c r="E295" s="66" t="s">
        <v>226</v>
      </c>
    </row>
    <row r="296">
      <c r="A296" s="66">
        <v>2090.0</v>
      </c>
      <c r="B296" s="83">
        <v>45185.0</v>
      </c>
      <c r="D296" s="66">
        <v>2.223</v>
      </c>
      <c r="E296" s="66" t="s">
        <v>226</v>
      </c>
    </row>
    <row r="297">
      <c r="A297" s="66">
        <v>2090.0</v>
      </c>
      <c r="B297" s="83">
        <v>45185.0</v>
      </c>
      <c r="D297" s="66">
        <v>2.7</v>
      </c>
      <c r="E297" s="66" t="s">
        <v>226</v>
      </c>
    </row>
    <row r="298">
      <c r="A298" s="66">
        <v>2090.0</v>
      </c>
      <c r="B298" s="83">
        <v>45185.0</v>
      </c>
      <c r="D298" s="66">
        <v>2.362</v>
      </c>
      <c r="E298" s="66" t="s">
        <v>226</v>
      </c>
    </row>
    <row r="299">
      <c r="A299" s="66">
        <v>2092.0</v>
      </c>
      <c r="B299" s="83">
        <v>45185.0</v>
      </c>
      <c r="D299" s="66">
        <v>1.382</v>
      </c>
      <c r="E299" s="66" t="s">
        <v>226</v>
      </c>
    </row>
    <row r="300">
      <c r="A300" s="66">
        <v>2092.0</v>
      </c>
      <c r="B300" s="83">
        <v>45185.0</v>
      </c>
      <c r="D300" s="66">
        <v>1.479</v>
      </c>
      <c r="E300" s="66" t="s">
        <v>226</v>
      </c>
    </row>
    <row r="301">
      <c r="A301" s="66">
        <v>2093.0</v>
      </c>
      <c r="B301" s="83">
        <v>45185.0</v>
      </c>
      <c r="D301" s="66">
        <v>1.261</v>
      </c>
      <c r="E301" s="66" t="s">
        <v>226</v>
      </c>
    </row>
    <row r="302">
      <c r="A302" s="66">
        <v>2093.0</v>
      </c>
      <c r="B302" s="83">
        <v>45185.0</v>
      </c>
      <c r="D302" s="66">
        <v>1.168</v>
      </c>
      <c r="E302" s="66" t="s">
        <v>226</v>
      </c>
    </row>
    <row r="303">
      <c r="A303" s="66">
        <v>2088.0</v>
      </c>
      <c r="B303" s="83">
        <v>45185.0</v>
      </c>
      <c r="D303" s="66">
        <v>2.329</v>
      </c>
      <c r="E303" s="66" t="s">
        <v>226</v>
      </c>
    </row>
    <row r="304">
      <c r="A304" s="66">
        <v>2088.0</v>
      </c>
      <c r="B304" s="83">
        <v>45185.0</v>
      </c>
      <c r="D304" s="66">
        <v>2.395</v>
      </c>
      <c r="E304" s="66" t="s">
        <v>226</v>
      </c>
    </row>
    <row r="305">
      <c r="A305" s="66">
        <v>2089.0</v>
      </c>
      <c r="B305" s="83">
        <v>45185.0</v>
      </c>
      <c r="D305" s="66">
        <v>1.547</v>
      </c>
      <c r="E305" s="66" t="s">
        <v>226</v>
      </c>
    </row>
    <row r="306">
      <c r="A306" s="66">
        <v>2089.0</v>
      </c>
      <c r="B306" s="83">
        <v>45185.0</v>
      </c>
      <c r="D306" s="66">
        <v>1.412</v>
      </c>
      <c r="E306" s="66" t="s">
        <v>226</v>
      </c>
    </row>
    <row r="307">
      <c r="A307" s="66">
        <v>2091.0</v>
      </c>
      <c r="B307" s="83">
        <v>45185.0</v>
      </c>
      <c r="D307" s="66">
        <v>0.892</v>
      </c>
      <c r="E307" s="66" t="s">
        <v>226</v>
      </c>
    </row>
    <row r="308">
      <c r="A308" s="66">
        <v>2091.0</v>
      </c>
      <c r="B308" s="83">
        <v>45185.0</v>
      </c>
      <c r="D308" s="66">
        <v>0.664</v>
      </c>
      <c r="E308" s="66" t="s">
        <v>226</v>
      </c>
    </row>
    <row r="309">
      <c r="A309" s="66">
        <v>2091.0</v>
      </c>
      <c r="B309" s="83">
        <v>45185.0</v>
      </c>
      <c r="D309" s="66">
        <v>0.56</v>
      </c>
      <c r="E309" s="66" t="s">
        <v>226</v>
      </c>
    </row>
    <row r="310">
      <c r="A310" s="66">
        <v>2087.0</v>
      </c>
      <c r="B310" s="83">
        <v>45185.0</v>
      </c>
      <c r="D310" s="66">
        <v>1.693</v>
      </c>
      <c r="E310" s="66" t="s">
        <v>226</v>
      </c>
    </row>
    <row r="311">
      <c r="A311" s="66">
        <v>2087.0</v>
      </c>
      <c r="B311" s="83">
        <v>45185.0</v>
      </c>
      <c r="D311" s="66">
        <v>1.781</v>
      </c>
      <c r="E311" s="66" t="s">
        <v>226</v>
      </c>
    </row>
    <row r="312">
      <c r="A312" s="66">
        <v>2375.0</v>
      </c>
      <c r="B312" s="83">
        <v>45185.0</v>
      </c>
      <c r="D312" s="66">
        <v>4.2</v>
      </c>
      <c r="E312" s="66" t="s">
        <v>221</v>
      </c>
    </row>
    <row r="313">
      <c r="A313" s="66">
        <v>2375.0</v>
      </c>
      <c r="B313" s="83">
        <v>45185.0</v>
      </c>
      <c r="D313" s="66">
        <v>3.706</v>
      </c>
      <c r="E313" s="66" t="s">
        <v>221</v>
      </c>
    </row>
    <row r="314">
      <c r="A314" s="66">
        <v>2375.0</v>
      </c>
      <c r="B314" s="83">
        <v>45185.0</v>
      </c>
      <c r="D314" s="66">
        <v>4.057</v>
      </c>
      <c r="E314" s="66" t="s">
        <v>221</v>
      </c>
    </row>
    <row r="315">
      <c r="A315" s="66">
        <v>2371.0</v>
      </c>
      <c r="B315" s="83">
        <v>45185.0</v>
      </c>
      <c r="D315" s="66">
        <v>3.757</v>
      </c>
      <c r="E315" s="66" t="s">
        <v>221</v>
      </c>
    </row>
    <row r="316">
      <c r="A316" s="66">
        <v>2371.0</v>
      </c>
      <c r="B316" s="83">
        <v>45185.0</v>
      </c>
      <c r="D316" s="66">
        <v>4.546</v>
      </c>
      <c r="E316" s="66" t="s">
        <v>221</v>
      </c>
    </row>
    <row r="317">
      <c r="A317" s="66">
        <v>2371.0</v>
      </c>
      <c r="B317" s="83">
        <v>45185.0</v>
      </c>
      <c r="D317" s="66">
        <v>4.028</v>
      </c>
      <c r="E317" s="66" t="s">
        <v>221</v>
      </c>
    </row>
    <row r="318">
      <c r="A318" s="66">
        <v>2371.0</v>
      </c>
      <c r="B318" s="83">
        <v>45185.0</v>
      </c>
      <c r="D318" s="66">
        <v>3.164</v>
      </c>
      <c r="E318" s="66" t="s">
        <v>221</v>
      </c>
    </row>
    <row r="319">
      <c r="A319" s="66">
        <v>2027.0</v>
      </c>
      <c r="B319" s="83">
        <v>45185.0</v>
      </c>
      <c r="D319" s="66">
        <v>4.283</v>
      </c>
      <c r="E319" s="66" t="s">
        <v>221</v>
      </c>
    </row>
    <row r="320">
      <c r="A320" s="66">
        <v>2027.0</v>
      </c>
      <c r="B320" s="83">
        <v>45185.0</v>
      </c>
      <c r="D320" s="66">
        <v>4.329</v>
      </c>
      <c r="E320" s="66" t="s">
        <v>221</v>
      </c>
    </row>
    <row r="321">
      <c r="A321" s="66">
        <v>2025.0</v>
      </c>
      <c r="B321" s="83">
        <v>45185.0</v>
      </c>
      <c r="D321" s="66">
        <v>3.829</v>
      </c>
      <c r="E321" s="66" t="s">
        <v>221</v>
      </c>
    </row>
    <row r="322">
      <c r="A322" s="66">
        <v>2025.0</v>
      </c>
      <c r="B322" s="83">
        <v>45185.0</v>
      </c>
      <c r="D322" s="66">
        <v>3.468</v>
      </c>
      <c r="E322" s="66" t="s">
        <v>221</v>
      </c>
    </row>
    <row r="323">
      <c r="A323" s="66">
        <v>2025.0</v>
      </c>
      <c r="B323" s="83">
        <v>45185.0</v>
      </c>
      <c r="D323" s="66">
        <v>3.677</v>
      </c>
      <c r="E323" s="66" t="s">
        <v>221</v>
      </c>
    </row>
    <row r="324">
      <c r="A324" s="66">
        <v>2024.0</v>
      </c>
      <c r="B324" s="83">
        <v>45185.0</v>
      </c>
      <c r="D324" s="66">
        <v>4.031</v>
      </c>
      <c r="E324" s="66" t="s">
        <v>221</v>
      </c>
    </row>
    <row r="325">
      <c r="A325" s="66">
        <v>2024.0</v>
      </c>
      <c r="B325" s="83">
        <v>45185.0</v>
      </c>
      <c r="D325" s="66">
        <v>3.652</v>
      </c>
      <c r="E325" s="66" t="s">
        <v>221</v>
      </c>
    </row>
    <row r="326">
      <c r="A326" s="66">
        <v>2024.0</v>
      </c>
      <c r="B326" s="83">
        <v>45185.0</v>
      </c>
      <c r="D326" s="66">
        <v>4.103</v>
      </c>
      <c r="E326" s="66" t="s">
        <v>221</v>
      </c>
    </row>
    <row r="327">
      <c r="A327" s="66">
        <v>2020.0</v>
      </c>
      <c r="B327" s="83">
        <v>45185.0</v>
      </c>
      <c r="D327" s="66">
        <v>2.586</v>
      </c>
      <c r="E327" s="66" t="s">
        <v>221</v>
      </c>
    </row>
    <row r="328">
      <c r="A328" s="66">
        <v>2020.0</v>
      </c>
      <c r="B328" s="83">
        <v>45185.0</v>
      </c>
      <c r="D328" s="66">
        <v>2.943</v>
      </c>
      <c r="E328" s="66" t="s">
        <v>221</v>
      </c>
    </row>
    <row r="329">
      <c r="A329" s="66">
        <v>2020.0</v>
      </c>
      <c r="B329" s="83">
        <v>45185.0</v>
      </c>
      <c r="D329" s="66">
        <v>2.4</v>
      </c>
      <c r="E329" s="66" t="s">
        <v>221</v>
      </c>
    </row>
    <row r="330">
      <c r="A330" s="66">
        <v>2028.0</v>
      </c>
      <c r="B330" s="83">
        <v>45185.0</v>
      </c>
      <c r="D330" s="66">
        <v>4.026</v>
      </c>
      <c r="E330" s="66" t="s">
        <v>221</v>
      </c>
    </row>
    <row r="331">
      <c r="A331" s="66">
        <v>2028.0</v>
      </c>
      <c r="B331" s="83">
        <v>45185.0</v>
      </c>
      <c r="D331" s="66">
        <v>3.408</v>
      </c>
      <c r="E331" s="66" t="s">
        <v>221</v>
      </c>
    </row>
    <row r="332">
      <c r="A332" s="66">
        <v>2028.0</v>
      </c>
      <c r="B332" s="83">
        <v>45185.0</v>
      </c>
      <c r="D332" s="66">
        <v>3.927</v>
      </c>
      <c r="E332" s="66" t="s">
        <v>221</v>
      </c>
    </row>
    <row r="333">
      <c r="A333" s="66">
        <v>2331.0</v>
      </c>
      <c r="B333" s="83">
        <v>45185.0</v>
      </c>
      <c r="D333" s="66">
        <v>4.32</v>
      </c>
      <c r="E333" s="66" t="s">
        <v>221</v>
      </c>
    </row>
    <row r="334">
      <c r="A334" s="66">
        <v>2331.0</v>
      </c>
      <c r="B334" s="83">
        <v>45185.0</v>
      </c>
      <c r="D334" s="66">
        <v>4.245</v>
      </c>
      <c r="E334" s="66" t="s">
        <v>221</v>
      </c>
    </row>
    <row r="335">
      <c r="A335" s="66">
        <v>2370.0</v>
      </c>
      <c r="B335" s="83">
        <v>45185.0</v>
      </c>
      <c r="D335" s="66">
        <v>3.821</v>
      </c>
      <c r="E335" s="66" t="s">
        <v>221</v>
      </c>
    </row>
    <row r="336">
      <c r="A336" s="66">
        <v>2370.0</v>
      </c>
      <c r="B336" s="83">
        <v>45185.0</v>
      </c>
      <c r="D336" s="66">
        <v>4.189</v>
      </c>
      <c r="E336" s="66" t="s">
        <v>221</v>
      </c>
    </row>
    <row r="337">
      <c r="A337" s="66">
        <v>2005.0</v>
      </c>
      <c r="B337" s="83">
        <v>45185.0</v>
      </c>
      <c r="D337" s="66">
        <v>3.514</v>
      </c>
      <c r="E337" s="66" t="s">
        <v>221</v>
      </c>
    </row>
    <row r="338">
      <c r="A338" s="66">
        <v>2005.0</v>
      </c>
      <c r="B338" s="83">
        <v>45185.0</v>
      </c>
      <c r="D338" s="66">
        <v>3.641</v>
      </c>
      <c r="E338" s="66" t="s">
        <v>221</v>
      </c>
    </row>
    <row r="339">
      <c r="A339" s="66">
        <v>2015.0</v>
      </c>
      <c r="B339" s="83">
        <v>45185.0</v>
      </c>
      <c r="D339" s="66">
        <v>4.587</v>
      </c>
      <c r="E339" s="66" t="s">
        <v>221</v>
      </c>
    </row>
    <row r="340">
      <c r="A340" s="66">
        <v>2015.0</v>
      </c>
      <c r="B340" s="83">
        <v>45185.0</v>
      </c>
      <c r="D340" s="66">
        <v>4.3</v>
      </c>
      <c r="E340" s="66" t="s">
        <v>221</v>
      </c>
    </row>
    <row r="341">
      <c r="A341" s="66">
        <v>2352.0</v>
      </c>
      <c r="B341" s="83">
        <v>45185.0</v>
      </c>
      <c r="D341" s="66">
        <v>4.943</v>
      </c>
      <c r="E341" s="66" t="s">
        <v>221</v>
      </c>
    </row>
    <row r="342">
      <c r="A342" s="66">
        <v>2352.0</v>
      </c>
      <c r="B342" s="83">
        <v>45185.0</v>
      </c>
      <c r="D342" s="66">
        <v>5.123</v>
      </c>
      <c r="E342" s="66" t="s">
        <v>221</v>
      </c>
    </row>
    <row r="343">
      <c r="A343" s="66">
        <v>2006.0</v>
      </c>
      <c r="B343" s="83">
        <v>45185.0</v>
      </c>
      <c r="D343" s="66">
        <v>2.571</v>
      </c>
      <c r="E343" s="66" t="s">
        <v>221</v>
      </c>
    </row>
    <row r="344">
      <c r="A344" s="66">
        <v>2006.0</v>
      </c>
      <c r="B344" s="83">
        <v>45185.0</v>
      </c>
      <c r="D344" s="66">
        <v>2.561</v>
      </c>
      <c r="E344" s="66" t="s">
        <v>221</v>
      </c>
    </row>
    <row r="345">
      <c r="A345" s="66" t="s">
        <v>495</v>
      </c>
      <c r="B345" s="83">
        <v>45185.0</v>
      </c>
      <c r="D345" s="66">
        <v>6.5</v>
      </c>
      <c r="E345" s="66" t="s">
        <v>221</v>
      </c>
      <c r="F345" s="66" t="s">
        <v>496</v>
      </c>
    </row>
    <row r="346">
      <c r="A346" s="66" t="s">
        <v>495</v>
      </c>
      <c r="B346" s="83">
        <v>45185.0</v>
      </c>
      <c r="D346" s="66">
        <v>6.5</v>
      </c>
      <c r="E346" s="66" t="s">
        <v>221</v>
      </c>
      <c r="F346" s="66" t="s">
        <v>496</v>
      </c>
    </row>
    <row r="347">
      <c r="A347" s="66" t="s">
        <v>497</v>
      </c>
      <c r="B347" s="83">
        <v>45185.0</v>
      </c>
      <c r="D347" s="66">
        <v>6.488</v>
      </c>
      <c r="E347" s="66" t="s">
        <v>221</v>
      </c>
    </row>
    <row r="348">
      <c r="A348" s="66" t="s">
        <v>497</v>
      </c>
      <c r="B348" s="83">
        <v>45185.0</v>
      </c>
      <c r="D348" s="66">
        <v>6.44</v>
      </c>
      <c r="E348" s="66" t="s">
        <v>221</v>
      </c>
    </row>
    <row r="349">
      <c r="A349" s="66">
        <v>2004.0</v>
      </c>
      <c r="B349" s="83">
        <v>45185.0</v>
      </c>
      <c r="D349" s="66">
        <v>3.707</v>
      </c>
      <c r="E349" s="66" t="s">
        <v>221</v>
      </c>
    </row>
    <row r="350">
      <c r="A350" s="66">
        <v>2004.0</v>
      </c>
      <c r="B350" s="83">
        <v>45185.0</v>
      </c>
      <c r="D350" s="66">
        <v>3.325</v>
      </c>
      <c r="E350" s="66" t="s">
        <v>221</v>
      </c>
    </row>
    <row r="351">
      <c r="A351" s="66">
        <v>2004.0</v>
      </c>
      <c r="B351" s="83">
        <v>45185.0</v>
      </c>
      <c r="D351" s="66">
        <v>3.739</v>
      </c>
      <c r="E351" s="66" t="s">
        <v>221</v>
      </c>
    </row>
    <row r="352">
      <c r="A352" s="66">
        <v>2007.0</v>
      </c>
      <c r="B352" s="83">
        <v>45185.0</v>
      </c>
      <c r="D352" s="66">
        <v>3.512</v>
      </c>
      <c r="E352" s="66" t="s">
        <v>221</v>
      </c>
    </row>
    <row r="353">
      <c r="A353" s="66">
        <v>2007.0</v>
      </c>
      <c r="B353" s="83">
        <v>45185.0</v>
      </c>
      <c r="D353" s="66">
        <v>3.331</v>
      </c>
      <c r="E353" s="66" t="s">
        <v>221</v>
      </c>
    </row>
    <row r="354">
      <c r="A354" s="66">
        <v>2012.0</v>
      </c>
      <c r="B354" s="83">
        <v>45185.0</v>
      </c>
      <c r="D354" s="66">
        <v>4.242</v>
      </c>
      <c r="E354" s="66" t="s">
        <v>221</v>
      </c>
    </row>
    <row r="355">
      <c r="A355" s="66">
        <v>2012.0</v>
      </c>
      <c r="B355" s="83">
        <v>45185.0</v>
      </c>
      <c r="D355" s="66">
        <v>4.105</v>
      </c>
      <c r="E355" s="66" t="s">
        <v>221</v>
      </c>
    </row>
    <row r="356">
      <c r="A356" s="66">
        <v>1478.0</v>
      </c>
      <c r="B356" s="83">
        <v>45185.0</v>
      </c>
      <c r="D356" s="66">
        <v>4.371</v>
      </c>
      <c r="E356" s="66" t="s">
        <v>221</v>
      </c>
    </row>
    <row r="357">
      <c r="A357" s="66">
        <v>1478.0</v>
      </c>
      <c r="B357" s="83">
        <v>45185.0</v>
      </c>
      <c r="D357" s="66">
        <v>3.742</v>
      </c>
      <c r="E357" s="66" t="s">
        <v>221</v>
      </c>
    </row>
    <row r="358">
      <c r="A358" s="66">
        <v>1478.0</v>
      </c>
      <c r="B358" s="83">
        <v>45185.0</v>
      </c>
      <c r="D358" s="66">
        <v>4.106</v>
      </c>
      <c r="E358" s="66" t="s">
        <v>221</v>
      </c>
    </row>
    <row r="359">
      <c r="A359" s="66">
        <v>2014.0</v>
      </c>
      <c r="B359" s="83">
        <v>45185.0</v>
      </c>
      <c r="D359" s="66">
        <v>3.478</v>
      </c>
      <c r="E359" s="66" t="s">
        <v>221</v>
      </c>
    </row>
    <row r="360">
      <c r="A360" s="66">
        <v>2014.0</v>
      </c>
      <c r="B360" s="83">
        <v>45185.0</v>
      </c>
      <c r="D360" s="66">
        <v>3.693</v>
      </c>
      <c r="E360" s="66" t="s">
        <v>221</v>
      </c>
    </row>
    <row r="361">
      <c r="A361" s="66">
        <v>2014.0</v>
      </c>
      <c r="B361" s="83">
        <v>45185.0</v>
      </c>
      <c r="D361" s="66">
        <v>3.747</v>
      </c>
      <c r="E361" s="66" t="s">
        <v>221</v>
      </c>
    </row>
    <row r="362">
      <c r="A362" s="66">
        <v>2026.0</v>
      </c>
      <c r="B362" s="83">
        <v>45185.0</v>
      </c>
      <c r="D362" s="66">
        <v>4.137</v>
      </c>
      <c r="E362" s="66" t="s">
        <v>221</v>
      </c>
      <c r="F362" s="66" t="s">
        <v>498</v>
      </c>
    </row>
    <row r="363">
      <c r="A363" s="66">
        <v>2026.0</v>
      </c>
      <c r="B363" s="83">
        <v>45185.0</v>
      </c>
      <c r="D363" s="66">
        <v>4.241</v>
      </c>
      <c r="E363" s="66" t="s">
        <v>221</v>
      </c>
      <c r="F363" s="66" t="s">
        <v>498</v>
      </c>
    </row>
    <row r="364">
      <c r="A364" s="66">
        <v>2347.0</v>
      </c>
      <c r="B364" s="83">
        <v>45185.0</v>
      </c>
      <c r="D364" s="66">
        <v>3.426</v>
      </c>
      <c r="E364" s="66" t="s">
        <v>221</v>
      </c>
    </row>
    <row r="365">
      <c r="A365" s="66">
        <v>2347.0</v>
      </c>
      <c r="B365" s="83">
        <v>45185.0</v>
      </c>
      <c r="D365" s="66">
        <v>3.679</v>
      </c>
      <c r="E365" s="66" t="s">
        <v>221</v>
      </c>
    </row>
    <row r="366">
      <c r="A366" s="66">
        <v>2301.0</v>
      </c>
      <c r="B366" s="83">
        <v>45185.0</v>
      </c>
      <c r="D366" s="66">
        <v>5.545</v>
      </c>
      <c r="E366" s="66" t="s">
        <v>221</v>
      </c>
    </row>
    <row r="367">
      <c r="A367" s="66">
        <v>2301.0</v>
      </c>
      <c r="B367" s="83">
        <v>45185.0</v>
      </c>
      <c r="D367" s="66">
        <v>4.347</v>
      </c>
      <c r="E367" s="66" t="s">
        <v>221</v>
      </c>
    </row>
    <row r="368">
      <c r="A368" s="66">
        <v>2031.0</v>
      </c>
      <c r="B368" s="83">
        <v>45185.0</v>
      </c>
      <c r="D368" s="66">
        <v>3.256</v>
      </c>
      <c r="E368" s="66" t="s">
        <v>221</v>
      </c>
    </row>
    <row r="369">
      <c r="A369" s="66">
        <v>2031.0</v>
      </c>
      <c r="B369" s="83">
        <v>45185.0</v>
      </c>
      <c r="D369" s="66">
        <v>3.921</v>
      </c>
      <c r="E369" s="66" t="s">
        <v>221</v>
      </c>
    </row>
    <row r="370">
      <c r="A370" s="66">
        <v>2031.0</v>
      </c>
      <c r="B370" s="83">
        <v>45185.0</v>
      </c>
      <c r="D370" s="66">
        <v>3.418</v>
      </c>
      <c r="E370" s="66" t="s">
        <v>221</v>
      </c>
    </row>
    <row r="371">
      <c r="A371" s="66">
        <v>2372.0</v>
      </c>
      <c r="B371" s="83">
        <v>45185.0</v>
      </c>
      <c r="D371" s="66">
        <v>4.069</v>
      </c>
      <c r="E371" s="66" t="s">
        <v>221</v>
      </c>
    </row>
    <row r="372">
      <c r="A372" s="66">
        <v>2372.0</v>
      </c>
      <c r="B372" s="83">
        <v>45185.0</v>
      </c>
      <c r="D372" s="66">
        <v>2.997</v>
      </c>
      <c r="E372" s="66" t="s">
        <v>221</v>
      </c>
    </row>
    <row r="373">
      <c r="A373" s="66">
        <v>2345.0</v>
      </c>
      <c r="B373" s="83">
        <v>45185.0</v>
      </c>
      <c r="D373" s="66">
        <v>3.614</v>
      </c>
      <c r="E373" s="66" t="s">
        <v>221</v>
      </c>
    </row>
    <row r="374">
      <c r="A374" s="66">
        <v>2345.0</v>
      </c>
      <c r="B374" s="83">
        <v>45185.0</v>
      </c>
      <c r="D374" s="66">
        <v>3.642</v>
      </c>
      <c r="E374" s="66" t="s">
        <v>221</v>
      </c>
    </row>
    <row r="375">
      <c r="A375" s="66">
        <v>2345.0</v>
      </c>
      <c r="B375" s="83">
        <v>45185.0</v>
      </c>
      <c r="D375" s="66">
        <v>3.285</v>
      </c>
      <c r="E375" s="66" t="s">
        <v>221</v>
      </c>
    </row>
    <row r="376">
      <c r="A376" s="66">
        <v>2354.0</v>
      </c>
      <c r="B376" s="83">
        <v>45185.0</v>
      </c>
      <c r="D376" s="66">
        <v>4.501</v>
      </c>
      <c r="E376" s="66" t="s">
        <v>221</v>
      </c>
    </row>
    <row r="377">
      <c r="A377" s="66">
        <v>2354.0</v>
      </c>
      <c r="B377" s="83">
        <v>45185.0</v>
      </c>
      <c r="D377" s="66">
        <v>4.365</v>
      </c>
      <c r="E377" s="66" t="s">
        <v>221</v>
      </c>
    </row>
    <row r="378">
      <c r="A378" s="66">
        <v>2365.0</v>
      </c>
      <c r="B378" s="83">
        <v>45185.0</v>
      </c>
      <c r="D378" s="66">
        <v>4.251</v>
      </c>
      <c r="E378" s="66" t="s">
        <v>221</v>
      </c>
    </row>
    <row r="379">
      <c r="A379" s="66">
        <v>2365.0</v>
      </c>
      <c r="B379" s="83">
        <v>45185.0</v>
      </c>
      <c r="D379" s="66">
        <v>4.365</v>
      </c>
      <c r="E379" s="66" t="s">
        <v>221</v>
      </c>
    </row>
    <row r="380">
      <c r="A380" s="66">
        <v>2343.0</v>
      </c>
      <c r="B380" s="83">
        <v>45185.0</v>
      </c>
      <c r="D380" s="66">
        <v>3.022</v>
      </c>
      <c r="E380" s="66" t="s">
        <v>221</v>
      </c>
    </row>
    <row r="381">
      <c r="A381" s="66">
        <v>2343.0</v>
      </c>
      <c r="B381" s="83">
        <v>45185.0</v>
      </c>
      <c r="D381" s="66">
        <v>2.956</v>
      </c>
      <c r="E381" s="66" t="s">
        <v>221</v>
      </c>
    </row>
    <row r="382">
      <c r="A382" s="66">
        <v>2029.0</v>
      </c>
      <c r="B382" s="83">
        <v>45185.0</v>
      </c>
      <c r="D382" s="66">
        <v>3.11</v>
      </c>
      <c r="E382" s="66" t="s">
        <v>221</v>
      </c>
    </row>
    <row r="383">
      <c r="A383" s="66">
        <v>2029.0</v>
      </c>
      <c r="B383" s="83">
        <v>45185.0</v>
      </c>
      <c r="D383" s="66">
        <v>3.103</v>
      </c>
      <c r="E383" s="66" t="s">
        <v>221</v>
      </c>
    </row>
    <row r="384">
      <c r="A384" s="66">
        <v>2376.0</v>
      </c>
      <c r="B384" s="83">
        <v>45185.0</v>
      </c>
      <c r="D384" s="66">
        <v>3.09</v>
      </c>
      <c r="E384" s="66" t="s">
        <v>221</v>
      </c>
    </row>
    <row r="385">
      <c r="A385" s="66">
        <v>2376.0</v>
      </c>
      <c r="B385" s="83">
        <v>45185.0</v>
      </c>
      <c r="D385" s="66">
        <v>3.08</v>
      </c>
      <c r="E385" s="66" t="s">
        <v>221</v>
      </c>
    </row>
  </sheetData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9" t="s">
        <v>168</v>
      </c>
      <c r="B1" s="168" t="s">
        <v>179</v>
      </c>
      <c r="C1" s="79" t="s">
        <v>212</v>
      </c>
      <c r="D1" s="79" t="s">
        <v>499</v>
      </c>
      <c r="E1" s="79" t="s">
        <v>500</v>
      </c>
      <c r="F1" s="79" t="s">
        <v>45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66">
        <v>2343.0</v>
      </c>
      <c r="B2" s="169">
        <v>44820.0</v>
      </c>
      <c r="C2" s="66" t="s">
        <v>221</v>
      </c>
      <c r="D2" s="66">
        <v>1.3154</v>
      </c>
      <c r="E2" s="66">
        <v>0.8092</v>
      </c>
    </row>
    <row r="3">
      <c r="A3" s="66">
        <v>2367.0</v>
      </c>
      <c r="B3" s="169">
        <v>44820.0</v>
      </c>
      <c r="C3" s="66" t="s">
        <v>221</v>
      </c>
      <c r="D3" s="66">
        <v>0.4703</v>
      </c>
      <c r="E3" s="66">
        <v>0.2873</v>
      </c>
      <c r="F3" s="66" t="s">
        <v>501</v>
      </c>
    </row>
    <row r="4">
      <c r="A4" s="66" t="s">
        <v>502</v>
      </c>
      <c r="B4" s="169">
        <v>44820.0</v>
      </c>
      <c r="C4" s="66" t="s">
        <v>221</v>
      </c>
      <c r="D4" s="66">
        <v>2.7774</v>
      </c>
      <c r="E4" s="66">
        <v>1.932</v>
      </c>
    </row>
    <row r="5">
      <c r="A5" s="66" t="s">
        <v>503</v>
      </c>
      <c r="B5" s="169">
        <v>44820.0</v>
      </c>
      <c r="C5" s="66" t="s">
        <v>221</v>
      </c>
      <c r="D5" s="66">
        <v>0.6416</v>
      </c>
      <c r="E5" s="66">
        <v>0.4794</v>
      </c>
    </row>
    <row r="6">
      <c r="A6" s="66">
        <v>2029.0</v>
      </c>
      <c r="B6" s="169">
        <v>44820.0</v>
      </c>
      <c r="C6" s="66" t="s">
        <v>221</v>
      </c>
      <c r="D6" s="66">
        <v>2.0119</v>
      </c>
      <c r="E6" s="66">
        <v>1.2604</v>
      </c>
    </row>
    <row r="7">
      <c r="A7" s="66">
        <v>2023.0</v>
      </c>
      <c r="B7" s="169">
        <v>44820.0</v>
      </c>
      <c r="C7" s="66" t="s">
        <v>221</v>
      </c>
      <c r="D7" s="66">
        <v>3.339</v>
      </c>
      <c r="E7" s="66">
        <v>2.0419</v>
      </c>
    </row>
    <row r="8">
      <c r="A8" s="66">
        <v>2346.0</v>
      </c>
      <c r="B8" s="169">
        <v>44820.0</v>
      </c>
      <c r="C8" s="66" t="s">
        <v>221</v>
      </c>
      <c r="D8" s="66">
        <v>0.5851</v>
      </c>
      <c r="E8" s="66">
        <v>0.3811</v>
      </c>
    </row>
    <row r="9">
      <c r="A9" s="66">
        <v>2030.0</v>
      </c>
      <c r="B9" s="169">
        <v>44820.0</v>
      </c>
      <c r="C9" s="66" t="s">
        <v>221</v>
      </c>
      <c r="D9" s="66">
        <v>1.7655</v>
      </c>
      <c r="E9" s="66">
        <v>1.1222</v>
      </c>
    </row>
    <row r="10">
      <c r="A10" s="66">
        <v>2009.0</v>
      </c>
      <c r="B10" s="169">
        <v>44820.0</v>
      </c>
      <c r="C10" s="66" t="s">
        <v>221</v>
      </c>
      <c r="D10" s="66">
        <v>0.8324</v>
      </c>
      <c r="E10" s="66">
        <v>0.5535</v>
      </c>
    </row>
    <row r="11">
      <c r="A11" s="66">
        <v>2022.0</v>
      </c>
      <c r="B11" s="169">
        <v>44820.0</v>
      </c>
      <c r="C11" s="66" t="s">
        <v>221</v>
      </c>
      <c r="D11" s="66">
        <v>2.0825</v>
      </c>
      <c r="E11" s="66">
        <v>1.3209</v>
      </c>
    </row>
    <row r="12">
      <c r="A12" s="66">
        <v>2376.0</v>
      </c>
      <c r="B12" s="169">
        <v>44820.0</v>
      </c>
      <c r="C12" s="66" t="s">
        <v>221</v>
      </c>
      <c r="D12" s="66">
        <v>1.574</v>
      </c>
      <c r="E12" s="66">
        <v>1.0273</v>
      </c>
    </row>
    <row r="13">
      <c r="A13" s="66">
        <v>2021.0</v>
      </c>
      <c r="B13" s="169">
        <v>44820.0</v>
      </c>
      <c r="C13" s="66" t="s">
        <v>221</v>
      </c>
      <c r="D13" s="66">
        <v>0.8424</v>
      </c>
      <c r="E13" s="66">
        <v>0.5346</v>
      </c>
    </row>
    <row r="14">
      <c r="A14" s="66">
        <v>2028.0</v>
      </c>
      <c r="B14" s="169">
        <v>44820.0</v>
      </c>
      <c r="C14" s="66" t="s">
        <v>221</v>
      </c>
      <c r="D14" s="66">
        <v>0.6814</v>
      </c>
      <c r="E14" s="66">
        <v>0.4371</v>
      </c>
    </row>
    <row r="15">
      <c r="A15" s="66">
        <v>2365.0</v>
      </c>
      <c r="B15" s="169">
        <v>44820.0</v>
      </c>
      <c r="C15" s="66" t="s">
        <v>221</v>
      </c>
      <c r="D15" s="66">
        <v>0.5247</v>
      </c>
      <c r="E15" s="66">
        <v>0.3418</v>
      </c>
    </row>
    <row r="16">
      <c r="A16" s="66">
        <v>2042.0</v>
      </c>
      <c r="B16" s="169">
        <v>44839.0</v>
      </c>
      <c r="C16" s="66" t="s">
        <v>221</v>
      </c>
      <c r="D16" s="66">
        <v>1.6377</v>
      </c>
      <c r="E16" s="66">
        <v>0.9956</v>
      </c>
      <c r="F16" s="66" t="s">
        <v>195</v>
      </c>
    </row>
    <row r="17">
      <c r="A17" s="66">
        <v>2044.0</v>
      </c>
      <c r="B17" s="169">
        <v>44839.0</v>
      </c>
      <c r="C17" s="66" t="s">
        <v>221</v>
      </c>
      <c r="D17" s="66">
        <v>1.117</v>
      </c>
      <c r="E17" s="66">
        <v>9.677</v>
      </c>
      <c r="F17" s="66" t="s">
        <v>195</v>
      </c>
    </row>
    <row r="18">
      <c r="A18" s="66">
        <v>2050.0</v>
      </c>
      <c r="B18" s="169">
        <v>44839.0</v>
      </c>
      <c r="C18" s="66" t="s">
        <v>221</v>
      </c>
      <c r="D18" s="66">
        <v>1.521</v>
      </c>
      <c r="E18" s="66">
        <v>0.8817</v>
      </c>
      <c r="F18" s="66" t="s">
        <v>195</v>
      </c>
    </row>
    <row r="19">
      <c r="A19" s="66">
        <v>2051.0</v>
      </c>
      <c r="B19" s="169">
        <v>44839.0</v>
      </c>
      <c r="C19" s="66" t="s">
        <v>221</v>
      </c>
      <c r="D19" s="66">
        <v>1.5658</v>
      </c>
      <c r="E19" s="66">
        <v>0.9136</v>
      </c>
      <c r="F19" s="66" t="s">
        <v>195</v>
      </c>
    </row>
    <row r="20">
      <c r="A20" s="66">
        <v>2052.0</v>
      </c>
      <c r="B20" s="169">
        <v>44839.0</v>
      </c>
      <c r="C20" s="66" t="s">
        <v>221</v>
      </c>
      <c r="D20" s="66">
        <v>1.199</v>
      </c>
      <c r="E20" s="66">
        <v>0.7057</v>
      </c>
      <c r="F20" s="66" t="s">
        <v>195</v>
      </c>
    </row>
    <row r="21">
      <c r="A21" s="66">
        <v>2041.0</v>
      </c>
      <c r="B21" s="169">
        <v>44839.0</v>
      </c>
      <c r="C21" s="66" t="s">
        <v>221</v>
      </c>
      <c r="D21" s="66">
        <v>0.9149</v>
      </c>
      <c r="E21" s="66">
        <v>0.5277</v>
      </c>
      <c r="F21" s="66" t="s">
        <v>195</v>
      </c>
    </row>
    <row r="22">
      <c r="A22" s="66">
        <v>2046.0</v>
      </c>
      <c r="B22" s="169">
        <v>44839.0</v>
      </c>
      <c r="C22" s="66" t="s">
        <v>221</v>
      </c>
      <c r="D22" s="66">
        <v>2.1817</v>
      </c>
      <c r="E22" s="66">
        <v>1.2856</v>
      </c>
      <c r="F22" s="66" t="s">
        <v>195</v>
      </c>
    </row>
    <row r="23">
      <c r="A23" s="66">
        <v>2045.0</v>
      </c>
      <c r="B23" s="169">
        <v>44839.0</v>
      </c>
      <c r="C23" s="66" t="s">
        <v>221</v>
      </c>
      <c r="D23" s="66">
        <v>1.2105</v>
      </c>
      <c r="E23" s="66">
        <v>0.6924</v>
      </c>
      <c r="F23" s="66" t="s">
        <v>195</v>
      </c>
    </row>
    <row r="24">
      <c r="A24" s="66">
        <v>2047.0</v>
      </c>
      <c r="B24" s="169">
        <v>44839.0</v>
      </c>
      <c r="C24" s="66" t="s">
        <v>221</v>
      </c>
      <c r="D24" s="66">
        <v>1.9349</v>
      </c>
      <c r="E24" s="66">
        <v>1.093</v>
      </c>
      <c r="F24" s="66" t="s">
        <v>195</v>
      </c>
    </row>
    <row r="25">
      <c r="A25" s="66">
        <v>2040.0</v>
      </c>
      <c r="B25" s="169">
        <v>44839.0</v>
      </c>
      <c r="C25" s="66" t="s">
        <v>221</v>
      </c>
      <c r="D25" s="66">
        <v>0.6157</v>
      </c>
      <c r="E25" s="66">
        <v>0.3593</v>
      </c>
      <c r="F25" s="66" t="s">
        <v>195</v>
      </c>
    </row>
    <row r="26">
      <c r="A26" s="66">
        <v>2043.0</v>
      </c>
      <c r="B26" s="169">
        <v>44839.0</v>
      </c>
      <c r="C26" s="66" t="s">
        <v>221</v>
      </c>
      <c r="D26" s="66">
        <v>1.7043</v>
      </c>
      <c r="E26" s="66">
        <v>1.0752</v>
      </c>
      <c r="F26" s="66" t="s">
        <v>195</v>
      </c>
    </row>
    <row r="27">
      <c r="A27" s="66">
        <v>2048.0</v>
      </c>
      <c r="B27" s="169">
        <v>44839.0</v>
      </c>
      <c r="C27" s="66" t="s">
        <v>221</v>
      </c>
      <c r="D27" s="66">
        <v>1.7581</v>
      </c>
      <c r="E27" s="66">
        <v>0.9927</v>
      </c>
      <c r="F27" s="66" t="s">
        <v>195</v>
      </c>
    </row>
    <row r="28">
      <c r="A28" s="66">
        <v>2049.0</v>
      </c>
      <c r="B28" s="169">
        <v>44839.0</v>
      </c>
      <c r="C28" s="66" t="s">
        <v>221</v>
      </c>
      <c r="D28" s="66">
        <v>1.1551</v>
      </c>
      <c r="E28" s="66">
        <v>0.727</v>
      </c>
      <c r="F28" s="66" t="s">
        <v>195</v>
      </c>
    </row>
    <row r="29">
      <c r="A29" s="66" t="s">
        <v>504</v>
      </c>
      <c r="B29" s="169">
        <v>44816.0</v>
      </c>
      <c r="C29" s="66" t="s">
        <v>226</v>
      </c>
      <c r="D29" s="66">
        <v>3.814</v>
      </c>
      <c r="E29" s="66">
        <v>1.8783</v>
      </c>
      <c r="F29" s="66" t="s">
        <v>505</v>
      </c>
    </row>
    <row r="30">
      <c r="A30" s="66" t="s">
        <v>164</v>
      </c>
      <c r="B30" s="169">
        <v>44816.0</v>
      </c>
      <c r="C30" s="66" t="s">
        <v>226</v>
      </c>
      <c r="D30" s="66">
        <v>1.2877</v>
      </c>
      <c r="E30" s="66">
        <v>0.7575</v>
      </c>
      <c r="F30" s="66" t="s">
        <v>506</v>
      </c>
    </row>
    <row r="31">
      <c r="A31" s="66" t="s">
        <v>507</v>
      </c>
      <c r="B31" s="169">
        <v>44816.0</v>
      </c>
      <c r="C31" s="66" t="s">
        <v>226</v>
      </c>
      <c r="D31" s="66">
        <v>5.0964</v>
      </c>
      <c r="E31" s="66">
        <v>2.6401</v>
      </c>
      <c r="F31" s="66" t="s">
        <v>506</v>
      </c>
    </row>
    <row r="32">
      <c r="A32" s="66">
        <v>2343.0</v>
      </c>
      <c r="B32" s="169">
        <v>44816.0</v>
      </c>
      <c r="C32" s="66" t="s">
        <v>226</v>
      </c>
      <c r="D32" s="66">
        <v>2.2458</v>
      </c>
      <c r="E32" s="66">
        <v>1.2874</v>
      </c>
    </row>
    <row r="33">
      <c r="A33" s="66">
        <v>2380.0</v>
      </c>
      <c r="B33" s="169">
        <v>44816.0</v>
      </c>
      <c r="C33" s="66" t="s">
        <v>226</v>
      </c>
      <c r="E33" s="66">
        <v>1.1759</v>
      </c>
      <c r="F33" s="66" t="s">
        <v>508</v>
      </c>
    </row>
    <row r="34">
      <c r="A34" s="66">
        <v>2365.0</v>
      </c>
      <c r="B34" s="169">
        <v>44791.0</v>
      </c>
      <c r="C34" s="66" t="s">
        <v>226</v>
      </c>
      <c r="D34" s="66">
        <v>0.97</v>
      </c>
      <c r="E34" s="66">
        <v>0.6113</v>
      </c>
      <c r="F34" s="66" t="s">
        <v>509</v>
      </c>
    </row>
    <row r="35">
      <c r="A35" s="66">
        <v>2331.0</v>
      </c>
      <c r="B35" s="169">
        <v>44816.0</v>
      </c>
      <c r="C35" s="66" t="s">
        <v>226</v>
      </c>
      <c r="D35" s="66">
        <v>3.9944</v>
      </c>
      <c r="E35" s="66">
        <v>2.54</v>
      </c>
    </row>
    <row r="36">
      <c r="A36" s="66">
        <v>2021.0</v>
      </c>
      <c r="B36" s="169">
        <v>44816.0</v>
      </c>
      <c r="C36" s="66" t="s">
        <v>226</v>
      </c>
      <c r="D36" s="66">
        <v>4.2718</v>
      </c>
      <c r="E36" s="66">
        <v>2.5208</v>
      </c>
    </row>
    <row r="37">
      <c r="A37" s="66">
        <v>2376.0</v>
      </c>
      <c r="B37" s="169">
        <v>44816.0</v>
      </c>
      <c r="C37" s="66" t="s">
        <v>226</v>
      </c>
      <c r="D37" s="66">
        <v>2.9082</v>
      </c>
      <c r="E37" s="66">
        <v>1.8557</v>
      </c>
    </row>
    <row r="38">
      <c r="A38" s="66">
        <v>2030.0</v>
      </c>
      <c r="B38" s="169">
        <v>44816.0</v>
      </c>
      <c r="C38" s="66" t="s">
        <v>226</v>
      </c>
      <c r="D38" s="66">
        <v>3.0652</v>
      </c>
      <c r="E38" s="66">
        <v>1.9901</v>
      </c>
    </row>
    <row r="39">
      <c r="A39" s="66">
        <v>2345.0</v>
      </c>
      <c r="B39" s="169">
        <v>44816.0</v>
      </c>
      <c r="C39" s="66" t="s">
        <v>226</v>
      </c>
      <c r="D39" s="66">
        <v>3.3317</v>
      </c>
      <c r="E39" s="66">
        <v>1.9504</v>
      </c>
    </row>
    <row r="40">
      <c r="A40" s="66">
        <v>2029.0</v>
      </c>
      <c r="B40" s="169">
        <v>44816.0</v>
      </c>
      <c r="C40" s="66" t="s">
        <v>226</v>
      </c>
      <c r="D40" s="66">
        <v>3.8156</v>
      </c>
      <c r="E40" s="66">
        <v>2.3234</v>
      </c>
    </row>
    <row r="41">
      <c r="A41" s="66">
        <v>2360.0</v>
      </c>
      <c r="B41" s="169">
        <v>44791.0</v>
      </c>
      <c r="C41" s="66" t="s">
        <v>226</v>
      </c>
      <c r="D41" s="66">
        <v>0.54</v>
      </c>
      <c r="E41" s="66">
        <v>0.3188</v>
      </c>
      <c r="F41" s="66" t="s">
        <v>510</v>
      </c>
    </row>
    <row r="42">
      <c r="A42" s="66">
        <v>2369.0</v>
      </c>
      <c r="B42" s="169">
        <v>44791.0</v>
      </c>
      <c r="C42" s="66" t="s">
        <v>226</v>
      </c>
      <c r="D42" s="66">
        <v>0.84</v>
      </c>
      <c r="E42" s="66">
        <v>0.5555</v>
      </c>
      <c r="F42" s="66" t="s">
        <v>510</v>
      </c>
    </row>
    <row r="43">
      <c r="A43" s="66">
        <v>2011.0</v>
      </c>
      <c r="B43" s="169">
        <v>44791.0</v>
      </c>
      <c r="C43" s="66" t="s">
        <v>226</v>
      </c>
      <c r="D43" s="66">
        <v>0.86</v>
      </c>
      <c r="E43" s="66">
        <v>0.5538</v>
      </c>
      <c r="F43" s="66" t="s">
        <v>510</v>
      </c>
    </row>
    <row r="44">
      <c r="A44" s="66">
        <v>2370.0</v>
      </c>
      <c r="B44" s="169">
        <v>44791.0</v>
      </c>
      <c r="C44" s="66" t="s">
        <v>226</v>
      </c>
      <c r="D44" s="66">
        <v>1.23</v>
      </c>
      <c r="E44" s="66">
        <v>0.7653</v>
      </c>
      <c r="F44" s="66" t="s">
        <v>510</v>
      </c>
    </row>
    <row r="45">
      <c r="A45" s="66">
        <v>2330.0</v>
      </c>
      <c r="B45" s="169">
        <v>44791.0</v>
      </c>
      <c r="C45" s="66" t="s">
        <v>226</v>
      </c>
      <c r="D45" s="66">
        <v>1.53</v>
      </c>
      <c r="E45" s="66">
        <v>1.0441</v>
      </c>
      <c r="F45" s="66" t="s">
        <v>510</v>
      </c>
    </row>
    <row r="46">
      <c r="A46" s="66">
        <v>2088.0</v>
      </c>
      <c r="B46" s="169">
        <v>44820.0</v>
      </c>
      <c r="C46" s="66" t="s">
        <v>226</v>
      </c>
      <c r="D46" s="66">
        <v>0.7186</v>
      </c>
      <c r="E46" s="66">
        <v>0.4325</v>
      </c>
    </row>
    <row r="47">
      <c r="A47" s="66">
        <v>2091.0</v>
      </c>
      <c r="B47" s="169">
        <v>44820.0</v>
      </c>
      <c r="C47" s="66" t="s">
        <v>226</v>
      </c>
      <c r="D47" s="66">
        <v>1.7381</v>
      </c>
      <c r="E47" s="66">
        <v>1.0497</v>
      </c>
    </row>
    <row r="48">
      <c r="A48" s="66">
        <v>2087.0</v>
      </c>
      <c r="B48" s="169">
        <v>44820.0</v>
      </c>
      <c r="C48" s="66" t="s">
        <v>226</v>
      </c>
      <c r="D48" s="66">
        <v>1.2279</v>
      </c>
      <c r="E48" s="66">
        <v>0.7291</v>
      </c>
    </row>
    <row r="49">
      <c r="A49" s="66">
        <v>2007.0</v>
      </c>
      <c r="B49" s="169">
        <v>44820.0</v>
      </c>
      <c r="C49" s="66" t="s">
        <v>226</v>
      </c>
      <c r="D49" s="66">
        <v>0.7144</v>
      </c>
      <c r="E49" s="66">
        <v>0.3991</v>
      </c>
    </row>
    <row r="50">
      <c r="A50" s="66">
        <v>2089.0</v>
      </c>
      <c r="B50" s="169">
        <v>44820.0</v>
      </c>
      <c r="C50" s="66" t="s">
        <v>226</v>
      </c>
      <c r="D50" s="66">
        <v>1.9412</v>
      </c>
      <c r="E50" s="66">
        <v>1.2336</v>
      </c>
    </row>
    <row r="51">
      <c r="A51" s="66">
        <v>2092.0</v>
      </c>
      <c r="B51" s="169">
        <v>44820.0</v>
      </c>
      <c r="C51" s="66" t="s">
        <v>226</v>
      </c>
      <c r="D51" s="66">
        <v>2.5857</v>
      </c>
      <c r="E51" s="66">
        <v>1.6404</v>
      </c>
    </row>
    <row r="52">
      <c r="A52" s="66">
        <v>2085.0</v>
      </c>
      <c r="B52" s="169">
        <v>44820.0</v>
      </c>
      <c r="C52" s="66" t="s">
        <v>226</v>
      </c>
      <c r="D52" s="66">
        <v>0.9882</v>
      </c>
      <c r="E52" s="66">
        <v>0.6218</v>
      </c>
    </row>
    <row r="53">
      <c r="A53" s="66">
        <v>2004.0</v>
      </c>
      <c r="B53" s="169">
        <v>44820.0</v>
      </c>
      <c r="C53" s="66" t="s">
        <v>226</v>
      </c>
      <c r="D53" s="66">
        <v>1.0809</v>
      </c>
      <c r="E53" s="66">
        <v>0.6191</v>
      </c>
    </row>
    <row r="54">
      <c r="A54" s="66">
        <v>2090.0</v>
      </c>
      <c r="B54" s="169">
        <v>44820.0</v>
      </c>
      <c r="C54" s="66" t="s">
        <v>226</v>
      </c>
      <c r="D54" s="66">
        <v>1.072</v>
      </c>
      <c r="E54" s="66">
        <v>0.6223</v>
      </c>
    </row>
    <row r="55">
      <c r="A55" s="66">
        <v>2082.0</v>
      </c>
      <c r="B55" s="169">
        <v>44791.0</v>
      </c>
      <c r="C55" s="66" t="s">
        <v>226</v>
      </c>
      <c r="D55" s="66">
        <v>1.98</v>
      </c>
      <c r="E55" s="66">
        <v>1.2468</v>
      </c>
      <c r="F55" s="66" t="s">
        <v>511</v>
      </c>
    </row>
    <row r="56">
      <c r="A56" s="66">
        <v>2371.0</v>
      </c>
      <c r="B56" s="169">
        <v>44791.0</v>
      </c>
      <c r="C56" s="66" t="s">
        <v>226</v>
      </c>
      <c r="D56" s="66">
        <v>1.16</v>
      </c>
      <c r="E56" s="66">
        <v>0.6819</v>
      </c>
      <c r="F56" s="66" t="s">
        <v>511</v>
      </c>
    </row>
    <row r="57">
      <c r="A57" s="66">
        <v>2352.0</v>
      </c>
      <c r="B57" s="169">
        <v>44791.0</v>
      </c>
      <c r="C57" s="66" t="s">
        <v>226</v>
      </c>
      <c r="D57" s="66">
        <v>0.71</v>
      </c>
      <c r="E57" s="66">
        <v>0.472</v>
      </c>
      <c r="F57" s="66" t="s">
        <v>511</v>
      </c>
    </row>
    <row r="58">
      <c r="A58" s="66">
        <v>2384.0</v>
      </c>
      <c r="B58" s="169">
        <v>44791.0</v>
      </c>
      <c r="C58" s="66" t="s">
        <v>226</v>
      </c>
      <c r="D58" s="66">
        <v>1.03</v>
      </c>
      <c r="E58" s="66">
        <v>0.6419</v>
      </c>
      <c r="F58" s="66" t="s">
        <v>511</v>
      </c>
    </row>
    <row r="59">
      <c r="A59" s="66">
        <v>2301.0</v>
      </c>
      <c r="B59" s="169">
        <v>44791.0</v>
      </c>
      <c r="C59" s="66" t="s">
        <v>226</v>
      </c>
      <c r="D59" s="66">
        <v>2.2</v>
      </c>
      <c r="E59" s="66">
        <v>1.3877</v>
      </c>
      <c r="F59" s="66" t="s">
        <v>511</v>
      </c>
    </row>
    <row r="60">
      <c r="A60" s="66">
        <v>2375.0</v>
      </c>
      <c r="B60" s="169">
        <v>44791.0</v>
      </c>
      <c r="C60" s="66" t="s">
        <v>221</v>
      </c>
      <c r="D60" s="66">
        <v>1.6816</v>
      </c>
      <c r="E60" s="66">
        <v>1.0494</v>
      </c>
      <c r="F60" s="66" t="s">
        <v>511</v>
      </c>
    </row>
    <row r="61">
      <c r="A61" s="66">
        <v>2381.0</v>
      </c>
      <c r="B61" s="169">
        <v>44791.0</v>
      </c>
      <c r="C61" s="66" t="s">
        <v>221</v>
      </c>
      <c r="D61" s="66">
        <v>1.1697</v>
      </c>
      <c r="E61" s="66">
        <v>0.7159</v>
      </c>
      <c r="F61" s="66" t="s">
        <v>511</v>
      </c>
    </row>
    <row r="62">
      <c r="A62" s="66">
        <v>2360.0</v>
      </c>
      <c r="B62" s="169">
        <v>44791.0</v>
      </c>
      <c r="C62" s="66" t="s">
        <v>221</v>
      </c>
      <c r="D62" s="66">
        <v>2.0169</v>
      </c>
      <c r="E62" s="66">
        <v>1.2667</v>
      </c>
      <c r="F62" s="66" t="s">
        <v>511</v>
      </c>
    </row>
    <row r="63">
      <c r="A63" s="66">
        <v>2301.0</v>
      </c>
      <c r="B63" s="169">
        <v>44791.0</v>
      </c>
      <c r="C63" s="66" t="s">
        <v>221</v>
      </c>
      <c r="D63" s="66">
        <v>1.8869</v>
      </c>
      <c r="E63" s="66">
        <v>1.2035</v>
      </c>
      <c r="F63" s="66" t="s">
        <v>511</v>
      </c>
    </row>
    <row r="64">
      <c r="A64" s="66">
        <v>2346.0</v>
      </c>
      <c r="B64" s="169">
        <v>44791.0</v>
      </c>
      <c r="C64" s="66" t="s">
        <v>221</v>
      </c>
      <c r="D64" s="66">
        <v>0.8502</v>
      </c>
      <c r="E64" s="66">
        <v>0.5475</v>
      </c>
      <c r="F64" s="66" t="s">
        <v>511</v>
      </c>
    </row>
    <row r="65">
      <c r="A65" s="66">
        <v>2011.0</v>
      </c>
      <c r="B65" s="169">
        <v>44791.0</v>
      </c>
      <c r="C65" s="66" t="s">
        <v>221</v>
      </c>
      <c r="D65" s="66">
        <v>1.2834</v>
      </c>
      <c r="E65" s="66">
        <v>0.8304</v>
      </c>
      <c r="F65" s="66" t="s">
        <v>511</v>
      </c>
    </row>
    <row r="66">
      <c r="A66" s="66">
        <v>2354.0</v>
      </c>
      <c r="B66" s="169">
        <v>44791.0</v>
      </c>
      <c r="C66" s="66" t="s">
        <v>221</v>
      </c>
      <c r="D66" s="66">
        <v>1.6821</v>
      </c>
      <c r="E66" s="66">
        <v>1.0348</v>
      </c>
      <c r="F66" s="66" t="s">
        <v>511</v>
      </c>
    </row>
    <row r="67">
      <c r="A67" s="66">
        <v>2369.0</v>
      </c>
      <c r="B67" s="169">
        <v>44791.0</v>
      </c>
      <c r="C67" s="66" t="s">
        <v>221</v>
      </c>
      <c r="D67" s="66">
        <v>1.201</v>
      </c>
      <c r="E67" s="66">
        <v>0.7698</v>
      </c>
      <c r="F67" s="66" t="s">
        <v>511</v>
      </c>
    </row>
    <row r="68">
      <c r="A68" s="66">
        <v>2370.0</v>
      </c>
      <c r="B68" s="169">
        <v>44791.0</v>
      </c>
      <c r="C68" s="66" t="s">
        <v>221</v>
      </c>
      <c r="D68" s="66">
        <v>0.9455</v>
      </c>
      <c r="E68" s="66">
        <v>0.6056</v>
      </c>
      <c r="F68" s="66" t="s">
        <v>511</v>
      </c>
    </row>
    <row r="69">
      <c r="A69" s="66">
        <v>2380.0</v>
      </c>
      <c r="B69" s="169">
        <v>44791.0</v>
      </c>
      <c r="C69" s="66" t="s">
        <v>221</v>
      </c>
      <c r="D69" s="66">
        <v>1.2698</v>
      </c>
      <c r="E69" s="66">
        <v>0.8544</v>
      </c>
      <c r="F69" s="66" t="s">
        <v>511</v>
      </c>
    </row>
    <row r="70">
      <c r="A70" s="66">
        <v>2376.0</v>
      </c>
      <c r="B70" s="169">
        <v>44791.0</v>
      </c>
      <c r="C70" s="66" t="s">
        <v>221</v>
      </c>
      <c r="D70" s="66">
        <v>3.3304</v>
      </c>
      <c r="E70" s="66">
        <v>2.1501</v>
      </c>
      <c r="F70" s="66" t="s">
        <v>511</v>
      </c>
    </row>
    <row r="71">
      <c r="A71" s="66">
        <v>2365.0</v>
      </c>
      <c r="B71" s="169">
        <v>44791.0</v>
      </c>
      <c r="C71" s="66" t="s">
        <v>226</v>
      </c>
      <c r="D71" s="66">
        <v>0.97</v>
      </c>
      <c r="E71" s="66">
        <v>0.6113</v>
      </c>
      <c r="F71" s="66" t="s">
        <v>511</v>
      </c>
    </row>
    <row r="72">
      <c r="A72" s="66">
        <v>2383.0</v>
      </c>
      <c r="B72" s="169">
        <v>44791.0</v>
      </c>
      <c r="C72" s="66" t="s">
        <v>221</v>
      </c>
      <c r="D72" s="66">
        <v>1.902</v>
      </c>
      <c r="E72" s="66">
        <v>1.2174</v>
      </c>
      <c r="F72" s="66" t="s">
        <v>511</v>
      </c>
    </row>
    <row r="73">
      <c r="A73" s="66">
        <v>2009.0</v>
      </c>
      <c r="B73" s="169">
        <v>44791.0</v>
      </c>
      <c r="C73" s="66" t="s">
        <v>221</v>
      </c>
      <c r="D73" s="66">
        <v>1.4513</v>
      </c>
      <c r="E73" s="66">
        <v>0.912</v>
      </c>
      <c r="F73" s="66" t="s">
        <v>511</v>
      </c>
    </row>
    <row r="74">
      <c r="A74" s="66">
        <v>2345.0</v>
      </c>
      <c r="B74" s="169">
        <v>44791.0</v>
      </c>
      <c r="C74" s="66" t="s">
        <v>221</v>
      </c>
      <c r="D74" s="66">
        <v>1.1583</v>
      </c>
      <c r="E74" s="66">
        <v>0.734</v>
      </c>
      <c r="F74" s="66" t="s">
        <v>511</v>
      </c>
    </row>
    <row r="75">
      <c r="A75" s="66">
        <v>2365.0</v>
      </c>
      <c r="B75" s="169">
        <v>44791.0</v>
      </c>
      <c r="C75" s="66" t="s">
        <v>221</v>
      </c>
      <c r="D75" s="66">
        <v>0.6135</v>
      </c>
      <c r="E75" s="66">
        <v>0.4</v>
      </c>
      <c r="F75" s="66" t="s">
        <v>511</v>
      </c>
    </row>
    <row r="76">
      <c r="A76" s="66">
        <v>2377.0</v>
      </c>
      <c r="B76" s="169">
        <v>44791.0</v>
      </c>
      <c r="C76" s="66" t="s">
        <v>221</v>
      </c>
      <c r="D76" s="66">
        <v>0.8438</v>
      </c>
      <c r="E76" s="66">
        <v>0.5927</v>
      </c>
      <c r="F76" s="66" t="s">
        <v>511</v>
      </c>
    </row>
    <row r="77">
      <c r="A77" s="89">
        <v>2031.0</v>
      </c>
      <c r="B77" s="90">
        <v>44816.0</v>
      </c>
      <c r="C77" s="88" t="s">
        <v>226</v>
      </c>
      <c r="D77" s="89">
        <v>0.5012</v>
      </c>
      <c r="E77" s="89">
        <v>0.3332</v>
      </c>
      <c r="F77" s="88" t="s">
        <v>512</v>
      </c>
    </row>
    <row r="78">
      <c r="A78" s="89">
        <v>2026.0</v>
      </c>
      <c r="B78" s="90">
        <v>44816.0</v>
      </c>
      <c r="C78" s="88" t="s">
        <v>226</v>
      </c>
      <c r="D78" s="89">
        <v>2.6288</v>
      </c>
      <c r="E78" s="89">
        <v>1.7419</v>
      </c>
      <c r="F78" s="88" t="s">
        <v>512</v>
      </c>
    </row>
    <row r="79">
      <c r="A79" s="89">
        <v>2346.0</v>
      </c>
      <c r="B79" s="90">
        <v>44816.0</v>
      </c>
      <c r="C79" s="88" t="s">
        <v>226</v>
      </c>
      <c r="D79" s="89">
        <v>1.5746</v>
      </c>
      <c r="E79" s="89">
        <v>0.8162</v>
      </c>
      <c r="F79" s="88"/>
    </row>
    <row r="80">
      <c r="A80" s="89">
        <v>2379.0</v>
      </c>
      <c r="B80" s="90">
        <v>44816.0</v>
      </c>
      <c r="C80" s="88" t="s">
        <v>226</v>
      </c>
      <c r="D80" s="89">
        <v>1.7069</v>
      </c>
      <c r="E80" s="89">
        <v>0.9971</v>
      </c>
      <c r="F80" s="88"/>
    </row>
    <row r="81">
      <c r="A81" s="89">
        <v>2005.0</v>
      </c>
      <c r="B81" s="90">
        <v>44816.0</v>
      </c>
      <c r="C81" s="88" t="s">
        <v>226</v>
      </c>
      <c r="D81" s="89">
        <v>2.8249</v>
      </c>
      <c r="E81" s="89">
        <v>1.5494</v>
      </c>
      <c r="F81" s="88"/>
    </row>
    <row r="82">
      <c r="A82" s="89">
        <v>2382.0</v>
      </c>
      <c r="B82" s="90">
        <v>44816.0</v>
      </c>
      <c r="C82" s="88" t="s">
        <v>226</v>
      </c>
      <c r="D82" s="89">
        <v>0.6849</v>
      </c>
      <c r="E82" s="89">
        <v>0.4121</v>
      </c>
      <c r="F82" s="88"/>
    </row>
    <row r="83">
      <c r="A83" s="89">
        <v>2360.0</v>
      </c>
      <c r="B83" s="90">
        <v>44816.0</v>
      </c>
      <c r="C83" s="88" t="s">
        <v>226</v>
      </c>
      <c r="D83" s="89">
        <v>2.0024</v>
      </c>
      <c r="E83" s="89">
        <v>1.1195</v>
      </c>
      <c r="F83" s="88"/>
    </row>
    <row r="84">
      <c r="A84" s="89">
        <v>2383.0</v>
      </c>
      <c r="B84" s="90">
        <v>44816.0</v>
      </c>
      <c r="C84" s="88" t="s">
        <v>226</v>
      </c>
      <c r="D84" s="89">
        <v>2.1482</v>
      </c>
      <c r="E84" s="89">
        <v>1.3093</v>
      </c>
      <c r="F84" s="88"/>
    </row>
    <row r="85">
      <c r="A85" s="89">
        <v>2020.0</v>
      </c>
      <c r="B85" s="90">
        <v>44816.0</v>
      </c>
      <c r="C85" s="88" t="s">
        <v>226</v>
      </c>
      <c r="D85" s="89">
        <v>1.4632</v>
      </c>
      <c r="E85" s="89">
        <v>0.8659</v>
      </c>
      <c r="F85" s="88"/>
    </row>
    <row r="86">
      <c r="A86" s="89">
        <v>2086.0</v>
      </c>
      <c r="B86" s="90">
        <v>44816.0</v>
      </c>
      <c r="C86" s="88" t="s">
        <v>226</v>
      </c>
      <c r="D86" s="88"/>
      <c r="E86" s="89">
        <v>1.6846</v>
      </c>
      <c r="F86" s="105" t="s">
        <v>513</v>
      </c>
    </row>
    <row r="87">
      <c r="A87" s="89">
        <v>2028.0</v>
      </c>
      <c r="B87" s="90">
        <v>44816.0</v>
      </c>
      <c r="C87" s="88" t="s">
        <v>226</v>
      </c>
      <c r="D87" s="89">
        <v>1.8215</v>
      </c>
      <c r="E87" s="89">
        <v>1.1873</v>
      </c>
      <c r="F87" s="88"/>
    </row>
    <row r="88">
      <c r="A88" s="89">
        <v>2088.0</v>
      </c>
      <c r="B88" s="90">
        <v>44816.0</v>
      </c>
      <c r="C88" s="88" t="s">
        <v>226</v>
      </c>
      <c r="D88" s="89">
        <v>0.787</v>
      </c>
      <c r="E88" s="89">
        <v>0.4299</v>
      </c>
      <c r="F88" s="88"/>
    </row>
    <row r="89">
      <c r="A89" s="89">
        <v>2371.0</v>
      </c>
      <c r="B89" s="90">
        <v>44816.0</v>
      </c>
      <c r="C89" s="88" t="s">
        <v>226</v>
      </c>
      <c r="D89" s="89">
        <v>2.4725</v>
      </c>
      <c r="E89" s="89">
        <v>1.3304</v>
      </c>
      <c r="F89" s="88"/>
    </row>
    <row r="90">
      <c r="A90" s="89">
        <v>2384.0</v>
      </c>
      <c r="B90" s="90">
        <v>44816.0</v>
      </c>
      <c r="C90" s="88" t="s">
        <v>226</v>
      </c>
      <c r="D90" s="89">
        <v>1.8061</v>
      </c>
      <c r="E90" s="89">
        <v>1.0015</v>
      </c>
      <c r="F90" s="88"/>
    </row>
    <row r="91">
      <c r="A91" s="89">
        <v>2004.0</v>
      </c>
      <c r="B91" s="90">
        <v>44816.0</v>
      </c>
      <c r="C91" s="88" t="s">
        <v>226</v>
      </c>
      <c r="D91" s="89">
        <v>0.6825</v>
      </c>
      <c r="E91" s="89">
        <v>0.4084</v>
      </c>
      <c r="F91" s="88"/>
    </row>
    <row r="92">
      <c r="A92" s="89">
        <v>2026.0</v>
      </c>
      <c r="B92" s="90">
        <v>44816.0</v>
      </c>
      <c r="C92" s="88" t="s">
        <v>226</v>
      </c>
      <c r="D92" s="89">
        <v>1.2523</v>
      </c>
      <c r="E92" s="89">
        <v>0.7145</v>
      </c>
      <c r="F92" s="88"/>
    </row>
    <row r="93">
      <c r="A93" s="89">
        <v>2007.0</v>
      </c>
      <c r="B93" s="90">
        <v>44816.0</v>
      </c>
      <c r="C93" s="88" t="s">
        <v>226</v>
      </c>
      <c r="D93" s="89">
        <v>2.0109</v>
      </c>
      <c r="E93" s="89">
        <v>1.1087</v>
      </c>
      <c r="F93" s="88"/>
    </row>
    <row r="94">
      <c r="A94" s="89">
        <v>2031.0</v>
      </c>
      <c r="B94" s="90">
        <v>44816.0</v>
      </c>
      <c r="C94" s="88" t="s">
        <v>226</v>
      </c>
      <c r="D94" s="89">
        <v>0.9191</v>
      </c>
      <c r="E94" s="89">
        <v>0.5933</v>
      </c>
      <c r="F94" s="88" t="s">
        <v>512</v>
      </c>
    </row>
    <row r="95">
      <c r="A95" s="89">
        <v>2027.0</v>
      </c>
      <c r="B95" s="90">
        <v>44816.0</v>
      </c>
      <c r="C95" s="88" t="s">
        <v>226</v>
      </c>
      <c r="D95" s="89">
        <v>1.048</v>
      </c>
      <c r="E95" s="89">
        <v>0.6729</v>
      </c>
      <c r="F95" s="88"/>
    </row>
    <row r="96">
      <c r="A96" s="89">
        <v>2006.0</v>
      </c>
      <c r="B96" s="90">
        <v>44816.0</v>
      </c>
      <c r="C96" s="88" t="s">
        <v>226</v>
      </c>
      <c r="D96" s="89">
        <v>1.7101</v>
      </c>
      <c r="E96" s="89">
        <v>0.8924</v>
      </c>
      <c r="F96" s="88" t="s">
        <v>512</v>
      </c>
    </row>
    <row r="97">
      <c r="A97" s="89">
        <v>2372.0</v>
      </c>
      <c r="B97" s="90">
        <v>44816.0</v>
      </c>
      <c r="C97" s="88" t="s">
        <v>226</v>
      </c>
      <c r="D97" s="89">
        <v>3.8426</v>
      </c>
      <c r="E97" s="89">
        <v>2.1479</v>
      </c>
      <c r="F97" s="88"/>
    </row>
    <row r="98">
      <c r="A98" s="89">
        <v>2369.0</v>
      </c>
      <c r="B98" s="90">
        <v>44816.0</v>
      </c>
      <c r="C98" s="88" t="s">
        <v>226</v>
      </c>
      <c r="D98" s="89">
        <v>1.7068</v>
      </c>
      <c r="E98" s="89">
        <v>0.9891</v>
      </c>
      <c r="F98" s="88"/>
    </row>
    <row r="99">
      <c r="A99" s="89">
        <v>2375.0</v>
      </c>
      <c r="B99" s="90">
        <v>44816.0</v>
      </c>
      <c r="C99" s="88" t="s">
        <v>226</v>
      </c>
      <c r="D99" s="89">
        <v>1.8241</v>
      </c>
      <c r="E99" s="89">
        <v>0.9104</v>
      </c>
      <c r="F99" s="88" t="s">
        <v>512</v>
      </c>
    </row>
    <row r="100">
      <c r="A100" s="89">
        <v>2378.0</v>
      </c>
      <c r="B100" s="90">
        <v>44816.0</v>
      </c>
      <c r="C100" s="88" t="s">
        <v>226</v>
      </c>
      <c r="D100" s="89">
        <v>1.7938</v>
      </c>
      <c r="E100" s="89">
        <v>0.9834</v>
      </c>
      <c r="F100" s="88"/>
    </row>
    <row r="101">
      <c r="A101" s="88"/>
      <c r="B101" s="90">
        <v>44816.0</v>
      </c>
      <c r="C101" s="88" t="s">
        <v>226</v>
      </c>
      <c r="D101" s="89">
        <v>2.2893</v>
      </c>
      <c r="E101" s="89">
        <v>1.2184</v>
      </c>
      <c r="F101" s="105" t="s">
        <v>514</v>
      </c>
    </row>
    <row r="102">
      <c r="A102" s="89">
        <v>2352.0</v>
      </c>
      <c r="B102" s="90">
        <v>44816.0</v>
      </c>
      <c r="C102" s="88" t="s">
        <v>515</v>
      </c>
      <c r="D102" s="89">
        <v>2.12</v>
      </c>
      <c r="E102" s="89">
        <v>1.279</v>
      </c>
      <c r="F102" s="88"/>
    </row>
    <row r="103">
      <c r="A103" s="89">
        <v>2301.0</v>
      </c>
      <c r="B103" s="90">
        <v>44816.0</v>
      </c>
      <c r="C103" s="88" t="s">
        <v>226</v>
      </c>
      <c r="D103" s="89">
        <v>2.9256</v>
      </c>
      <c r="E103" s="89">
        <v>1.7414</v>
      </c>
      <c r="F103" s="88"/>
    </row>
    <row r="104">
      <c r="A104" s="89">
        <v>2382.0</v>
      </c>
      <c r="B104" s="90">
        <v>44816.0</v>
      </c>
      <c r="C104" s="88" t="s">
        <v>226</v>
      </c>
      <c r="D104" s="89">
        <v>2.0792</v>
      </c>
      <c r="E104" s="89">
        <v>1.2321</v>
      </c>
      <c r="F104" s="88"/>
    </row>
    <row r="105">
      <c r="A105" s="89">
        <v>2006.0</v>
      </c>
      <c r="B105" s="90">
        <v>44816.0</v>
      </c>
      <c r="C105" s="88" t="s">
        <v>226</v>
      </c>
      <c r="D105" s="89">
        <v>2.4481</v>
      </c>
      <c r="E105" s="89">
        <v>1.5046</v>
      </c>
      <c r="F105" s="88"/>
    </row>
    <row r="106">
      <c r="A106" s="89">
        <v>2360.0</v>
      </c>
      <c r="B106" s="90">
        <v>44816.0</v>
      </c>
      <c r="C106" s="88" t="s">
        <v>226</v>
      </c>
      <c r="D106" s="89">
        <v>2.7161</v>
      </c>
      <c r="E106" s="89">
        <v>1.5528</v>
      </c>
      <c r="F106" s="88"/>
    </row>
    <row r="107">
      <c r="A107" s="89">
        <v>2354.0</v>
      </c>
      <c r="B107" s="90">
        <v>44816.0</v>
      </c>
      <c r="C107" s="88" t="s">
        <v>226</v>
      </c>
      <c r="D107" s="89">
        <v>2.9861</v>
      </c>
      <c r="E107" s="89">
        <v>1.8171</v>
      </c>
      <c r="F107" s="88"/>
    </row>
    <row r="108">
      <c r="A108" s="89">
        <v>2011.0</v>
      </c>
      <c r="B108" s="90">
        <v>44816.0</v>
      </c>
      <c r="C108" s="88" t="s">
        <v>226</v>
      </c>
      <c r="D108" s="89">
        <v>3.999</v>
      </c>
      <c r="E108" s="89">
        <v>2.4417</v>
      </c>
      <c r="F108" s="88"/>
    </row>
    <row r="109">
      <c r="A109" s="89">
        <v>2024.0</v>
      </c>
      <c r="B109" s="90">
        <v>44816.0</v>
      </c>
      <c r="C109" s="88" t="s">
        <v>226</v>
      </c>
      <c r="D109" s="89">
        <v>3.0218</v>
      </c>
      <c r="E109" s="89">
        <v>1.7817</v>
      </c>
      <c r="F109" s="88"/>
    </row>
    <row r="110">
      <c r="A110" s="89">
        <v>2347.0</v>
      </c>
      <c r="B110" s="90">
        <v>44816.0</v>
      </c>
      <c r="C110" s="88" t="s">
        <v>226</v>
      </c>
      <c r="D110" s="89">
        <v>3.7022</v>
      </c>
      <c r="E110" s="89">
        <v>2.1282</v>
      </c>
      <c r="F110" s="88"/>
    </row>
    <row r="111">
      <c r="A111" s="89">
        <v>2091.0</v>
      </c>
      <c r="B111" s="90">
        <v>44816.0</v>
      </c>
      <c r="C111" s="88" t="s">
        <v>226</v>
      </c>
      <c r="D111" s="89">
        <v>2.6595</v>
      </c>
      <c r="E111" s="89">
        <v>1.5416</v>
      </c>
      <c r="F111" s="88"/>
    </row>
    <row r="112">
      <c r="A112" s="89">
        <v>2381.0</v>
      </c>
      <c r="B112" s="90">
        <v>44816.0</v>
      </c>
      <c r="C112" s="88" t="s">
        <v>226</v>
      </c>
      <c r="D112" s="89">
        <v>1.8535</v>
      </c>
      <c r="E112" s="89">
        <v>1.0742</v>
      </c>
      <c r="F112" s="88"/>
    </row>
    <row r="113">
      <c r="A113" s="89">
        <v>2089.0</v>
      </c>
      <c r="B113" s="90">
        <v>44816.0</v>
      </c>
      <c r="C113" s="88" t="s">
        <v>226</v>
      </c>
      <c r="D113" s="89">
        <v>1.7385</v>
      </c>
      <c r="E113" s="89">
        <v>1.0431</v>
      </c>
      <c r="F113" s="88"/>
    </row>
    <row r="114">
      <c r="A114" s="89">
        <v>2022.0</v>
      </c>
      <c r="B114" s="90">
        <v>44816.0</v>
      </c>
      <c r="C114" s="88" t="s">
        <v>226</v>
      </c>
      <c r="D114" s="89">
        <v>4.4734</v>
      </c>
      <c r="E114" s="89">
        <v>2.6629</v>
      </c>
      <c r="F114" s="88"/>
    </row>
    <row r="115">
      <c r="A115" s="89">
        <v>2023.0</v>
      </c>
      <c r="B115" s="90">
        <v>44816.0</v>
      </c>
      <c r="C115" s="88" t="s">
        <v>226</v>
      </c>
      <c r="D115" s="89">
        <v>2.409</v>
      </c>
      <c r="E115" s="89">
        <v>1.4844</v>
      </c>
      <c r="F115" s="88" t="s">
        <v>512</v>
      </c>
    </row>
    <row r="116">
      <c r="A116" s="89">
        <v>2092.0</v>
      </c>
      <c r="B116" s="90">
        <v>44816.0</v>
      </c>
      <c r="C116" s="88" t="s">
        <v>226</v>
      </c>
      <c r="D116" s="89">
        <v>1.8921</v>
      </c>
      <c r="E116" s="89">
        <v>1.134</v>
      </c>
      <c r="F116" s="88"/>
    </row>
    <row r="117">
      <c r="A117" s="89">
        <v>2010.0</v>
      </c>
      <c r="B117" s="90">
        <v>44816.0</v>
      </c>
      <c r="C117" s="88" t="s">
        <v>226</v>
      </c>
      <c r="D117" s="89">
        <v>2.8515</v>
      </c>
      <c r="E117" s="89">
        <v>1.6322</v>
      </c>
      <c r="F117" s="88" t="s">
        <v>512</v>
      </c>
    </row>
    <row r="118">
      <c r="A118" s="89">
        <v>2370.0</v>
      </c>
      <c r="B118" s="90">
        <v>44816.0</v>
      </c>
      <c r="C118" s="88" t="s">
        <v>226</v>
      </c>
      <c r="D118" s="89">
        <v>1.127</v>
      </c>
      <c r="E118" s="89">
        <v>0.6557</v>
      </c>
      <c r="F118" s="88"/>
    </row>
    <row r="119">
      <c r="A119" s="89">
        <v>2377.0</v>
      </c>
      <c r="B119" s="90">
        <v>44816.0</v>
      </c>
      <c r="C119" s="88" t="s">
        <v>226</v>
      </c>
      <c r="D119" s="89">
        <v>1.6427</v>
      </c>
      <c r="E119" s="89">
        <v>1.0241</v>
      </c>
      <c r="F119" s="88"/>
    </row>
    <row r="120">
      <c r="A120" s="89">
        <v>2085.0</v>
      </c>
      <c r="B120" s="90">
        <v>44816.0</v>
      </c>
      <c r="C120" s="88" t="s">
        <v>226</v>
      </c>
      <c r="D120" s="89">
        <v>1.8444</v>
      </c>
      <c r="E120" s="89">
        <v>0.9792</v>
      </c>
      <c r="F120" s="88"/>
    </row>
    <row r="121">
      <c r="A121" s="89">
        <v>2383.0</v>
      </c>
      <c r="B121" s="90">
        <v>44816.0</v>
      </c>
      <c r="C121" s="88" t="s">
        <v>226</v>
      </c>
      <c r="D121" s="89">
        <v>0.9687</v>
      </c>
      <c r="E121" s="89">
        <v>0.3885</v>
      </c>
      <c r="F121" s="88"/>
    </row>
    <row r="122">
      <c r="A122" s="89">
        <v>2384.0</v>
      </c>
      <c r="B122" s="90">
        <v>44816.0</v>
      </c>
      <c r="C122" s="88" t="s">
        <v>226</v>
      </c>
      <c r="D122" s="89">
        <v>1.4004</v>
      </c>
      <c r="E122" s="89">
        <v>0.6859</v>
      </c>
      <c r="F122" s="88"/>
    </row>
    <row r="123">
      <c r="A123" s="89">
        <v>2087.0</v>
      </c>
      <c r="B123" s="90">
        <v>44816.0</v>
      </c>
      <c r="C123" s="88" t="s">
        <v>226</v>
      </c>
      <c r="D123" s="89">
        <v>1.5043</v>
      </c>
      <c r="E123" s="89">
        <v>0.8146</v>
      </c>
      <c r="F123" s="88"/>
    </row>
    <row r="124">
      <c r="A124" s="89">
        <v>2331.0</v>
      </c>
      <c r="B124" s="90">
        <v>44820.0</v>
      </c>
      <c r="C124" s="88" t="s">
        <v>221</v>
      </c>
      <c r="D124" s="89">
        <v>0.8614</v>
      </c>
      <c r="E124" s="89">
        <v>0.5593</v>
      </c>
      <c r="F124" s="88"/>
    </row>
    <row r="125">
      <c r="A125" s="89">
        <v>2370.0</v>
      </c>
      <c r="B125" s="90">
        <v>44820.0</v>
      </c>
      <c r="C125" s="88" t="s">
        <v>221</v>
      </c>
      <c r="D125" s="89">
        <v>0.4773</v>
      </c>
      <c r="E125" s="89">
        <v>0.293</v>
      </c>
      <c r="F125" s="88"/>
    </row>
    <row r="126">
      <c r="A126" s="89">
        <v>2005.0</v>
      </c>
      <c r="B126" s="90">
        <v>44820.0</v>
      </c>
      <c r="C126" s="88" t="s">
        <v>221</v>
      </c>
      <c r="D126" s="170">
        <v>1.007</v>
      </c>
      <c r="E126" s="89">
        <v>0.6143</v>
      </c>
      <c r="F126" s="88"/>
    </row>
    <row r="127">
      <c r="A127" s="89">
        <v>2352.0</v>
      </c>
      <c r="B127" s="90">
        <v>44820.0</v>
      </c>
      <c r="C127" s="88" t="s">
        <v>221</v>
      </c>
      <c r="D127" s="89">
        <v>0.4479</v>
      </c>
      <c r="E127" s="89">
        <v>0.2894</v>
      </c>
      <c r="F127" s="88"/>
    </row>
    <row r="128">
      <c r="A128" s="89">
        <v>2006.0</v>
      </c>
      <c r="B128" s="90">
        <v>44820.0</v>
      </c>
      <c r="C128" s="88" t="s">
        <v>221</v>
      </c>
      <c r="D128" s="89">
        <v>0.6362</v>
      </c>
      <c r="E128" s="89">
        <v>0.3778</v>
      </c>
      <c r="F128" s="88"/>
    </row>
    <row r="129">
      <c r="A129" s="89">
        <v>2004.0</v>
      </c>
      <c r="B129" s="90">
        <v>44820.0</v>
      </c>
      <c r="C129" s="88" t="s">
        <v>221</v>
      </c>
      <c r="D129" s="89">
        <v>0.5814</v>
      </c>
      <c r="E129" s="89">
        <v>0.369</v>
      </c>
      <c r="F129" s="88"/>
    </row>
    <row r="130">
      <c r="A130" s="89">
        <v>2007.0</v>
      </c>
      <c r="B130" s="90">
        <v>44820.0</v>
      </c>
      <c r="C130" s="88" t="s">
        <v>221</v>
      </c>
      <c r="D130" s="89">
        <v>0.7692</v>
      </c>
      <c r="E130" s="89">
        <v>0.4725</v>
      </c>
      <c r="F130" s="88"/>
    </row>
    <row r="131">
      <c r="A131" s="89">
        <v>2012.0</v>
      </c>
      <c r="B131" s="90">
        <v>44820.0</v>
      </c>
      <c r="C131" s="88" t="s">
        <v>221</v>
      </c>
      <c r="D131" s="89">
        <v>0.6184</v>
      </c>
      <c r="E131" s="89">
        <v>0.3733</v>
      </c>
      <c r="F131" s="88"/>
    </row>
    <row r="132">
      <c r="A132" s="89">
        <v>1478.0</v>
      </c>
      <c r="B132" s="90">
        <v>44820.0</v>
      </c>
      <c r="C132" s="88" t="s">
        <v>221</v>
      </c>
      <c r="D132" s="89">
        <v>0.7559</v>
      </c>
      <c r="E132" s="89">
        <v>0.468</v>
      </c>
      <c r="F132" s="88"/>
    </row>
    <row r="133">
      <c r="A133" s="89">
        <v>2014.0</v>
      </c>
      <c r="B133" s="90">
        <v>44820.0</v>
      </c>
      <c r="C133" s="88" t="s">
        <v>221</v>
      </c>
      <c r="D133" s="89">
        <v>0.8666</v>
      </c>
      <c r="E133" s="89">
        <v>0.5361</v>
      </c>
      <c r="F133" s="88"/>
    </row>
    <row r="134">
      <c r="A134" s="89">
        <v>2371.0</v>
      </c>
      <c r="B134" s="90">
        <v>44820.0</v>
      </c>
      <c r="C134" s="88" t="s">
        <v>221</v>
      </c>
      <c r="D134" s="89">
        <v>0.6613</v>
      </c>
      <c r="E134" s="89">
        <v>0.4057</v>
      </c>
      <c r="F134" s="88"/>
    </row>
    <row r="135">
      <c r="A135" s="89">
        <v>2025.0</v>
      </c>
      <c r="B135" s="90">
        <v>44820.0</v>
      </c>
      <c r="C135" s="88" t="s">
        <v>221</v>
      </c>
      <c r="D135" s="89">
        <v>0.8138</v>
      </c>
      <c r="E135" s="89">
        <v>0.4927</v>
      </c>
      <c r="F135" s="88"/>
    </row>
    <row r="136">
      <c r="A136" s="89">
        <v>2024.0</v>
      </c>
      <c r="B136" s="90">
        <v>44820.0</v>
      </c>
      <c r="C136" s="88" t="s">
        <v>221</v>
      </c>
      <c r="D136" s="89">
        <v>1.0964</v>
      </c>
      <c r="E136" s="89">
        <v>0.6832</v>
      </c>
      <c r="F136" s="88"/>
    </row>
    <row r="137">
      <c r="A137" s="89">
        <v>2375.0</v>
      </c>
      <c r="B137" s="90">
        <v>44820.0</v>
      </c>
      <c r="C137" s="88" t="s">
        <v>221</v>
      </c>
      <c r="D137" s="89">
        <v>1.2783</v>
      </c>
      <c r="E137" s="89">
        <v>0.7662</v>
      </c>
      <c r="F137" s="88"/>
    </row>
    <row r="138">
      <c r="A138" s="89">
        <v>2027.0</v>
      </c>
      <c r="B138" s="90">
        <v>44819.0</v>
      </c>
      <c r="C138" s="88" t="s">
        <v>221</v>
      </c>
      <c r="D138" s="89">
        <v>0.9375</v>
      </c>
      <c r="E138" s="89">
        <v>0.5782</v>
      </c>
      <c r="F138" s="88"/>
    </row>
    <row r="139">
      <c r="A139" s="89">
        <v>2020.0</v>
      </c>
      <c r="B139" s="90">
        <v>44820.0</v>
      </c>
      <c r="C139" s="88" t="s">
        <v>221</v>
      </c>
      <c r="D139" s="89">
        <v>0.6492</v>
      </c>
      <c r="E139" s="89">
        <v>0.3924</v>
      </c>
      <c r="F139" s="88"/>
    </row>
    <row r="140">
      <c r="A140" s="89">
        <v>2015.0</v>
      </c>
      <c r="B140" s="90">
        <v>44820.0</v>
      </c>
      <c r="C140" s="88" t="s">
        <v>221</v>
      </c>
      <c r="D140" s="89">
        <v>0.5081</v>
      </c>
      <c r="E140" s="89">
        <v>0.2984</v>
      </c>
      <c r="F140" s="88"/>
    </row>
    <row r="141">
      <c r="A141" s="89">
        <v>2026.0</v>
      </c>
      <c r="B141" s="90">
        <v>44820.0</v>
      </c>
      <c r="C141" s="88" t="s">
        <v>221</v>
      </c>
      <c r="D141" s="89">
        <v>0.5613</v>
      </c>
      <c r="E141" s="89">
        <v>0.3419</v>
      </c>
      <c r="F141" s="88"/>
    </row>
    <row r="142">
      <c r="A142" s="89">
        <v>2347.0</v>
      </c>
      <c r="B142" s="90">
        <v>44820.0</v>
      </c>
      <c r="C142" s="88" t="s">
        <v>221</v>
      </c>
      <c r="D142" s="89">
        <v>0.7782</v>
      </c>
      <c r="E142" s="89">
        <v>0.4796</v>
      </c>
      <c r="F142" s="105" t="s">
        <v>516</v>
      </c>
    </row>
    <row r="143">
      <c r="A143" s="88" t="s">
        <v>504</v>
      </c>
      <c r="B143" s="90">
        <v>44816.0</v>
      </c>
      <c r="C143" s="88" t="s">
        <v>226</v>
      </c>
      <c r="D143" s="89">
        <v>1.8444</v>
      </c>
      <c r="E143" s="89">
        <v>1.3199</v>
      </c>
      <c r="F143" s="105" t="s">
        <v>517</v>
      </c>
    </row>
    <row r="144">
      <c r="A144" s="89">
        <v>2301.0</v>
      </c>
      <c r="B144" s="90">
        <v>44820.0</v>
      </c>
      <c r="C144" s="88" t="s">
        <v>221</v>
      </c>
      <c r="D144" s="89">
        <v>1.4219</v>
      </c>
      <c r="E144" s="89">
        <v>0.918</v>
      </c>
      <c r="F144" s="88"/>
    </row>
    <row r="145">
      <c r="A145" s="89">
        <v>2031.0</v>
      </c>
      <c r="B145" s="90">
        <v>44820.0</v>
      </c>
      <c r="C145" s="88" t="s">
        <v>221</v>
      </c>
      <c r="D145" s="89">
        <v>0.3695</v>
      </c>
      <c r="E145" s="89">
        <v>0.2313</v>
      </c>
      <c r="F145" s="88"/>
    </row>
    <row r="146">
      <c r="A146" s="89">
        <v>2372.0</v>
      </c>
      <c r="B146" s="90">
        <v>44820.0</v>
      </c>
      <c r="C146" s="88" t="s">
        <v>221</v>
      </c>
      <c r="D146" s="89">
        <v>0.6967</v>
      </c>
      <c r="E146" s="89">
        <v>0.4282</v>
      </c>
      <c r="F146" s="88"/>
    </row>
    <row r="147">
      <c r="A147" s="89">
        <v>2345.0</v>
      </c>
      <c r="B147" s="90">
        <v>44820.0</v>
      </c>
      <c r="C147" s="88" t="s">
        <v>221</v>
      </c>
      <c r="D147" s="89">
        <v>1.3318</v>
      </c>
      <c r="E147" s="89">
        <v>0.8635</v>
      </c>
      <c r="F147" s="88"/>
    </row>
    <row r="148">
      <c r="A148" s="89">
        <v>2354.0</v>
      </c>
      <c r="B148" s="90">
        <v>44820.0</v>
      </c>
      <c r="C148" s="88" t="s">
        <v>221</v>
      </c>
      <c r="D148" s="89">
        <v>1.1834</v>
      </c>
      <c r="E148" s="89">
        <v>0.8007</v>
      </c>
      <c r="F148" s="88"/>
    </row>
    <row r="149">
      <c r="A149" s="89">
        <v>2377.0</v>
      </c>
      <c r="B149" s="90">
        <v>44819.0</v>
      </c>
      <c r="C149" s="88" t="s">
        <v>221</v>
      </c>
      <c r="D149" s="89">
        <v>1.497</v>
      </c>
      <c r="E149" s="89">
        <v>0.9714</v>
      </c>
      <c r="F149" s="88"/>
    </row>
    <row r="150">
      <c r="A150" s="89">
        <v>2085.0</v>
      </c>
      <c r="B150" s="90">
        <v>44819.0</v>
      </c>
      <c r="C150" s="88" t="s">
        <v>221</v>
      </c>
      <c r="D150" s="89">
        <v>1.071</v>
      </c>
      <c r="E150" s="89">
        <v>0.655</v>
      </c>
      <c r="F150" s="88"/>
    </row>
    <row r="151">
      <c r="A151" s="89">
        <v>2091.0</v>
      </c>
      <c r="B151" s="90">
        <v>44819.0</v>
      </c>
      <c r="C151" s="88" t="s">
        <v>221</v>
      </c>
      <c r="D151" s="89">
        <v>0.448</v>
      </c>
      <c r="E151" s="89">
        <v>0.2871</v>
      </c>
      <c r="F151" s="88"/>
    </row>
    <row r="152">
      <c r="A152" s="89">
        <v>2379.0</v>
      </c>
      <c r="B152" s="90">
        <v>44819.0</v>
      </c>
      <c r="C152" s="88" t="s">
        <v>221</v>
      </c>
      <c r="D152" s="89">
        <v>0.472</v>
      </c>
      <c r="E152" s="89">
        <v>0.2905</v>
      </c>
      <c r="F152" s="88"/>
    </row>
    <row r="153">
      <c r="A153" s="89">
        <v>2011.0</v>
      </c>
      <c r="B153" s="90">
        <v>44819.0</v>
      </c>
      <c r="C153" s="88" t="s">
        <v>221</v>
      </c>
      <c r="D153" s="89">
        <v>0.755</v>
      </c>
      <c r="E153" s="89">
        <v>0.4819</v>
      </c>
      <c r="F153" s="88"/>
    </row>
    <row r="154">
      <c r="A154" s="89">
        <v>2382.0</v>
      </c>
      <c r="B154" s="90">
        <v>44819.0</v>
      </c>
      <c r="C154" s="88" t="s">
        <v>221</v>
      </c>
      <c r="D154" s="89">
        <v>0.864</v>
      </c>
      <c r="E154" s="89">
        <v>0.5358</v>
      </c>
      <c r="F154" s="88"/>
    </row>
    <row r="155">
      <c r="A155" s="89">
        <v>2380.0</v>
      </c>
      <c r="B155" s="90">
        <v>44819.0</v>
      </c>
      <c r="C155" s="88" t="s">
        <v>221</v>
      </c>
      <c r="D155" s="89">
        <v>0.948</v>
      </c>
      <c r="E155" s="89">
        <v>0.6429</v>
      </c>
      <c r="F155" s="88"/>
    </row>
    <row r="156">
      <c r="A156" s="89">
        <v>2384.0</v>
      </c>
      <c r="B156" s="90">
        <v>44819.0</v>
      </c>
      <c r="C156" s="88" t="s">
        <v>221</v>
      </c>
      <c r="D156" s="89">
        <v>0.972</v>
      </c>
      <c r="E156" s="89">
        <v>0.609</v>
      </c>
      <c r="F156" s="88"/>
    </row>
    <row r="157">
      <c r="A157" s="89">
        <v>2383.0</v>
      </c>
      <c r="B157" s="90">
        <v>44819.0</v>
      </c>
      <c r="C157" s="88" t="s">
        <v>221</v>
      </c>
      <c r="D157" s="89">
        <v>0.511</v>
      </c>
      <c r="E157" s="89">
        <v>0.3237</v>
      </c>
      <c r="F157" s="88"/>
    </row>
    <row r="158">
      <c r="A158" s="89">
        <v>2089.0</v>
      </c>
      <c r="B158" s="90">
        <v>44819.0</v>
      </c>
      <c r="C158" s="88" t="s">
        <v>221</v>
      </c>
      <c r="D158" s="89">
        <v>0.505</v>
      </c>
      <c r="E158" s="89">
        <v>0.3403</v>
      </c>
      <c r="F158" s="88"/>
    </row>
    <row r="159">
      <c r="A159" s="89">
        <v>2087.0</v>
      </c>
      <c r="B159" s="90">
        <v>44819.0</v>
      </c>
      <c r="C159" s="88" t="s">
        <v>221</v>
      </c>
      <c r="D159" s="89">
        <v>0.633</v>
      </c>
      <c r="E159" s="89">
        <v>0.3923</v>
      </c>
      <c r="F159" s="88"/>
    </row>
    <row r="160">
      <c r="A160" s="89">
        <v>2093.0</v>
      </c>
      <c r="B160" s="90">
        <v>44819.0</v>
      </c>
      <c r="C160" s="88" t="s">
        <v>221</v>
      </c>
      <c r="D160" s="89">
        <v>1.483</v>
      </c>
      <c r="E160" s="89">
        <v>0.9361</v>
      </c>
      <c r="F160" s="88"/>
    </row>
    <row r="161">
      <c r="A161" s="89">
        <v>2378.0</v>
      </c>
      <c r="B161" s="90">
        <v>44819.0</v>
      </c>
      <c r="C161" s="88" t="s">
        <v>221</v>
      </c>
      <c r="D161" s="89">
        <v>0.985</v>
      </c>
      <c r="E161" s="89">
        <v>0.6031</v>
      </c>
      <c r="F161" s="88"/>
    </row>
    <row r="162">
      <c r="A162" s="89">
        <v>2086.0</v>
      </c>
      <c r="B162" s="90">
        <v>44819.0</v>
      </c>
      <c r="C162" s="88" t="s">
        <v>221</v>
      </c>
      <c r="D162" s="89">
        <v>2.563</v>
      </c>
      <c r="E162" s="89">
        <v>1.5484</v>
      </c>
      <c r="F162" s="88"/>
    </row>
    <row r="163">
      <c r="A163" s="89">
        <v>2090.0</v>
      </c>
      <c r="B163" s="90">
        <v>44819.0</v>
      </c>
      <c r="C163" s="88" t="s">
        <v>221</v>
      </c>
      <c r="D163" s="89">
        <v>1.338</v>
      </c>
      <c r="E163" s="89">
        <v>0.7997</v>
      </c>
      <c r="F163" s="88"/>
    </row>
    <row r="164">
      <c r="A164" s="89">
        <v>2381.0</v>
      </c>
      <c r="B164" s="90">
        <v>44819.0</v>
      </c>
      <c r="C164" s="88" t="s">
        <v>221</v>
      </c>
      <c r="D164" s="89">
        <v>0.589</v>
      </c>
      <c r="E164" s="89">
        <v>0.3721</v>
      </c>
      <c r="F164" s="88"/>
    </row>
    <row r="165">
      <c r="A165" s="89">
        <v>2092.0</v>
      </c>
      <c r="B165" s="90">
        <v>44819.0</v>
      </c>
      <c r="C165" s="88" t="s">
        <v>221</v>
      </c>
      <c r="D165" s="89">
        <v>1.282</v>
      </c>
      <c r="E165" s="89">
        <v>0.8186</v>
      </c>
      <c r="F165" s="88"/>
    </row>
    <row r="166">
      <c r="A166" s="88" t="s">
        <v>164</v>
      </c>
      <c r="B166" s="90">
        <v>44819.0</v>
      </c>
      <c r="C166" s="88" t="s">
        <v>221</v>
      </c>
      <c r="D166" s="89">
        <v>2.324</v>
      </c>
      <c r="E166" s="89">
        <v>1.5608</v>
      </c>
      <c r="F166" s="88"/>
    </row>
    <row r="167">
      <c r="A167" s="88" t="s">
        <v>165</v>
      </c>
      <c r="B167" s="90">
        <v>44819.0</v>
      </c>
      <c r="C167" s="88" t="s">
        <v>221</v>
      </c>
      <c r="D167" s="89">
        <v>1.311</v>
      </c>
      <c r="E167" s="89">
        <v>0.9965</v>
      </c>
      <c r="F167" s="88"/>
    </row>
    <row r="168">
      <c r="A168" s="88"/>
      <c r="B168" s="90">
        <v>44819.0</v>
      </c>
      <c r="C168" s="88" t="s">
        <v>221</v>
      </c>
      <c r="D168" s="89">
        <v>0.319</v>
      </c>
      <c r="E168" s="89">
        <v>0.1958</v>
      </c>
      <c r="F168" s="88" t="s">
        <v>518</v>
      </c>
    </row>
    <row r="169">
      <c r="A169" s="88"/>
      <c r="B169" s="90">
        <v>44819.0</v>
      </c>
      <c r="C169" s="88" t="s">
        <v>221</v>
      </c>
      <c r="D169" s="89">
        <v>0.838</v>
      </c>
      <c r="E169" s="89">
        <v>0.5172</v>
      </c>
      <c r="F169" s="105" t="s">
        <v>519</v>
      </c>
    </row>
    <row r="170">
      <c r="A170" s="89">
        <v>2086.0</v>
      </c>
      <c r="B170" s="90">
        <v>44820.0</v>
      </c>
      <c r="C170" s="88" t="s">
        <v>226</v>
      </c>
      <c r="D170" s="89">
        <v>1.9624</v>
      </c>
      <c r="E170" s="89">
        <v>1.1505</v>
      </c>
      <c r="F170" s="88"/>
    </row>
    <row r="171">
      <c r="A171" s="89">
        <v>2015.0</v>
      </c>
      <c r="B171" s="90">
        <v>44820.0</v>
      </c>
      <c r="C171" s="88" t="s">
        <v>226</v>
      </c>
      <c r="D171" s="89">
        <v>0.6306</v>
      </c>
      <c r="E171" s="89">
        <v>0.3649</v>
      </c>
      <c r="F171" s="88"/>
    </row>
    <row r="172">
      <c r="A172" s="89">
        <v>2012.0</v>
      </c>
      <c r="B172" s="90">
        <v>44820.0</v>
      </c>
      <c r="C172" s="88" t="s">
        <v>226</v>
      </c>
      <c r="D172" s="89">
        <v>0.6454</v>
      </c>
      <c r="E172" s="89">
        <v>0.3747</v>
      </c>
      <c r="F172" s="88"/>
    </row>
    <row r="173">
      <c r="A173" s="89">
        <v>1478.0</v>
      </c>
      <c r="B173" s="90">
        <v>44820.0</v>
      </c>
      <c r="C173" s="88" t="s">
        <v>226</v>
      </c>
      <c r="D173" s="89">
        <v>0.9926</v>
      </c>
      <c r="E173" s="89">
        <v>0.5751</v>
      </c>
      <c r="F173" s="88"/>
    </row>
    <row r="174">
      <c r="A174" s="89">
        <v>2802.0</v>
      </c>
      <c r="B174" s="90">
        <v>44820.0</v>
      </c>
      <c r="C174" s="88" t="s">
        <v>226</v>
      </c>
      <c r="D174" s="89">
        <v>0.6123</v>
      </c>
      <c r="E174" s="89">
        <v>0.3611</v>
      </c>
      <c r="F174" s="88"/>
    </row>
    <row r="175">
      <c r="A175" s="89">
        <v>2006.0</v>
      </c>
      <c r="B175" s="90">
        <v>44820.0</v>
      </c>
      <c r="C175" s="88" t="s">
        <v>226</v>
      </c>
      <c r="D175" s="89">
        <v>1.007</v>
      </c>
      <c r="E175" s="89">
        <v>0.5693</v>
      </c>
      <c r="F175" s="88"/>
    </row>
    <row r="176">
      <c r="A176" s="89">
        <v>2013.0</v>
      </c>
      <c r="B176" s="90">
        <v>44820.0</v>
      </c>
      <c r="C176" s="88" t="s">
        <v>226</v>
      </c>
      <c r="D176" s="89">
        <v>1.1617</v>
      </c>
      <c r="E176" s="89">
        <v>0.6758</v>
      </c>
      <c r="F176" s="88"/>
    </row>
    <row r="177">
      <c r="A177" s="89">
        <v>2376.0</v>
      </c>
      <c r="B177" s="90">
        <v>44791.0</v>
      </c>
      <c r="C177" s="88" t="s">
        <v>226</v>
      </c>
      <c r="D177" s="89">
        <v>1.86</v>
      </c>
      <c r="E177" s="89">
        <v>1.1963</v>
      </c>
      <c r="F177" s="88"/>
    </row>
    <row r="178">
      <c r="A178" s="89">
        <v>2354.0</v>
      </c>
      <c r="B178" s="90">
        <v>44791.0</v>
      </c>
      <c r="C178" s="88" t="s">
        <v>226</v>
      </c>
      <c r="D178" s="89">
        <v>2.55</v>
      </c>
      <c r="E178" s="89">
        <v>1.5666</v>
      </c>
      <c r="F178" s="88"/>
    </row>
    <row r="179">
      <c r="A179" s="89">
        <v>2347.0</v>
      </c>
      <c r="B179" s="90">
        <v>44791.0</v>
      </c>
      <c r="C179" s="88" t="s">
        <v>226</v>
      </c>
      <c r="D179" s="89">
        <v>0.74</v>
      </c>
      <c r="E179" s="89">
        <v>0.4659</v>
      </c>
      <c r="F179" s="88"/>
    </row>
    <row r="180">
      <c r="A180" s="89">
        <v>2379.0</v>
      </c>
      <c r="B180" s="90">
        <v>44791.0</v>
      </c>
      <c r="C180" s="88" t="s">
        <v>226</v>
      </c>
      <c r="D180" s="89">
        <v>1.25</v>
      </c>
      <c r="E180" s="89">
        <v>0.754</v>
      </c>
      <c r="F180" s="88"/>
    </row>
    <row r="181">
      <c r="A181" s="89">
        <v>2342.0</v>
      </c>
      <c r="B181" s="90">
        <v>44791.0</v>
      </c>
      <c r="C181" s="88" t="s">
        <v>226</v>
      </c>
      <c r="D181" s="89">
        <v>1.92</v>
      </c>
      <c r="E181" s="89">
        <v>1.1688</v>
      </c>
      <c r="F181" s="88"/>
    </row>
    <row r="182">
      <c r="A182" s="89">
        <v>2375.0</v>
      </c>
      <c r="B182" s="90">
        <v>44791.0</v>
      </c>
      <c r="C182" s="88" t="s">
        <v>226</v>
      </c>
      <c r="D182" s="89">
        <v>1.05</v>
      </c>
      <c r="E182" s="89">
        <v>0.6262</v>
      </c>
      <c r="F182" s="88"/>
    </row>
    <row r="183">
      <c r="A183" s="89">
        <v>2381.0</v>
      </c>
      <c r="B183" s="90">
        <v>44791.0</v>
      </c>
      <c r="C183" s="88" t="s">
        <v>226</v>
      </c>
      <c r="D183" s="89">
        <v>1.31</v>
      </c>
      <c r="E183" s="89">
        <v>0.7943</v>
      </c>
      <c r="F183" s="88"/>
    </row>
    <row r="184">
      <c r="A184" s="89">
        <v>2009.0</v>
      </c>
      <c r="B184" s="90">
        <v>44791.0</v>
      </c>
      <c r="C184" s="88" t="s">
        <v>226</v>
      </c>
      <c r="D184" s="89">
        <v>1.26</v>
      </c>
      <c r="E184" s="89">
        <v>0.7632</v>
      </c>
      <c r="F184" s="88"/>
    </row>
    <row r="185">
      <c r="A185" s="89">
        <v>2345.0</v>
      </c>
      <c r="B185" s="90">
        <v>44791.0</v>
      </c>
      <c r="C185" s="88" t="s">
        <v>226</v>
      </c>
      <c r="D185" s="89">
        <v>1.31</v>
      </c>
      <c r="E185" s="89">
        <v>0.823</v>
      </c>
      <c r="F185" s="88"/>
    </row>
    <row r="186">
      <c r="A186" s="89">
        <v>2010.0</v>
      </c>
      <c r="B186" s="90">
        <v>44791.0</v>
      </c>
      <c r="C186" s="88" t="s">
        <v>226</v>
      </c>
      <c r="D186" s="89">
        <v>1.29</v>
      </c>
      <c r="E186" s="89">
        <v>0.7594</v>
      </c>
      <c r="F186" s="88"/>
    </row>
    <row r="187">
      <c r="A187" s="89">
        <v>2378.0</v>
      </c>
      <c r="B187" s="90">
        <v>44791.0</v>
      </c>
      <c r="C187" s="88" t="s">
        <v>226</v>
      </c>
      <c r="D187" s="89">
        <v>1.37</v>
      </c>
      <c r="E187" s="89">
        <v>0.8376</v>
      </c>
      <c r="F187" s="88"/>
    </row>
    <row r="188">
      <c r="A188" s="89">
        <v>2372.0</v>
      </c>
      <c r="B188" s="90">
        <v>44791.0</v>
      </c>
      <c r="C188" s="88" t="s">
        <v>226</v>
      </c>
      <c r="D188" s="89">
        <v>1.5</v>
      </c>
      <c r="E188" s="89">
        <v>0.8655</v>
      </c>
      <c r="F188" s="88"/>
    </row>
    <row r="189">
      <c r="A189" s="89">
        <v>2383.0</v>
      </c>
      <c r="B189" s="90">
        <v>44791.0</v>
      </c>
      <c r="C189" s="88" t="s">
        <v>226</v>
      </c>
      <c r="D189" s="89">
        <v>0.47</v>
      </c>
      <c r="E189" s="89">
        <v>0.2825</v>
      </c>
      <c r="F189" s="88"/>
    </row>
    <row r="190">
      <c r="A190" s="89">
        <v>2367.0</v>
      </c>
      <c r="B190" s="90">
        <v>44791.0</v>
      </c>
      <c r="C190" s="88" t="s">
        <v>226</v>
      </c>
      <c r="D190" s="89">
        <v>1.26</v>
      </c>
      <c r="E190" s="89">
        <v>0.7891</v>
      </c>
      <c r="F190" s="88"/>
    </row>
    <row r="191">
      <c r="A191" s="89">
        <v>2343.0</v>
      </c>
      <c r="B191" s="90">
        <v>44791.0</v>
      </c>
      <c r="C191" s="88" t="s">
        <v>221</v>
      </c>
      <c r="D191" s="89">
        <v>2.4239</v>
      </c>
      <c r="E191" s="89">
        <v>1.4504</v>
      </c>
      <c r="F191" s="105" t="s">
        <v>520</v>
      </c>
    </row>
    <row r="192">
      <c r="A192" s="89">
        <v>2367.0</v>
      </c>
      <c r="B192" s="90">
        <v>44791.0</v>
      </c>
      <c r="C192" s="88" t="s">
        <v>221</v>
      </c>
      <c r="D192" s="89">
        <v>0.9393</v>
      </c>
      <c r="E192" s="89">
        <v>0.579</v>
      </c>
      <c r="F192" s="105" t="s">
        <v>520</v>
      </c>
    </row>
    <row r="193">
      <c r="A193" s="89">
        <v>2331.0</v>
      </c>
      <c r="B193" s="90">
        <v>44791.0</v>
      </c>
      <c r="C193" s="88" t="s">
        <v>221</v>
      </c>
      <c r="D193" s="89">
        <v>1.2289</v>
      </c>
      <c r="E193" s="89">
        <v>0.7984</v>
      </c>
      <c r="F193" s="105" t="s">
        <v>520</v>
      </c>
    </row>
    <row r="194">
      <c r="A194" s="89">
        <v>2378.0</v>
      </c>
      <c r="B194" s="90">
        <v>44791.0</v>
      </c>
      <c r="C194" s="88" t="s">
        <v>221</v>
      </c>
      <c r="D194" s="89">
        <v>1.5792</v>
      </c>
      <c r="E194" s="89">
        <v>0.9606</v>
      </c>
      <c r="F194" s="105" t="s">
        <v>520</v>
      </c>
    </row>
    <row r="195">
      <c r="A195" s="89">
        <v>2352.0</v>
      </c>
      <c r="B195" s="90">
        <v>44791.0</v>
      </c>
      <c r="C195" s="88" t="s">
        <v>221</v>
      </c>
      <c r="D195" s="89">
        <v>0.8983</v>
      </c>
      <c r="E195" s="89">
        <v>0.5866</v>
      </c>
      <c r="F195" s="105" t="s">
        <v>520</v>
      </c>
    </row>
    <row r="196">
      <c r="A196" s="89">
        <v>2379.0</v>
      </c>
      <c r="B196" s="90">
        <v>44791.0</v>
      </c>
      <c r="C196" s="88" t="s">
        <v>221</v>
      </c>
      <c r="D196" s="89">
        <v>1.3357</v>
      </c>
      <c r="E196" s="89">
        <v>0.8028</v>
      </c>
      <c r="F196" s="105" t="s">
        <v>520</v>
      </c>
    </row>
    <row r="197">
      <c r="A197" s="89">
        <v>2347.0</v>
      </c>
      <c r="B197" s="90">
        <v>44791.0</v>
      </c>
      <c r="C197" s="88" t="s">
        <v>221</v>
      </c>
      <c r="D197" s="89">
        <v>1.1036</v>
      </c>
      <c r="E197" s="89">
        <v>0.6624</v>
      </c>
      <c r="F197" s="105" t="s">
        <v>520</v>
      </c>
    </row>
    <row r="198">
      <c r="A198" s="89">
        <v>2010.0</v>
      </c>
      <c r="B198" s="90">
        <v>44791.0</v>
      </c>
      <c r="C198" s="88" t="s">
        <v>221</v>
      </c>
      <c r="D198" s="89">
        <v>1.6375</v>
      </c>
      <c r="E198" s="89">
        <v>0.9754</v>
      </c>
      <c r="F198" s="105" t="s">
        <v>520</v>
      </c>
    </row>
    <row r="199">
      <c r="A199" s="111"/>
      <c r="B199" s="115"/>
      <c r="D199" s="111"/>
      <c r="E199" s="111"/>
    </row>
    <row r="200">
      <c r="A200" s="111"/>
      <c r="B200" s="115"/>
      <c r="D200" s="111"/>
      <c r="E200" s="111"/>
    </row>
    <row r="201">
      <c r="A201" s="111"/>
      <c r="B201" s="115"/>
      <c r="D201" s="111"/>
      <c r="E201" s="111"/>
    </row>
    <row r="202">
      <c r="A202" s="111"/>
      <c r="B202" s="115"/>
      <c r="D202" s="111"/>
      <c r="E202" s="111"/>
    </row>
    <row r="203">
      <c r="A203" s="111"/>
      <c r="B203" s="115"/>
      <c r="D203" s="111"/>
      <c r="E203" s="111"/>
    </row>
    <row r="204">
      <c r="A204" s="111"/>
      <c r="B204" s="115"/>
      <c r="D204" s="111"/>
      <c r="E204" s="111"/>
    </row>
    <row r="205">
      <c r="A205" s="111"/>
      <c r="B205" s="115"/>
      <c r="D205" s="111"/>
      <c r="E205" s="111"/>
    </row>
    <row r="206">
      <c r="A206" s="111"/>
      <c r="B206" s="115"/>
      <c r="D206" s="111"/>
      <c r="E206" s="111"/>
    </row>
    <row r="207">
      <c r="A207" s="111"/>
      <c r="B207" s="115"/>
      <c r="D207" s="111"/>
      <c r="E207" s="111"/>
    </row>
    <row r="208">
      <c r="A208" s="111"/>
      <c r="B208" s="115"/>
      <c r="D208" s="111"/>
      <c r="E208" s="111"/>
    </row>
    <row r="209">
      <c r="A209" s="111"/>
      <c r="B209" s="115"/>
      <c r="D209" s="111"/>
      <c r="E209" s="111"/>
    </row>
    <row r="210">
      <c r="A210" s="111"/>
      <c r="B210" s="115"/>
      <c r="D210" s="111"/>
      <c r="E210" s="111"/>
    </row>
    <row r="211">
      <c r="A211" s="111"/>
      <c r="B211" s="115"/>
      <c r="D211" s="111"/>
      <c r="E211" s="111"/>
    </row>
    <row r="212">
      <c r="A212" s="111"/>
      <c r="B212" s="115"/>
      <c r="D212" s="110"/>
      <c r="E212" s="111"/>
    </row>
    <row r="213">
      <c r="A213" s="111"/>
      <c r="B213" s="115"/>
      <c r="D213" s="111"/>
      <c r="E213" s="111"/>
    </row>
    <row r="214">
      <c r="A214" s="111"/>
      <c r="B214" s="115"/>
      <c r="D214" s="111"/>
      <c r="E214" s="111"/>
    </row>
    <row r="215">
      <c r="A215" s="111"/>
      <c r="B215" s="115"/>
      <c r="D215" s="111"/>
      <c r="E215" s="111"/>
    </row>
    <row r="216">
      <c r="A216" s="111"/>
      <c r="B216" s="115"/>
      <c r="D216" s="111"/>
      <c r="E216" s="111"/>
    </row>
    <row r="217">
      <c r="A217" s="111"/>
      <c r="B217" s="115"/>
      <c r="D217" s="111"/>
      <c r="E217" s="111"/>
    </row>
    <row r="218">
      <c r="A218" s="111"/>
      <c r="B218" s="115"/>
      <c r="D218" s="111"/>
      <c r="E218" s="111"/>
    </row>
    <row r="219">
      <c r="A219" s="111"/>
      <c r="B219" s="115"/>
      <c r="D219" s="111"/>
      <c r="E219" s="111"/>
    </row>
    <row r="220">
      <c r="A220" s="111"/>
      <c r="B220" s="115"/>
      <c r="D220" s="111"/>
      <c r="E220" s="111"/>
    </row>
    <row r="221">
      <c r="A221" s="111"/>
      <c r="B221" s="115"/>
      <c r="D221" s="111"/>
      <c r="E221" s="111"/>
    </row>
    <row r="222">
      <c r="A222" s="111"/>
      <c r="B222" s="115"/>
      <c r="D222" s="111"/>
      <c r="E222" s="111"/>
    </row>
    <row r="223">
      <c r="A223" s="111"/>
      <c r="B223" s="115"/>
      <c r="D223" s="111"/>
      <c r="E223" s="111"/>
    </row>
    <row r="224">
      <c r="A224" s="111"/>
      <c r="B224" s="115"/>
      <c r="D224" s="111"/>
      <c r="E224" s="111"/>
    </row>
    <row r="225">
      <c r="A225" s="111"/>
      <c r="B225" s="115"/>
      <c r="D225" s="111"/>
      <c r="E225" s="111"/>
    </row>
    <row r="226">
      <c r="B226" s="171"/>
    </row>
    <row r="227">
      <c r="B227" s="171"/>
    </row>
    <row r="228">
      <c r="B228" s="171"/>
    </row>
    <row r="229">
      <c r="B229" s="171"/>
    </row>
    <row r="230">
      <c r="B230" s="171"/>
    </row>
    <row r="231">
      <c r="B231" s="171"/>
    </row>
    <row r="232">
      <c r="B232" s="171"/>
    </row>
    <row r="233">
      <c r="B233" s="171"/>
    </row>
    <row r="234">
      <c r="B234" s="171"/>
    </row>
    <row r="235">
      <c r="B235" s="171"/>
    </row>
    <row r="236">
      <c r="B236" s="171"/>
    </row>
    <row r="237">
      <c r="B237" s="171"/>
    </row>
    <row r="238">
      <c r="B238" s="171"/>
    </row>
    <row r="239">
      <c r="B239" s="171"/>
    </row>
    <row r="240">
      <c r="B240" s="171"/>
    </row>
    <row r="241">
      <c r="B241" s="171"/>
    </row>
    <row r="242">
      <c r="B242" s="171"/>
    </row>
    <row r="243">
      <c r="B243" s="171"/>
    </row>
    <row r="244">
      <c r="B244" s="171"/>
    </row>
    <row r="245">
      <c r="B245" s="171"/>
    </row>
    <row r="246">
      <c r="B246" s="171"/>
    </row>
    <row r="247">
      <c r="B247" s="171"/>
    </row>
    <row r="248">
      <c r="B248" s="171"/>
    </row>
    <row r="249">
      <c r="B249" s="171"/>
    </row>
    <row r="250">
      <c r="B250" s="171"/>
    </row>
    <row r="251">
      <c r="B251" s="171"/>
    </row>
    <row r="252">
      <c r="B252" s="171"/>
    </row>
    <row r="253">
      <c r="B253" s="171"/>
    </row>
    <row r="254">
      <c r="B254" s="171"/>
    </row>
    <row r="255">
      <c r="B255" s="171"/>
    </row>
    <row r="256">
      <c r="B256" s="171"/>
    </row>
    <row r="257">
      <c r="B257" s="171"/>
    </row>
    <row r="258">
      <c r="B258" s="171"/>
    </row>
    <row r="259">
      <c r="B259" s="171"/>
    </row>
    <row r="260">
      <c r="B260" s="171"/>
    </row>
    <row r="261">
      <c r="B261" s="171"/>
    </row>
    <row r="262">
      <c r="B262" s="171"/>
    </row>
    <row r="263">
      <c r="B263" s="171"/>
    </row>
    <row r="264">
      <c r="B264" s="171"/>
    </row>
    <row r="265">
      <c r="B265" s="171"/>
    </row>
    <row r="266">
      <c r="B266" s="171"/>
    </row>
    <row r="267">
      <c r="B267" s="171"/>
    </row>
    <row r="268">
      <c r="B268" s="171"/>
    </row>
    <row r="269">
      <c r="B269" s="171"/>
    </row>
    <row r="270">
      <c r="B270" s="171"/>
    </row>
    <row r="271">
      <c r="B271" s="171"/>
    </row>
    <row r="272">
      <c r="B272" s="171"/>
    </row>
    <row r="273">
      <c r="B273" s="171"/>
    </row>
    <row r="274">
      <c r="B274" s="171"/>
    </row>
    <row r="275">
      <c r="B275" s="171"/>
    </row>
    <row r="276">
      <c r="B276" s="171"/>
    </row>
    <row r="277">
      <c r="B277" s="171"/>
    </row>
    <row r="278">
      <c r="B278" s="171"/>
    </row>
    <row r="279">
      <c r="B279" s="171"/>
    </row>
    <row r="280">
      <c r="B280" s="171"/>
    </row>
    <row r="281">
      <c r="B281" s="171"/>
    </row>
    <row r="282">
      <c r="B282" s="171"/>
    </row>
    <row r="283">
      <c r="B283" s="171"/>
    </row>
    <row r="284">
      <c r="B284" s="171"/>
    </row>
    <row r="285">
      <c r="B285" s="171"/>
    </row>
    <row r="286">
      <c r="B286" s="171"/>
    </row>
    <row r="287">
      <c r="B287" s="171"/>
    </row>
    <row r="288">
      <c r="B288" s="171"/>
    </row>
    <row r="289">
      <c r="B289" s="171"/>
    </row>
    <row r="290">
      <c r="B290" s="171"/>
    </row>
    <row r="291">
      <c r="B291" s="171"/>
    </row>
    <row r="292">
      <c r="B292" s="171"/>
    </row>
    <row r="293">
      <c r="B293" s="171"/>
    </row>
    <row r="294">
      <c r="B294" s="171"/>
    </row>
    <row r="295">
      <c r="B295" s="171"/>
    </row>
    <row r="296">
      <c r="B296" s="171"/>
    </row>
    <row r="297">
      <c r="B297" s="171"/>
    </row>
    <row r="298">
      <c r="B298" s="171"/>
    </row>
    <row r="299">
      <c r="B299" s="171"/>
    </row>
    <row r="300">
      <c r="B300" s="171"/>
    </row>
    <row r="301">
      <c r="B301" s="171"/>
    </row>
    <row r="302">
      <c r="B302" s="171"/>
    </row>
    <row r="303">
      <c r="B303" s="171"/>
    </row>
    <row r="304">
      <c r="B304" s="171"/>
    </row>
    <row r="305">
      <c r="B305" s="171"/>
    </row>
    <row r="306">
      <c r="B306" s="171"/>
    </row>
    <row r="307">
      <c r="B307" s="171"/>
    </row>
    <row r="308">
      <c r="B308" s="171"/>
    </row>
    <row r="309">
      <c r="B309" s="171"/>
    </row>
    <row r="310">
      <c r="B310" s="171"/>
    </row>
    <row r="311">
      <c r="B311" s="171"/>
    </row>
    <row r="312">
      <c r="B312" s="171"/>
    </row>
    <row r="313">
      <c r="B313" s="171"/>
    </row>
    <row r="314">
      <c r="B314" s="171"/>
    </row>
    <row r="315">
      <c r="B315" s="171"/>
    </row>
    <row r="316">
      <c r="B316" s="171"/>
    </row>
    <row r="317">
      <c r="B317" s="171"/>
    </row>
    <row r="318">
      <c r="B318" s="171"/>
    </row>
    <row r="319">
      <c r="B319" s="171"/>
    </row>
    <row r="320">
      <c r="B320" s="171"/>
    </row>
    <row r="321">
      <c r="B321" s="171"/>
    </row>
    <row r="322">
      <c r="B322" s="171"/>
    </row>
    <row r="323">
      <c r="B323" s="171"/>
    </row>
    <row r="324">
      <c r="B324" s="171"/>
    </row>
    <row r="325">
      <c r="B325" s="171"/>
    </row>
    <row r="326">
      <c r="B326" s="171"/>
    </row>
    <row r="327">
      <c r="B327" s="171"/>
    </row>
    <row r="328">
      <c r="B328" s="171"/>
    </row>
    <row r="329">
      <c r="B329" s="171"/>
    </row>
    <row r="330">
      <c r="B330" s="171"/>
    </row>
    <row r="331">
      <c r="B331" s="171"/>
    </row>
    <row r="332">
      <c r="B332" s="171"/>
    </row>
    <row r="333">
      <c r="B333" s="171"/>
    </row>
    <row r="334">
      <c r="B334" s="171"/>
    </row>
    <row r="335">
      <c r="B335" s="171"/>
    </row>
    <row r="336">
      <c r="B336" s="171"/>
    </row>
    <row r="337">
      <c r="B337" s="171"/>
    </row>
    <row r="338">
      <c r="B338" s="171"/>
    </row>
    <row r="339">
      <c r="B339" s="171"/>
    </row>
    <row r="340">
      <c r="B340" s="171"/>
    </row>
    <row r="341">
      <c r="B341" s="171"/>
    </row>
    <row r="342">
      <c r="B342" s="171"/>
    </row>
    <row r="343">
      <c r="B343" s="171"/>
    </row>
    <row r="344">
      <c r="B344" s="171"/>
    </row>
    <row r="345">
      <c r="B345" s="171"/>
    </row>
    <row r="346">
      <c r="B346" s="171"/>
    </row>
    <row r="347">
      <c r="B347" s="171"/>
    </row>
    <row r="348">
      <c r="B348" s="171"/>
    </row>
    <row r="349">
      <c r="B349" s="171"/>
    </row>
    <row r="350">
      <c r="B350" s="171"/>
    </row>
    <row r="351">
      <c r="B351" s="171"/>
    </row>
    <row r="352">
      <c r="B352" s="171"/>
    </row>
    <row r="353">
      <c r="B353" s="171"/>
    </row>
    <row r="354">
      <c r="B354" s="171"/>
    </row>
    <row r="355">
      <c r="B355" s="171"/>
    </row>
    <row r="356">
      <c r="B356" s="171"/>
    </row>
    <row r="357">
      <c r="B357" s="171"/>
    </row>
    <row r="358">
      <c r="B358" s="171"/>
    </row>
    <row r="359">
      <c r="B359" s="171"/>
    </row>
    <row r="360">
      <c r="B360" s="171"/>
    </row>
    <row r="361">
      <c r="B361" s="171"/>
    </row>
    <row r="362">
      <c r="B362" s="171"/>
    </row>
    <row r="363">
      <c r="B363" s="171"/>
    </row>
    <row r="364">
      <c r="B364" s="171"/>
    </row>
    <row r="365">
      <c r="B365" s="171"/>
    </row>
    <row r="366">
      <c r="B366" s="171"/>
    </row>
    <row r="367">
      <c r="B367" s="171"/>
    </row>
    <row r="368">
      <c r="B368" s="171"/>
    </row>
    <row r="369">
      <c r="B369" s="171"/>
    </row>
    <row r="370">
      <c r="B370" s="171"/>
    </row>
    <row r="371">
      <c r="B371" s="171"/>
    </row>
    <row r="372">
      <c r="B372" s="171"/>
    </row>
    <row r="373">
      <c r="B373" s="171"/>
    </row>
    <row r="374">
      <c r="B374" s="171"/>
    </row>
    <row r="375">
      <c r="B375" s="171"/>
    </row>
    <row r="376">
      <c r="B376" s="171"/>
    </row>
    <row r="377">
      <c r="B377" s="171"/>
    </row>
    <row r="378">
      <c r="B378" s="171"/>
    </row>
    <row r="379">
      <c r="B379" s="171"/>
    </row>
    <row r="380">
      <c r="B380" s="171"/>
    </row>
    <row r="381">
      <c r="B381" s="171"/>
    </row>
    <row r="382">
      <c r="B382" s="171"/>
    </row>
    <row r="383">
      <c r="B383" s="171"/>
    </row>
    <row r="384">
      <c r="B384" s="171"/>
    </row>
    <row r="385">
      <c r="B385" s="171"/>
    </row>
    <row r="386">
      <c r="B386" s="171"/>
    </row>
    <row r="387">
      <c r="B387" s="171"/>
    </row>
    <row r="388">
      <c r="B388" s="171"/>
    </row>
    <row r="389">
      <c r="B389" s="171"/>
    </row>
    <row r="390">
      <c r="B390" s="171"/>
    </row>
    <row r="391">
      <c r="B391" s="171"/>
    </row>
    <row r="392">
      <c r="B392" s="171"/>
    </row>
    <row r="393">
      <c r="B393" s="171"/>
    </row>
    <row r="394">
      <c r="B394" s="171"/>
    </row>
    <row r="395">
      <c r="B395" s="171"/>
    </row>
    <row r="396">
      <c r="B396" s="171"/>
    </row>
    <row r="397">
      <c r="B397" s="171"/>
    </row>
    <row r="398">
      <c r="B398" s="171"/>
    </row>
    <row r="399">
      <c r="B399" s="171"/>
    </row>
    <row r="400">
      <c r="B400" s="171"/>
    </row>
    <row r="401">
      <c r="B401" s="171"/>
    </row>
    <row r="402">
      <c r="B402" s="171"/>
    </row>
    <row r="403">
      <c r="B403" s="171"/>
    </row>
    <row r="404">
      <c r="B404" s="171"/>
    </row>
    <row r="405">
      <c r="B405" s="171"/>
    </row>
    <row r="406">
      <c r="B406" s="171"/>
    </row>
    <row r="407">
      <c r="B407" s="171"/>
    </row>
    <row r="408">
      <c r="B408" s="171"/>
    </row>
    <row r="409">
      <c r="B409" s="171"/>
    </row>
    <row r="410">
      <c r="B410" s="171"/>
    </row>
    <row r="411">
      <c r="B411" s="171"/>
    </row>
    <row r="412">
      <c r="B412" s="171"/>
    </row>
    <row r="413">
      <c r="B413" s="171"/>
    </row>
    <row r="414">
      <c r="B414" s="171"/>
    </row>
    <row r="415">
      <c r="B415" s="171"/>
    </row>
    <row r="416">
      <c r="B416" s="171"/>
    </row>
    <row r="417">
      <c r="B417" s="171"/>
    </row>
    <row r="418">
      <c r="B418" s="171"/>
    </row>
    <row r="419">
      <c r="B419" s="171"/>
    </row>
    <row r="420">
      <c r="B420" s="171"/>
    </row>
    <row r="421">
      <c r="B421" s="171"/>
    </row>
    <row r="422">
      <c r="B422" s="171"/>
    </row>
    <row r="423">
      <c r="B423" s="171"/>
    </row>
    <row r="424">
      <c r="B424" s="171"/>
    </row>
    <row r="425">
      <c r="B425" s="171"/>
    </row>
    <row r="426">
      <c r="B426" s="171"/>
    </row>
    <row r="427">
      <c r="B427" s="171"/>
    </row>
    <row r="428">
      <c r="B428" s="171"/>
    </row>
    <row r="429">
      <c r="B429" s="171"/>
    </row>
    <row r="430">
      <c r="B430" s="171"/>
    </row>
    <row r="431">
      <c r="B431" s="171"/>
    </row>
    <row r="432">
      <c r="B432" s="171"/>
    </row>
    <row r="433">
      <c r="B433" s="171"/>
    </row>
    <row r="434">
      <c r="B434" s="171"/>
    </row>
    <row r="435">
      <c r="B435" s="171"/>
    </row>
    <row r="436">
      <c r="B436" s="171"/>
    </row>
    <row r="437">
      <c r="B437" s="171"/>
    </row>
    <row r="438">
      <c r="B438" s="171"/>
    </row>
    <row r="439">
      <c r="B439" s="171"/>
    </row>
    <row r="440">
      <c r="B440" s="171"/>
    </row>
    <row r="441">
      <c r="B441" s="171"/>
    </row>
    <row r="442">
      <c r="B442" s="171"/>
    </row>
    <row r="443">
      <c r="B443" s="171"/>
    </row>
    <row r="444">
      <c r="B444" s="171"/>
    </row>
    <row r="445">
      <c r="B445" s="171"/>
    </row>
    <row r="446">
      <c r="B446" s="171"/>
    </row>
    <row r="447">
      <c r="B447" s="171"/>
    </row>
    <row r="448">
      <c r="B448" s="171"/>
    </row>
    <row r="449">
      <c r="B449" s="171"/>
    </row>
    <row r="450">
      <c r="B450" s="171"/>
    </row>
    <row r="451">
      <c r="B451" s="171"/>
    </row>
    <row r="452">
      <c r="B452" s="171"/>
    </row>
    <row r="453">
      <c r="B453" s="171"/>
    </row>
    <row r="454">
      <c r="B454" s="171"/>
    </row>
    <row r="455">
      <c r="B455" s="171"/>
    </row>
    <row r="456">
      <c r="B456" s="171"/>
    </row>
    <row r="457">
      <c r="B457" s="171"/>
    </row>
    <row r="458">
      <c r="B458" s="171"/>
    </row>
    <row r="459">
      <c r="B459" s="171"/>
    </row>
    <row r="460">
      <c r="B460" s="171"/>
    </row>
    <row r="461">
      <c r="B461" s="171"/>
    </row>
    <row r="462">
      <c r="B462" s="171"/>
    </row>
    <row r="463">
      <c r="B463" s="171"/>
    </row>
    <row r="464">
      <c r="B464" s="171"/>
    </row>
    <row r="465">
      <c r="B465" s="171"/>
    </row>
    <row r="466">
      <c r="B466" s="171"/>
    </row>
    <row r="467">
      <c r="B467" s="171"/>
    </row>
    <row r="468">
      <c r="B468" s="171"/>
    </row>
    <row r="469">
      <c r="B469" s="171"/>
    </row>
    <row r="470">
      <c r="B470" s="171"/>
    </row>
    <row r="471">
      <c r="B471" s="171"/>
    </row>
    <row r="472">
      <c r="B472" s="171"/>
    </row>
    <row r="473">
      <c r="B473" s="171"/>
    </row>
    <row r="474">
      <c r="B474" s="171"/>
    </row>
    <row r="475">
      <c r="B475" s="171"/>
    </row>
    <row r="476">
      <c r="B476" s="171"/>
    </row>
    <row r="477">
      <c r="B477" s="171"/>
    </row>
    <row r="478">
      <c r="B478" s="171"/>
    </row>
    <row r="479">
      <c r="B479" s="171"/>
    </row>
    <row r="480">
      <c r="B480" s="171"/>
    </row>
    <row r="481">
      <c r="B481" s="171"/>
    </row>
    <row r="482">
      <c r="B482" s="171"/>
    </row>
    <row r="483">
      <c r="B483" s="171"/>
    </row>
    <row r="484">
      <c r="B484" s="171"/>
    </row>
    <row r="485">
      <c r="B485" s="171"/>
    </row>
    <row r="486">
      <c r="B486" s="171"/>
    </row>
    <row r="487">
      <c r="B487" s="171"/>
    </row>
    <row r="488">
      <c r="B488" s="171"/>
    </row>
    <row r="489">
      <c r="B489" s="171"/>
    </row>
    <row r="490">
      <c r="B490" s="171"/>
    </row>
    <row r="491">
      <c r="B491" s="171"/>
    </row>
    <row r="492">
      <c r="B492" s="171"/>
    </row>
    <row r="493">
      <c r="B493" s="171"/>
    </row>
    <row r="494">
      <c r="B494" s="171"/>
    </row>
    <row r="495">
      <c r="B495" s="171"/>
    </row>
    <row r="496">
      <c r="B496" s="171"/>
    </row>
    <row r="497">
      <c r="B497" s="171"/>
    </row>
    <row r="498">
      <c r="B498" s="171"/>
    </row>
    <row r="499">
      <c r="B499" s="171"/>
    </row>
    <row r="500">
      <c r="B500" s="171"/>
    </row>
    <row r="501">
      <c r="B501" s="171"/>
    </row>
    <row r="502">
      <c r="B502" s="171"/>
    </row>
    <row r="503">
      <c r="B503" s="171"/>
    </row>
    <row r="504">
      <c r="B504" s="171"/>
    </row>
    <row r="505">
      <c r="B505" s="171"/>
    </row>
    <row r="506">
      <c r="B506" s="171"/>
    </row>
    <row r="507">
      <c r="B507" s="171"/>
    </row>
    <row r="508">
      <c r="B508" s="171"/>
    </row>
    <row r="509">
      <c r="B509" s="171"/>
    </row>
    <row r="510">
      <c r="B510" s="171"/>
    </row>
    <row r="511">
      <c r="B511" s="171"/>
    </row>
    <row r="512">
      <c r="B512" s="171"/>
    </row>
    <row r="513">
      <c r="B513" s="171"/>
    </row>
    <row r="514">
      <c r="B514" s="171"/>
    </row>
    <row r="515">
      <c r="B515" s="171"/>
    </row>
    <row r="516">
      <c r="B516" s="171"/>
    </row>
    <row r="517">
      <c r="B517" s="171"/>
    </row>
    <row r="518">
      <c r="B518" s="171"/>
    </row>
    <row r="519">
      <c r="B519" s="171"/>
    </row>
    <row r="520">
      <c r="B520" s="171"/>
    </row>
    <row r="521">
      <c r="B521" s="171"/>
    </row>
    <row r="522">
      <c r="B522" s="171"/>
    </row>
    <row r="523">
      <c r="B523" s="171"/>
    </row>
    <row r="524">
      <c r="B524" s="171"/>
    </row>
    <row r="525">
      <c r="B525" s="171"/>
    </row>
    <row r="526">
      <c r="B526" s="171"/>
    </row>
    <row r="527">
      <c r="B527" s="171"/>
    </row>
    <row r="528">
      <c r="B528" s="171"/>
    </row>
    <row r="529">
      <c r="B529" s="171"/>
    </row>
    <row r="530">
      <c r="B530" s="171"/>
    </row>
    <row r="531">
      <c r="B531" s="171"/>
    </row>
    <row r="532">
      <c r="B532" s="171"/>
    </row>
    <row r="533">
      <c r="B533" s="171"/>
    </row>
    <row r="534">
      <c r="B534" s="171"/>
    </row>
    <row r="535">
      <c r="B535" s="171"/>
    </row>
    <row r="536">
      <c r="B536" s="171"/>
    </row>
    <row r="537">
      <c r="B537" s="171"/>
    </row>
    <row r="538">
      <c r="B538" s="171"/>
    </row>
    <row r="539">
      <c r="B539" s="171"/>
    </row>
    <row r="540">
      <c r="B540" s="171"/>
    </row>
    <row r="541">
      <c r="B541" s="171"/>
    </row>
    <row r="542">
      <c r="B542" s="171"/>
    </row>
    <row r="543">
      <c r="B543" s="171"/>
    </row>
    <row r="544">
      <c r="B544" s="171"/>
    </row>
    <row r="545">
      <c r="B545" s="171"/>
    </row>
    <row r="546">
      <c r="B546" s="171"/>
    </row>
    <row r="547">
      <c r="B547" s="171"/>
    </row>
    <row r="548">
      <c r="B548" s="171"/>
    </row>
    <row r="549">
      <c r="B549" s="171"/>
    </row>
    <row r="550">
      <c r="B550" s="171"/>
    </row>
    <row r="551">
      <c r="B551" s="171"/>
    </row>
    <row r="552">
      <c r="B552" s="171"/>
    </row>
    <row r="553">
      <c r="B553" s="171"/>
    </row>
    <row r="554">
      <c r="B554" s="171"/>
    </row>
    <row r="555">
      <c r="B555" s="171"/>
    </row>
    <row r="556">
      <c r="B556" s="171"/>
    </row>
    <row r="557">
      <c r="B557" s="171"/>
    </row>
    <row r="558">
      <c r="B558" s="171"/>
    </row>
    <row r="559">
      <c r="B559" s="171"/>
    </row>
    <row r="560">
      <c r="B560" s="171"/>
    </row>
    <row r="561">
      <c r="B561" s="171"/>
    </row>
    <row r="562">
      <c r="B562" s="171"/>
    </row>
    <row r="563">
      <c r="B563" s="171"/>
    </row>
    <row r="564">
      <c r="B564" s="171"/>
    </row>
    <row r="565">
      <c r="B565" s="171"/>
    </row>
    <row r="566">
      <c r="B566" s="171"/>
    </row>
    <row r="567">
      <c r="B567" s="171"/>
    </row>
    <row r="568">
      <c r="B568" s="171"/>
    </row>
    <row r="569">
      <c r="B569" s="171"/>
    </row>
    <row r="570">
      <c r="B570" s="171"/>
    </row>
    <row r="571">
      <c r="B571" s="171"/>
    </row>
    <row r="572">
      <c r="B572" s="171"/>
    </row>
    <row r="573">
      <c r="B573" s="171"/>
    </row>
    <row r="574">
      <c r="B574" s="171"/>
    </row>
    <row r="575">
      <c r="B575" s="171"/>
    </row>
    <row r="576">
      <c r="B576" s="171"/>
    </row>
    <row r="577">
      <c r="B577" s="171"/>
    </row>
    <row r="578">
      <c r="B578" s="171"/>
    </row>
    <row r="579">
      <c r="B579" s="171"/>
    </row>
    <row r="580">
      <c r="B580" s="171"/>
    </row>
    <row r="581">
      <c r="B581" s="171"/>
    </row>
    <row r="582">
      <c r="B582" s="171"/>
    </row>
    <row r="583">
      <c r="B583" s="171"/>
    </row>
    <row r="584">
      <c r="B584" s="171"/>
    </row>
    <row r="585">
      <c r="B585" s="171"/>
    </row>
    <row r="586">
      <c r="B586" s="171"/>
    </row>
    <row r="587">
      <c r="B587" s="171"/>
    </row>
    <row r="588">
      <c r="B588" s="171"/>
    </row>
    <row r="589">
      <c r="B589" s="171"/>
    </row>
    <row r="590">
      <c r="B590" s="171"/>
    </row>
    <row r="591">
      <c r="B591" s="171"/>
    </row>
    <row r="592">
      <c r="B592" s="171"/>
    </row>
    <row r="593">
      <c r="B593" s="171"/>
    </row>
    <row r="594">
      <c r="B594" s="171"/>
    </row>
    <row r="595">
      <c r="B595" s="171"/>
    </row>
    <row r="596">
      <c r="B596" s="171"/>
    </row>
    <row r="597">
      <c r="B597" s="171"/>
    </row>
    <row r="598">
      <c r="B598" s="171"/>
    </row>
    <row r="599">
      <c r="B599" s="171"/>
    </row>
    <row r="600">
      <c r="B600" s="171"/>
    </row>
    <row r="601">
      <c r="B601" s="171"/>
    </row>
    <row r="602">
      <c r="B602" s="171"/>
    </row>
    <row r="603">
      <c r="B603" s="171"/>
    </row>
    <row r="604">
      <c r="B604" s="171"/>
    </row>
    <row r="605">
      <c r="B605" s="171"/>
    </row>
    <row r="606">
      <c r="B606" s="171"/>
    </row>
    <row r="607">
      <c r="B607" s="171"/>
    </row>
    <row r="608">
      <c r="B608" s="171"/>
    </row>
    <row r="609">
      <c r="B609" s="171"/>
    </row>
    <row r="610">
      <c r="B610" s="171"/>
    </row>
    <row r="611">
      <c r="B611" s="171"/>
    </row>
    <row r="612">
      <c r="B612" s="171"/>
    </row>
    <row r="613">
      <c r="B613" s="171"/>
    </row>
    <row r="614">
      <c r="B614" s="171"/>
    </row>
    <row r="615">
      <c r="B615" s="171"/>
    </row>
    <row r="616">
      <c r="B616" s="171"/>
    </row>
    <row r="617">
      <c r="B617" s="171"/>
    </row>
    <row r="618">
      <c r="B618" s="171"/>
    </row>
    <row r="619">
      <c r="B619" s="171"/>
    </row>
    <row r="620">
      <c r="B620" s="171"/>
    </row>
    <row r="621">
      <c r="B621" s="171"/>
    </row>
    <row r="622">
      <c r="B622" s="171"/>
    </row>
    <row r="623">
      <c r="B623" s="171"/>
    </row>
    <row r="624">
      <c r="B624" s="171"/>
    </row>
    <row r="625">
      <c r="B625" s="171"/>
    </row>
    <row r="626">
      <c r="B626" s="171"/>
    </row>
    <row r="627">
      <c r="B627" s="171"/>
    </row>
    <row r="628">
      <c r="B628" s="171"/>
    </row>
    <row r="629">
      <c r="B629" s="171"/>
    </row>
    <row r="630">
      <c r="B630" s="171"/>
    </row>
    <row r="631">
      <c r="B631" s="171"/>
    </row>
    <row r="632">
      <c r="B632" s="171"/>
    </row>
    <row r="633">
      <c r="B633" s="171"/>
    </row>
    <row r="634">
      <c r="B634" s="171"/>
    </row>
    <row r="635">
      <c r="B635" s="171"/>
    </row>
    <row r="636">
      <c r="B636" s="171"/>
    </row>
    <row r="637">
      <c r="B637" s="171"/>
    </row>
    <row r="638">
      <c r="B638" s="171"/>
    </row>
    <row r="639">
      <c r="B639" s="171"/>
    </row>
    <row r="640">
      <c r="B640" s="171"/>
    </row>
    <row r="641">
      <c r="B641" s="171"/>
    </row>
    <row r="642">
      <c r="B642" s="171"/>
    </row>
    <row r="643">
      <c r="B643" s="171"/>
    </row>
    <row r="644">
      <c r="B644" s="171"/>
    </row>
    <row r="645">
      <c r="B645" s="171"/>
    </row>
    <row r="646">
      <c r="B646" s="171"/>
    </row>
    <row r="647">
      <c r="B647" s="171"/>
    </row>
    <row r="648">
      <c r="B648" s="171"/>
    </row>
    <row r="649">
      <c r="B649" s="171"/>
    </row>
    <row r="650">
      <c r="B650" s="171"/>
    </row>
    <row r="651">
      <c r="B651" s="171"/>
    </row>
    <row r="652">
      <c r="B652" s="171"/>
    </row>
    <row r="653">
      <c r="B653" s="171"/>
    </row>
    <row r="654">
      <c r="B654" s="171"/>
    </row>
    <row r="655">
      <c r="B655" s="171"/>
    </row>
    <row r="656">
      <c r="B656" s="171"/>
    </row>
    <row r="657">
      <c r="B657" s="171"/>
    </row>
    <row r="658">
      <c r="B658" s="171"/>
    </row>
    <row r="659">
      <c r="B659" s="171"/>
    </row>
    <row r="660">
      <c r="B660" s="171"/>
    </row>
    <row r="661">
      <c r="B661" s="171"/>
    </row>
    <row r="662">
      <c r="B662" s="171"/>
    </row>
    <row r="663">
      <c r="B663" s="171"/>
    </row>
    <row r="664">
      <c r="B664" s="171"/>
    </row>
    <row r="665">
      <c r="B665" s="171"/>
    </row>
    <row r="666">
      <c r="B666" s="171"/>
    </row>
    <row r="667">
      <c r="B667" s="171"/>
    </row>
    <row r="668">
      <c r="B668" s="171"/>
    </row>
    <row r="669">
      <c r="B669" s="171"/>
    </row>
    <row r="670">
      <c r="B670" s="171"/>
    </row>
    <row r="671">
      <c r="B671" s="171"/>
    </row>
    <row r="672">
      <c r="B672" s="171"/>
    </row>
    <row r="673">
      <c r="B673" s="171"/>
    </row>
    <row r="674">
      <c r="B674" s="171"/>
    </row>
    <row r="675">
      <c r="B675" s="171"/>
    </row>
    <row r="676">
      <c r="B676" s="171"/>
    </row>
    <row r="677">
      <c r="B677" s="171"/>
    </row>
    <row r="678">
      <c r="B678" s="171"/>
    </row>
    <row r="679">
      <c r="B679" s="171"/>
    </row>
    <row r="680">
      <c r="B680" s="171"/>
    </row>
    <row r="681">
      <c r="B681" s="171"/>
    </row>
    <row r="682">
      <c r="B682" s="171"/>
    </row>
    <row r="683">
      <c r="B683" s="171"/>
    </row>
    <row r="684">
      <c r="B684" s="171"/>
    </row>
    <row r="685">
      <c r="B685" s="171"/>
    </row>
    <row r="686">
      <c r="B686" s="171"/>
    </row>
    <row r="687">
      <c r="B687" s="171"/>
    </row>
    <row r="688">
      <c r="B688" s="171"/>
    </row>
    <row r="689">
      <c r="B689" s="171"/>
    </row>
    <row r="690">
      <c r="B690" s="171"/>
    </row>
    <row r="691">
      <c r="B691" s="171"/>
    </row>
    <row r="692">
      <c r="B692" s="171"/>
    </row>
    <row r="693">
      <c r="B693" s="171"/>
    </row>
    <row r="694">
      <c r="B694" s="171"/>
    </row>
    <row r="695">
      <c r="B695" s="171"/>
    </row>
    <row r="696">
      <c r="B696" s="171"/>
    </row>
    <row r="697">
      <c r="B697" s="171"/>
    </row>
    <row r="698">
      <c r="B698" s="171"/>
    </row>
    <row r="699">
      <c r="B699" s="171"/>
    </row>
    <row r="700">
      <c r="B700" s="171"/>
    </row>
    <row r="701">
      <c r="B701" s="171"/>
    </row>
    <row r="702">
      <c r="B702" s="171"/>
    </row>
    <row r="703">
      <c r="B703" s="171"/>
    </row>
    <row r="704">
      <c r="B704" s="171"/>
    </row>
    <row r="705">
      <c r="B705" s="171"/>
    </row>
    <row r="706">
      <c r="B706" s="171"/>
    </row>
    <row r="707">
      <c r="B707" s="171"/>
    </row>
    <row r="708">
      <c r="B708" s="171"/>
    </row>
    <row r="709">
      <c r="B709" s="171"/>
    </row>
    <row r="710">
      <c r="B710" s="171"/>
    </row>
    <row r="711">
      <c r="B711" s="171"/>
    </row>
    <row r="712">
      <c r="B712" s="171"/>
    </row>
    <row r="713">
      <c r="B713" s="171"/>
    </row>
    <row r="714">
      <c r="B714" s="171"/>
    </row>
    <row r="715">
      <c r="B715" s="171"/>
    </row>
    <row r="716">
      <c r="B716" s="171"/>
    </row>
    <row r="717">
      <c r="B717" s="171"/>
    </row>
    <row r="718">
      <c r="B718" s="171"/>
    </row>
    <row r="719">
      <c r="B719" s="171"/>
    </row>
    <row r="720">
      <c r="B720" s="171"/>
    </row>
    <row r="721">
      <c r="B721" s="171"/>
    </row>
    <row r="722">
      <c r="B722" s="171"/>
    </row>
    <row r="723">
      <c r="B723" s="171"/>
    </row>
    <row r="724">
      <c r="B724" s="171"/>
    </row>
    <row r="725">
      <c r="B725" s="171"/>
    </row>
    <row r="726">
      <c r="B726" s="171"/>
    </row>
    <row r="727">
      <c r="B727" s="171"/>
    </row>
    <row r="728">
      <c r="B728" s="171"/>
    </row>
    <row r="729">
      <c r="B729" s="171"/>
    </row>
    <row r="730">
      <c r="B730" s="171"/>
    </row>
    <row r="731">
      <c r="B731" s="171"/>
    </row>
    <row r="732">
      <c r="B732" s="171"/>
    </row>
    <row r="733">
      <c r="B733" s="171"/>
    </row>
    <row r="734">
      <c r="B734" s="171"/>
    </row>
    <row r="735">
      <c r="B735" s="171"/>
    </row>
    <row r="736">
      <c r="B736" s="171"/>
    </row>
    <row r="737">
      <c r="B737" s="171"/>
    </row>
    <row r="738">
      <c r="B738" s="171"/>
    </row>
    <row r="739">
      <c r="B739" s="171"/>
    </row>
    <row r="740">
      <c r="B740" s="171"/>
    </row>
    <row r="741">
      <c r="B741" s="171"/>
    </row>
    <row r="742">
      <c r="B742" s="171"/>
    </row>
    <row r="743">
      <c r="B743" s="171"/>
    </row>
    <row r="744">
      <c r="B744" s="171"/>
    </row>
    <row r="745">
      <c r="B745" s="171"/>
    </row>
    <row r="746">
      <c r="B746" s="171"/>
    </row>
    <row r="747">
      <c r="B747" s="171"/>
    </row>
    <row r="748">
      <c r="B748" s="171"/>
    </row>
    <row r="749">
      <c r="B749" s="171"/>
    </row>
    <row r="750">
      <c r="B750" s="171"/>
    </row>
    <row r="751">
      <c r="B751" s="171"/>
    </row>
    <row r="752">
      <c r="B752" s="171"/>
    </row>
    <row r="753">
      <c r="B753" s="171"/>
    </row>
    <row r="754">
      <c r="B754" s="171"/>
    </row>
    <row r="755">
      <c r="B755" s="171"/>
    </row>
    <row r="756">
      <c r="B756" s="171"/>
    </row>
    <row r="757">
      <c r="B757" s="171"/>
    </row>
    <row r="758">
      <c r="B758" s="171"/>
    </row>
    <row r="759">
      <c r="B759" s="171"/>
    </row>
    <row r="760">
      <c r="B760" s="171"/>
    </row>
    <row r="761">
      <c r="B761" s="171"/>
    </row>
    <row r="762">
      <c r="B762" s="171"/>
    </row>
    <row r="763">
      <c r="B763" s="171"/>
    </row>
    <row r="764">
      <c r="B764" s="171"/>
    </row>
    <row r="765">
      <c r="B765" s="171"/>
    </row>
    <row r="766">
      <c r="B766" s="171"/>
    </row>
    <row r="767">
      <c r="B767" s="171"/>
    </row>
    <row r="768">
      <c r="B768" s="171"/>
    </row>
    <row r="769">
      <c r="B769" s="171"/>
    </row>
    <row r="770">
      <c r="B770" s="171"/>
    </row>
    <row r="771">
      <c r="B771" s="171"/>
    </row>
    <row r="772">
      <c r="B772" s="171"/>
    </row>
    <row r="773">
      <c r="B773" s="171"/>
    </row>
    <row r="774">
      <c r="B774" s="171"/>
    </row>
    <row r="775">
      <c r="B775" s="171"/>
    </row>
    <row r="776">
      <c r="B776" s="171"/>
    </row>
    <row r="777">
      <c r="B777" s="171"/>
    </row>
    <row r="778">
      <c r="B778" s="171"/>
    </row>
    <row r="779">
      <c r="B779" s="171"/>
    </row>
    <row r="780">
      <c r="B780" s="171"/>
    </row>
    <row r="781">
      <c r="B781" s="171"/>
    </row>
    <row r="782">
      <c r="B782" s="171"/>
    </row>
    <row r="783">
      <c r="B783" s="171"/>
    </row>
    <row r="784">
      <c r="B784" s="171"/>
    </row>
    <row r="785">
      <c r="B785" s="171"/>
    </row>
    <row r="786">
      <c r="B786" s="171"/>
    </row>
    <row r="787">
      <c r="B787" s="171"/>
    </row>
    <row r="788">
      <c r="B788" s="171"/>
    </row>
    <row r="789">
      <c r="B789" s="171"/>
    </row>
    <row r="790">
      <c r="B790" s="171"/>
    </row>
    <row r="791">
      <c r="B791" s="171"/>
    </row>
    <row r="792">
      <c r="B792" s="171"/>
    </row>
    <row r="793">
      <c r="B793" s="171"/>
    </row>
    <row r="794">
      <c r="B794" s="171"/>
    </row>
    <row r="795">
      <c r="B795" s="171"/>
    </row>
    <row r="796">
      <c r="B796" s="171"/>
    </row>
    <row r="797">
      <c r="B797" s="171"/>
    </row>
    <row r="798">
      <c r="B798" s="171"/>
    </row>
    <row r="799">
      <c r="B799" s="171"/>
    </row>
    <row r="800">
      <c r="B800" s="171"/>
    </row>
    <row r="801">
      <c r="B801" s="171"/>
    </row>
    <row r="802">
      <c r="B802" s="171"/>
    </row>
    <row r="803">
      <c r="B803" s="171"/>
    </row>
    <row r="804">
      <c r="B804" s="171"/>
    </row>
    <row r="805">
      <c r="B805" s="171"/>
    </row>
    <row r="806">
      <c r="B806" s="171"/>
    </row>
    <row r="807">
      <c r="B807" s="171"/>
    </row>
    <row r="808">
      <c r="B808" s="171"/>
    </row>
    <row r="809">
      <c r="B809" s="171"/>
    </row>
    <row r="810">
      <c r="B810" s="171"/>
    </row>
    <row r="811">
      <c r="B811" s="171"/>
    </row>
    <row r="812">
      <c r="B812" s="171"/>
    </row>
    <row r="813">
      <c r="B813" s="171"/>
    </row>
    <row r="814">
      <c r="B814" s="171"/>
    </row>
    <row r="815">
      <c r="B815" s="171"/>
    </row>
    <row r="816">
      <c r="B816" s="171"/>
    </row>
    <row r="817">
      <c r="B817" s="171"/>
    </row>
    <row r="818">
      <c r="B818" s="171"/>
    </row>
    <row r="819">
      <c r="B819" s="171"/>
    </row>
    <row r="820">
      <c r="B820" s="171"/>
    </row>
    <row r="821">
      <c r="B821" s="171"/>
    </row>
    <row r="822">
      <c r="B822" s="171"/>
    </row>
    <row r="823">
      <c r="B823" s="171"/>
    </row>
    <row r="824">
      <c r="B824" s="171"/>
    </row>
    <row r="825">
      <c r="B825" s="171"/>
    </row>
    <row r="826">
      <c r="B826" s="171"/>
    </row>
    <row r="827">
      <c r="B827" s="171"/>
    </row>
    <row r="828">
      <c r="B828" s="171"/>
    </row>
    <row r="829">
      <c r="B829" s="171"/>
    </row>
    <row r="830">
      <c r="B830" s="171"/>
    </row>
    <row r="831">
      <c r="B831" s="171"/>
    </row>
    <row r="832">
      <c r="B832" s="171"/>
    </row>
    <row r="833">
      <c r="B833" s="171"/>
    </row>
    <row r="834">
      <c r="B834" s="171"/>
    </row>
    <row r="835">
      <c r="B835" s="171"/>
    </row>
    <row r="836">
      <c r="B836" s="171"/>
    </row>
    <row r="837">
      <c r="B837" s="171"/>
    </row>
    <row r="838">
      <c r="B838" s="171"/>
    </row>
    <row r="839">
      <c r="B839" s="171"/>
    </row>
    <row r="840">
      <c r="B840" s="171"/>
    </row>
    <row r="841">
      <c r="B841" s="171"/>
    </row>
    <row r="842">
      <c r="B842" s="171"/>
    </row>
    <row r="843">
      <c r="B843" s="171"/>
    </row>
    <row r="844">
      <c r="B844" s="171"/>
    </row>
    <row r="845">
      <c r="B845" s="171"/>
    </row>
    <row r="846">
      <c r="B846" s="171"/>
    </row>
    <row r="847">
      <c r="B847" s="171"/>
    </row>
    <row r="848">
      <c r="B848" s="171"/>
    </row>
    <row r="849">
      <c r="B849" s="171"/>
    </row>
    <row r="850">
      <c r="B850" s="171"/>
    </row>
    <row r="851">
      <c r="B851" s="171"/>
    </row>
    <row r="852">
      <c r="B852" s="171"/>
    </row>
    <row r="853">
      <c r="B853" s="171"/>
    </row>
    <row r="854">
      <c r="B854" s="171"/>
    </row>
    <row r="855">
      <c r="B855" s="171"/>
    </row>
    <row r="856">
      <c r="B856" s="171"/>
    </row>
    <row r="857">
      <c r="B857" s="171"/>
    </row>
    <row r="858">
      <c r="B858" s="171"/>
    </row>
    <row r="859">
      <c r="B859" s="171"/>
    </row>
    <row r="860">
      <c r="B860" s="171"/>
    </row>
    <row r="861">
      <c r="B861" s="171"/>
    </row>
    <row r="862">
      <c r="B862" s="171"/>
    </row>
    <row r="863">
      <c r="B863" s="171"/>
    </row>
    <row r="864">
      <c r="B864" s="171"/>
    </row>
    <row r="865">
      <c r="B865" s="171"/>
    </row>
    <row r="866">
      <c r="B866" s="171"/>
    </row>
    <row r="867">
      <c r="B867" s="171"/>
    </row>
    <row r="868">
      <c r="B868" s="171"/>
    </row>
    <row r="869">
      <c r="B869" s="171"/>
    </row>
    <row r="870">
      <c r="B870" s="171"/>
    </row>
    <row r="871">
      <c r="B871" s="171"/>
    </row>
    <row r="872">
      <c r="B872" s="171"/>
    </row>
    <row r="873">
      <c r="B873" s="171"/>
    </row>
    <row r="874">
      <c r="B874" s="171"/>
    </row>
    <row r="875">
      <c r="B875" s="171"/>
    </row>
    <row r="876">
      <c r="B876" s="171"/>
    </row>
    <row r="877">
      <c r="B877" s="171"/>
    </row>
    <row r="878">
      <c r="B878" s="171"/>
    </row>
    <row r="879">
      <c r="B879" s="171"/>
    </row>
    <row r="880">
      <c r="B880" s="171"/>
    </row>
    <row r="881">
      <c r="B881" s="171"/>
    </row>
    <row r="882">
      <c r="B882" s="171"/>
    </row>
    <row r="883">
      <c r="B883" s="171"/>
    </row>
    <row r="884">
      <c r="B884" s="171"/>
    </row>
    <row r="885">
      <c r="B885" s="171"/>
    </row>
    <row r="886">
      <c r="B886" s="171"/>
    </row>
    <row r="887">
      <c r="B887" s="171"/>
    </row>
    <row r="888">
      <c r="B888" s="171"/>
    </row>
    <row r="889">
      <c r="B889" s="171"/>
    </row>
    <row r="890">
      <c r="B890" s="171"/>
    </row>
    <row r="891">
      <c r="B891" s="171"/>
    </row>
    <row r="892">
      <c r="B892" s="171"/>
    </row>
    <row r="893">
      <c r="B893" s="171"/>
    </row>
    <row r="894">
      <c r="B894" s="171"/>
    </row>
    <row r="895">
      <c r="B895" s="171"/>
    </row>
    <row r="896">
      <c r="B896" s="171"/>
    </row>
    <row r="897">
      <c r="B897" s="171"/>
    </row>
    <row r="898">
      <c r="B898" s="171"/>
    </row>
    <row r="899">
      <c r="B899" s="171"/>
    </row>
    <row r="900">
      <c r="B900" s="171"/>
    </row>
    <row r="901">
      <c r="B901" s="171"/>
    </row>
    <row r="902">
      <c r="B902" s="171"/>
    </row>
    <row r="903">
      <c r="B903" s="171"/>
    </row>
    <row r="904">
      <c r="B904" s="171"/>
    </row>
    <row r="905">
      <c r="B905" s="171"/>
    </row>
    <row r="906">
      <c r="B906" s="171"/>
    </row>
    <row r="907">
      <c r="B907" s="171"/>
    </row>
    <row r="908">
      <c r="B908" s="171"/>
    </row>
    <row r="909">
      <c r="B909" s="171"/>
    </row>
    <row r="910">
      <c r="B910" s="171"/>
    </row>
    <row r="911">
      <c r="B911" s="171"/>
    </row>
    <row r="912">
      <c r="B912" s="171"/>
    </row>
    <row r="913">
      <c r="B913" s="171"/>
    </row>
    <row r="914">
      <c r="B914" s="171"/>
    </row>
    <row r="915">
      <c r="B915" s="171"/>
    </row>
    <row r="916">
      <c r="B916" s="171"/>
    </row>
    <row r="917">
      <c r="B917" s="171"/>
    </row>
    <row r="918">
      <c r="B918" s="171"/>
    </row>
    <row r="919">
      <c r="B919" s="171"/>
    </row>
    <row r="920">
      <c r="B920" s="171"/>
    </row>
    <row r="921">
      <c r="B921" s="171"/>
    </row>
    <row r="922">
      <c r="B922" s="171"/>
    </row>
    <row r="923">
      <c r="B923" s="171"/>
    </row>
    <row r="924">
      <c r="B924" s="171"/>
    </row>
    <row r="925">
      <c r="B925" s="171"/>
    </row>
    <row r="926">
      <c r="B926" s="171"/>
    </row>
    <row r="927">
      <c r="B927" s="171"/>
    </row>
    <row r="928">
      <c r="B928" s="171"/>
    </row>
    <row r="929">
      <c r="B929" s="171"/>
    </row>
    <row r="930">
      <c r="B930" s="171"/>
    </row>
    <row r="931">
      <c r="B931" s="171"/>
    </row>
    <row r="932">
      <c r="B932" s="171"/>
    </row>
    <row r="933">
      <c r="B933" s="171"/>
    </row>
    <row r="934">
      <c r="B934" s="171"/>
    </row>
    <row r="935">
      <c r="B935" s="171"/>
    </row>
    <row r="936">
      <c r="B936" s="171"/>
    </row>
    <row r="937">
      <c r="B937" s="171"/>
    </row>
    <row r="938">
      <c r="B938" s="171"/>
    </row>
    <row r="939">
      <c r="B939" s="171"/>
    </row>
    <row r="940">
      <c r="B940" s="171"/>
    </row>
    <row r="941">
      <c r="B941" s="171"/>
    </row>
    <row r="942">
      <c r="B942" s="171"/>
    </row>
    <row r="943">
      <c r="B943" s="171"/>
    </row>
    <row r="944">
      <c r="B944" s="171"/>
    </row>
    <row r="945">
      <c r="B945" s="171"/>
    </row>
    <row r="946">
      <c r="B946" s="171"/>
    </row>
    <row r="947">
      <c r="B947" s="171"/>
    </row>
    <row r="948">
      <c r="B948" s="171"/>
    </row>
    <row r="949">
      <c r="B949" s="171"/>
    </row>
    <row r="950">
      <c r="B950" s="171"/>
    </row>
    <row r="951">
      <c r="B951" s="171"/>
    </row>
    <row r="952">
      <c r="B952" s="171"/>
    </row>
    <row r="953">
      <c r="B953" s="171"/>
    </row>
    <row r="954">
      <c r="B954" s="171"/>
    </row>
    <row r="955">
      <c r="B955" s="171"/>
    </row>
    <row r="956">
      <c r="B956" s="171"/>
    </row>
    <row r="957">
      <c r="B957" s="171"/>
    </row>
    <row r="958">
      <c r="B958" s="171"/>
    </row>
    <row r="959">
      <c r="B959" s="171"/>
    </row>
    <row r="960">
      <c r="B960" s="171"/>
    </row>
    <row r="961">
      <c r="B961" s="171"/>
    </row>
    <row r="962">
      <c r="B962" s="171"/>
    </row>
    <row r="963">
      <c r="B963" s="171"/>
    </row>
    <row r="964">
      <c r="B964" s="171"/>
    </row>
    <row r="965">
      <c r="B965" s="171"/>
    </row>
    <row r="966">
      <c r="B966" s="171"/>
    </row>
    <row r="967">
      <c r="B967" s="171"/>
    </row>
    <row r="968">
      <c r="B968" s="171"/>
    </row>
    <row r="969">
      <c r="B969" s="171"/>
    </row>
    <row r="970">
      <c r="B970" s="171"/>
    </row>
  </sheetData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9" t="s">
        <v>304</v>
      </c>
      <c r="B1" s="79" t="s">
        <v>306</v>
      </c>
      <c r="C1" s="79" t="s">
        <v>521</v>
      </c>
      <c r="D1" s="79" t="s">
        <v>522</v>
      </c>
      <c r="E1" s="79" t="s">
        <v>220</v>
      </c>
      <c r="F1" s="79" t="s">
        <v>523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6" t="s">
        <v>524</v>
      </c>
      <c r="B1" s="66" t="s">
        <v>525</v>
      </c>
    </row>
    <row r="2">
      <c r="A2" s="66">
        <v>2383.0</v>
      </c>
      <c r="B2" s="158">
        <v>0.982</v>
      </c>
      <c r="C2" s="158">
        <v>0.491</v>
      </c>
      <c r="D2" s="172" t="s">
        <v>282</v>
      </c>
      <c r="E2" s="158">
        <f>((B2-C2)/C2)</f>
        <v>1</v>
      </c>
      <c r="F2" s="158">
        <f>C2/B2</f>
        <v>0.5</v>
      </c>
      <c r="G2" s="158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