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commentsmeta8"/>
  <Override ContentType="application/binary" PartName="/xl/commentsmeta9"/>
  <Override ContentType="application/binary" PartName="/xl/commentsmeta6"/>
  <Override ContentType="application/binary" PartName="/xl/commentsmeta7"/>
  <Override ContentType="application/binary" PartName="/xl/commentsmeta4"/>
  <Override ContentType="application/binary" PartName="/xl/commentsmeta5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8.xml"/>
  <Override ContentType="application/vnd.openxmlformats-officedocument.spreadsheetml.comments+xml" PartName="/xl/comments7.xml"/>
  <Override ContentType="application/vnd.openxmlformats-officedocument.spreadsheetml.comments+xml" PartName="/xl/comments9.xml"/>
  <Override ContentType="application/vnd.openxmlformats-officedocument.spreadsheetml.comments+xml" PartName="/xl/comments10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ee inventory" sheetId="1" r:id="rId4"/>
    <sheet state="visible" name="Tree_Sites" sheetId="2" r:id="rId5"/>
    <sheet state="visible" name="AlAs DATA" sheetId="3" r:id="rId6"/>
    <sheet state="visible" name="LFM DATA" sheetId="4" r:id="rId7"/>
    <sheet state="visible" name="RWC DATA" sheetId="5" r:id="rId8"/>
    <sheet state="visible" name="Ks DATA" sheetId="6" r:id="rId9"/>
    <sheet state="visible" name="PV DATA" sheetId="7" r:id="rId10"/>
    <sheet state="visible" name="218-221 WP + LWC" sheetId="8" r:id="rId11"/>
    <sheet state="visible" name="228 WP + LWC" sheetId="9" r:id="rId12"/>
    <sheet state="visible" name="33-34 WP + LWC" sheetId="10" r:id="rId13"/>
    <sheet state="visible" name="38-311 WP + LWC" sheetId="11" r:id="rId14"/>
    <sheet state="visible" name="315 WP + LWC" sheetId="12" r:id="rId15"/>
    <sheet state="visible" name="325-327 WP + LWC" sheetId="13" r:id="rId16"/>
    <sheet state="visible" name="330 WP + LWC" sheetId="14" r:id="rId17"/>
    <sheet state="visible" name="44 WP + LWC" sheetId="15" r:id="rId18"/>
    <sheet state="visible" name="46 WP + LWC" sheetId="16" r:id="rId19"/>
    <sheet state="visible" name="411-412 WP + LWC" sheetId="17" r:id="rId20"/>
    <sheet state="visible" name="413-414 WP + LWC" sheetId="18" r:id="rId21"/>
    <sheet state="visible" name="425 WP + LWC" sheetId="19" r:id="rId22"/>
    <sheet state="visible" name="427 WP + LWC" sheetId="20" r:id="rId23"/>
    <sheet state="visible" name="54 WP + LWC" sheetId="21" r:id="rId24"/>
    <sheet state="visible" name="523 WP + LWC" sheetId="22" r:id="rId25"/>
    <sheet state="visible" name="525 WP + LWC" sheetId="23" r:id="rId26"/>
  </sheets>
  <definedNames/>
  <calcPr/>
  <extLst>
    <ext uri="GoogleSheetsCustomDataVersion1">
      <go:sheetsCustomData xmlns:go="http://customooxmlschemas.google.com/" r:id="rId27" roundtripDataSignature="AMtx7miKyYmOLZx21ViMGFq4fyh0FEBVT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P32">
      <text>
        <t xml:space="preserve">======
ID#AAAAVojBp-s
Indra Boving    (2022-03-08 17:34:33)
hard to read</t>
      </text>
    </comment>
    <comment authorId="0" ref="AO24">
      <text>
        <t xml:space="preserve">======
ID#AAAAVojBp-o
Indra Boving    (2022-03-08 17:30:08)
probably overshot</t>
      </text>
    </comment>
    <comment authorId="0" ref="AP49">
      <text>
        <t xml:space="preserve">======
ID#AAAAVojBp-k
Indra Boving    (2022-03-08 17:29:32)
end of branchlet wasn't straight</t>
      </text>
    </comment>
    <comment authorId="0" ref="AR35">
      <text>
        <t xml:space="preserve">======
ID#AAAAVojBp-g
Indra Boving    (2022-03-08 17:26:28)
these were taken on the branches - the others used leaves, and are more reliable</t>
      </text>
    </comment>
    <comment authorId="0" ref="AS35">
      <text>
        <t xml:space="preserve">======
ID#AAAAVojBp-c
Indra Boving    (2022-03-08 17:26:05)
these were taken on the branches - the others used leaves, and are more reliable</t>
      </text>
    </comment>
    <comment authorId="0" ref="G26">
      <text>
        <t xml:space="preserve">======
ID#AAAAWHQiSMY
    (2022-03-01 22:25:29)
and 11</t>
      </text>
    </comment>
    <comment authorId="0" ref="G30">
      <text>
        <t xml:space="preserve">======
ID#AAAAWHQiSMU
    (2022-03-01 22:25:29)
21.9 and 13.6</t>
      </text>
    </comment>
    <comment authorId="0" ref="G82">
      <text>
        <t xml:space="preserve">======
ID#AAAAWHQiSMQ
    (2022-03-01 22:25:29)
and 32.6 for other limb. base diameter = ~75</t>
      </text>
    </comment>
    <comment authorId="0" ref="E73">
      <text>
        <t xml:space="preserve">======
ID#AAAAWHQiSMM
    (2022-03-01 22:25:29)
on isotope sample, known as 85.2</t>
      </text>
    </comment>
    <comment authorId="0" ref="G66">
      <text>
        <t xml:space="preserve">======
ID#AAAAWHQiSMI
    (2022-03-01 22:25:29)
and 30.3</t>
      </text>
    </comment>
    <comment authorId="0" ref="G50">
      <text>
        <t xml:space="preserve">======
ID#AAAAWHQiSME
    (2022-03-01 22:25:29)
and 19</t>
      </text>
    </comment>
    <comment authorId="0" ref="G52">
      <text>
        <t xml:space="preserve">======
ID#AAAAWHQiSL8
    (2022-03-01 22:25:29)
and 28.6</t>
      </text>
    </comment>
    <comment authorId="0" ref="E87">
      <text>
        <t xml:space="preserve">======
ID#AAAAWHQiSL4
    (2022-03-01 22:25:29)
written as 70.9 for core ID</t>
      </text>
    </comment>
    <comment authorId="0" ref="G69">
      <text>
        <t xml:space="preserve">======
ID#AAAAWHQiSMA
    (2022-03-01 22:25:29)
and 25.7</t>
      </text>
    </comment>
    <comment authorId="0" ref="G28">
      <text>
        <t xml:space="preserve">======
ID#AAAAWHQiSLw
    (2022-03-01 22:25:29)
and 16</t>
      </text>
    </comment>
    <comment authorId="0" ref="G86">
      <text>
        <t xml:space="preserve">======
ID#AAAAWHQiSL0
    (2022-03-01 22:25:29)
and 29.3</t>
      </text>
    </comment>
  </commentList>
  <extLst>
    <ext uri="GoogleSheetsCustomDataVersion1">
      <go:sheetsCustomData xmlns:go="http://customooxmlschemas.google.com/" r:id="rId1" roundtripDataSignature="AMtx7mjIh/1pWSVH7dytYonMmcrelDTtHQ=="/>
    </ext>
  </extLst>
</comments>
</file>

<file path=xl/comments10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O32">
      <text>
        <t xml:space="preserve">======
ID#AAAAZlx_HYM
Isobel Mifsud    (2022-05-18 21:36:04)
weight includes stem</t>
      </text>
    </comment>
    <comment authorId="0" ref="I32">
      <text>
        <t xml:space="preserve">======
ID#AAAAZlx_HYI
Isobel Mifsud    (2022-05-18 21:35:49)
weight includes stem</t>
      </text>
    </comment>
  </commentList>
  <extLst>
    <ext uri="GoogleSheetsCustomDataVersion1">
      <go:sheetsCustomData xmlns:go="http://customooxmlschemas.google.com/" r:id="rId1" roundtripDataSignature="AMtx7mg7OecrgX185dBbJpGZawFRwFAqCQ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582">
      <text>
        <t xml:space="preserve">======
ID#AAAAaNwZ2hw
Bergen Foshay    (2022-05-31 22:42:14)
Rehydrated 20 hrs.</t>
      </text>
    </comment>
    <comment authorId="0" ref="A580">
      <text>
        <t xml:space="preserve">======
ID#AAAAaNwZ2hs
Bergen Foshay    (2022-05-31 22:39:23)
Rehydrated 20 hrs.</t>
      </text>
    </comment>
    <comment authorId="0" ref="A574">
      <text>
        <t xml:space="preserve">======
ID#AAAAaNwZ2hk
Bergen Foshay    (2022-05-31 22:32:35)
20 hr. rehydration</t>
      </text>
    </comment>
    <comment authorId="0" ref="A560">
      <text>
        <t xml:space="preserve">======
ID#AAAAaNwZ2hY
Bergen Foshay    (2022-05-31 22:13:20)
Not in H2O</t>
      </text>
    </comment>
  </commentList>
  <extLst>
    <ext uri="GoogleSheetsCustomDataVersion1">
      <go:sheetsCustomData xmlns:go="http://customooxmlschemas.google.com/" r:id="rId1" roundtripDataSignature="AMtx7mgb9m854vifUuSHNWGqqklQg4abpw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67">
      <text>
        <t xml:space="preserve">======
ID#AAAAZZWAId4
Isobel Mifsud    (2022-05-18 20:13:06)
possibly 2365.5</t>
      </text>
    </comment>
  </commentList>
  <extLst>
    <ext uri="GoogleSheetsCustomDataVersion1">
      <go:sheetsCustomData xmlns:go="http://customooxmlschemas.google.com/" r:id="rId1" roundtripDataSignature="AMtx7mheKkVRuMc3NJpJXR82vUiEqtLiVg=="/>
    </ext>
  </extL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C107">
      <text>
        <t xml:space="preserve">======
ID#AAAAXENPBpc
Isobel Mifsud    (2022-03-22 17:18:21)
Where are WPs and wet weights for 2381/2382?</t>
      </text>
    </comment>
  </commentList>
  <extLst>
    <ext uri="GoogleSheetsCustomDataVersion1">
      <go:sheetsCustomData xmlns:go="http://customooxmlschemas.google.com/" r:id="rId1" roundtripDataSignature="AMtx7mhIt582xy95reGUadEW8co+xh5Ufw=="/>
    </ext>
  </extL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A110">
      <text>
        <t xml:space="preserve">======
ID#AAAAY2UGoCw
Elijah Joseph    (2022-05-10 21:49:42)
Measured at .1624 after cutting under water</t>
      </text>
    </comment>
  </commentList>
  <extLst>
    <ext uri="GoogleSheetsCustomDataVersion1">
      <go:sheetsCustomData xmlns:go="http://customooxmlschemas.google.com/" r:id="rId1" roundtripDataSignature="AMtx7mjn7Cz7pzpBiXLsVcHjbsvx1xhmBA=="/>
    </ext>
  </extL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32">
      <text>
        <t xml:space="preserve">======
ID#AAAAWZwZh0c
Isobel Mifsud    (2022-03-28 21:57:01)
We have dry weights for 2377 from both 3/8 and 3/11, also more dry weights than water potentials</t>
      </text>
    </comment>
    <comment authorId="0" ref="C149">
      <text>
        <t xml:space="preserve">======
ID#AAAAWZwqCGI
Isobel Mifsud    (2022-03-28 19:25:40)
Labelled correctly?
------
ID#AAAAX0s1gQ4
Leander Love-Anderegg    (2022-04-04 16:10:59)
I think this must be 2367?
------
ID#AAAAX0s1gQ8
Leander Love-Anderegg    (2022-04-04 16:15:53)
2367 was missing MD values (except bulk_dry), so I pasted these values in.</t>
      </text>
    </comment>
    <comment authorId="0" ref="G110">
      <text>
        <t xml:space="preserve">======
ID#AAAAXENPBqY
Isobel Mifsud    (2022-03-22 18:36:23)
Missing wet weights for 2382/2384</t>
      </text>
    </comment>
    <comment authorId="0" ref="G5">
      <text>
        <t xml:space="preserve">======
ID#AAAAXENPBqA
Isobel Mifsud    (2022-03-22 17:42:24)
Check orange notebook for wet weights</t>
      </text>
    </comment>
  </commentList>
  <extLst>
    <ext uri="GoogleSheetsCustomDataVersion1">
      <go:sheetsCustomData xmlns:go="http://customooxmlschemas.google.com/" r:id="rId1" roundtripDataSignature="AMtx7mhCSBzt0/0Lop9pU+TkuKUChdmG7w=="/>
    </ext>
  </extL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32">
      <text>
        <t xml:space="preserve">======
ID#AAAAaLmGfKc
Elijah Joseph    (2022-05-31 06:30:51)
live, large new leaves</t>
      </text>
    </comment>
    <comment authorId="0" ref="E131">
      <text>
        <t xml:space="preserve">======
ID#AAAAaLmGfKY
Elijah Joseph    (2022-05-31 06:30:50)
live, large new leaves</t>
      </text>
    </comment>
    <comment authorId="0" ref="E120">
      <text>
        <t xml:space="preserve">======
ID#AAAAaLmGfKU
Elijah Joseph    (2022-05-31 06:30:50)
small current year?</t>
      </text>
    </comment>
    <comment authorId="0" ref="E122">
      <text>
        <t xml:space="preserve">======
ID#AAAAaLmGfKQ
Elijah Joseph    (2022-05-31 06:30:49)
live, no current year leaves yet</t>
      </text>
    </comment>
    <comment authorId="0" ref="E124">
      <text>
        <t xml:space="preserve">======
ID#AAAAaLmGfKM
Elijah Joseph    (2022-05-31 06:30:48)
live, some current year but mostly old</t>
      </text>
    </comment>
    <comment authorId="0" ref="E75">
      <text>
        <t xml:space="preserve">======
ID#AAAAaLmGfKI
Elijah Joseph    (2022-05-31 06:30:47)
mostly old, small current year</t>
      </text>
    </comment>
    <comment authorId="0" ref="E32">
      <text>
        <t xml:space="preserve">======
ID#AAAAaLmGfKE
Elijah Joseph    (2022-05-31 06:30:47)
live, little bit of new growth</t>
      </text>
    </comment>
    <comment authorId="0" ref="E7">
      <text>
        <t xml:space="preserve">======
ID#AAAAaLmGfKA
Elijah Joseph    (2022-05-31 06:30:46)
some current new leaves</t>
      </text>
    </comment>
    <comment authorId="0" ref="E46">
      <text>
        <t xml:space="preserve">======
ID#AAAAaLmGfJ8
Elijah Joseph    (2022-05-31 06:30:45)
no current year leaves</t>
      </text>
    </comment>
    <comment authorId="0" ref="E91">
      <text>
        <t xml:space="preserve">======
ID#AAAAaLmGfJ4
Elijah Joseph    (2022-05-31 06:30:44)
no current leaves; not sampled</t>
      </text>
    </comment>
  </commentList>
  <extLst>
    <ext uri="GoogleSheetsCustomDataVersion1">
      <go:sheetsCustomData xmlns:go="http://customooxmlschemas.google.com/" r:id="rId1" roundtripDataSignature="AMtx7miQYzf4rxhUQcGMbe5gQji7W1GCWA=="/>
    </ext>
  </extLst>
</comments>
</file>

<file path=xl/comments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146">
      <text>
        <t xml:space="preserve">======
ID#AAAAaOyOyi4
Indra Boving    (2022-06-01 19:06:02)
.95</t>
      </text>
    </comment>
    <comment authorId="0" ref="M93">
      <text>
        <t xml:space="preserve">======
ID#AAAAaOyOyi0
Indra Boving    (2022-06-01 19:05:48)
1.4/.4</t>
      </text>
    </comment>
    <comment authorId="0" ref="P53">
      <text>
        <t xml:space="preserve">======
ID#AAAAaOyOyis
Indra Boving    (2022-06-01 19:05:18)
1.3</t>
      </text>
    </comment>
    <comment authorId="0" ref="G53">
      <text>
        <t xml:space="preserve">======
ID#AAAAaOyOyio
Indra Boving    (2022-06-01 19:04:43)
1.25</t>
      </text>
    </comment>
    <comment authorId="0" ref="J53">
      <text>
        <t xml:space="preserve">======
ID#AAAAaOyOyik
Indra Boving    (2022-06-01 19:04:31)
1.1</t>
      </text>
    </comment>
    <comment authorId="0" ref="G93">
      <text>
        <t xml:space="preserve">======
ID#AAAAaLmGfK0
Elijah Joseph    (2022-05-31 06:38:03)
“broke?”
------
ID#AAAAaOyOyiw
Indra Boving    (2022-06-01 19:05:30)
.65</t>
      </text>
    </comment>
    <comment authorId="0" ref="J93">
      <text>
        <t xml:space="preserve">======
ID#AAAAaLmGfKw
Elijah Joseph    (2022-05-31 06:37:38)
young leaves</t>
      </text>
    </comment>
    <comment authorId="0" ref="M94">
      <text>
        <t xml:space="preserve">======
ID#AAAAaLmGfKk
Elijah Joseph    (2022-05-31 06:30:52)
stem</t>
      </text>
    </comment>
    <comment authorId="0" ref="M53">
      <text>
        <t xml:space="preserve">======
ID#AAAAaLmGfKg
Elijah Joseph    (2022-05-31 06:30:52)
“broken?”</t>
      </text>
    </comment>
  </commentList>
  <extLst>
    <ext uri="GoogleSheetsCustomDataVersion1">
      <go:sheetsCustomData xmlns:go="http://customooxmlschemas.google.com/" r:id="rId1" roundtripDataSignature="AMtx7mgbQiZq/U4eYyAZhHcCfiHEmHVupg=="/>
    </ext>
  </extLst>
</comments>
</file>

<file path=xl/comments9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U112">
      <text>
        <t xml:space="preserve">======
ID#AAAAZlr_wnM
Isobel Mifsud    (2022-05-18 17:25:09)
labelled as L3</t>
      </text>
    </comment>
    <comment authorId="0" ref="AX111">
      <text>
        <t xml:space="preserve">======
ID#AAAAZlr_wnI
Isobel Mifsud    (2022-05-18 17:24:46)
labelled as L3</t>
      </text>
    </comment>
    <comment authorId="0" ref="AU111">
      <text>
        <t xml:space="preserve">======
ID#AAAAZlr_wnE
Isobel Mifsud    (2022-05-18 17:24:05)
labelled as L2</t>
      </text>
    </comment>
    <comment authorId="0" ref="AR111">
      <text>
        <t xml:space="preserve">======
ID#AAAAZlr_wnA
Isobel Mifsud    (2022-05-18 17:23:32)
labelled as L1</t>
      </text>
    </comment>
    <comment authorId="0" ref="AI120">
      <text>
        <t xml:space="preserve">======
ID#AAAAZlr_wm8
Isobel Mifsud    (2022-05-18 17:22:36)
not clear which ARCA these measurements are from</t>
      </text>
    </comment>
    <comment authorId="0" ref="AI151">
      <text>
        <t xml:space="preserve">======
ID#AAAAZln2l8c
Isobel Mifsud    (2022-05-18 16:52:14)
might be swapped with MD2</t>
      </text>
    </comment>
  </commentList>
  <extLst>
    <ext uri="GoogleSheetsCustomDataVersion1">
      <go:sheetsCustomData xmlns:go="http://customooxmlschemas.google.com/" r:id="rId1" roundtripDataSignature="AMtx7miZLzZtnyb6IBeUU7AvW6zZyEQW1g=="/>
    </ext>
  </extLst>
</comments>
</file>

<file path=xl/sharedStrings.xml><?xml version="1.0" encoding="utf-8"?>
<sst xmlns="http://schemas.openxmlformats.org/spreadsheetml/2006/main" count="10838" uniqueCount="299">
  <si>
    <t>Plot Inventory Datasheet - Extended</t>
  </si>
  <si>
    <t>Project:</t>
  </si>
  <si>
    <t>Added 2.28.22 WP data, F21 water potentials added to plot inventory, with trees sorted by distance and some missing R/L filled in. Also added four blue oaks at the very top of the hill above AT001 near road, need to GPS</t>
  </si>
  <si>
    <t>Date:</t>
  </si>
  <si>
    <t>3.1.22</t>
  </si>
  <si>
    <t>Phenology 2.28.2022</t>
  </si>
  <si>
    <t>Water Potentials 2.28.2022</t>
  </si>
  <si>
    <t>Notes from 2.28.2022</t>
  </si>
  <si>
    <t>Phenology 03.08.2022</t>
  </si>
  <si>
    <t>Water Potentials 03.08.2022</t>
  </si>
  <si>
    <t>Notes from 03.08.2022</t>
  </si>
  <si>
    <t>plot number</t>
  </si>
  <si>
    <t>Species</t>
  </si>
  <si>
    <t>Tag</t>
  </si>
  <si>
    <t>Side of transect (right or left)</t>
  </si>
  <si>
    <t>Tree # (dist along transect; feet)</t>
  </si>
  <si>
    <t>Tree #(m)</t>
  </si>
  <si>
    <t>DBH</t>
  </si>
  <si>
    <t>diameter2</t>
  </si>
  <si>
    <t>diameter 3</t>
  </si>
  <si>
    <t>DBH height (If not 1.3m)</t>
  </si>
  <si>
    <t>basal area</t>
  </si>
  <si>
    <t>diameter at base (if applicable) (m)</t>
  </si>
  <si>
    <t>Tree height (m)</t>
  </si>
  <si>
    <t>Tree health (% crown mortality)</t>
  </si>
  <si>
    <t>Tree health (% lichen coverage)</t>
  </si>
  <si>
    <t>Notes</t>
  </si>
  <si>
    <t>Oct21_Predawn_WP_Mpa1</t>
  </si>
  <si>
    <t>Oct21_Predawn_WP_Mpa2</t>
  </si>
  <si>
    <t>Oct21_Predawn_WP_Mpa3</t>
  </si>
  <si>
    <t>Date_Predawn_WP</t>
  </si>
  <si>
    <t>Old Leaves (0-3)</t>
  </si>
  <si>
    <t>New Leaves (0-10)</t>
  </si>
  <si>
    <t>Predawn1</t>
  </si>
  <si>
    <t>Predawn2</t>
  </si>
  <si>
    <t>Predawn3</t>
  </si>
  <si>
    <t>Predawn4</t>
  </si>
  <si>
    <t>Predawn5</t>
  </si>
  <si>
    <t>Predawn6</t>
  </si>
  <si>
    <t>Predawn7</t>
  </si>
  <si>
    <t>Midday1</t>
  </si>
  <si>
    <t>Midday2</t>
  </si>
  <si>
    <t>Midday3</t>
  </si>
  <si>
    <t>Midday4</t>
  </si>
  <si>
    <t>Midday5</t>
  </si>
  <si>
    <t>Midday6</t>
  </si>
  <si>
    <t>Midday7</t>
  </si>
  <si>
    <t>Midday_avg</t>
  </si>
  <si>
    <t>Predawn_avg</t>
  </si>
  <si>
    <t>Weight1</t>
  </si>
  <si>
    <t>Weight2</t>
  </si>
  <si>
    <t>Weight3</t>
  </si>
  <si>
    <t>Weight4</t>
  </si>
  <si>
    <t>Weight5</t>
  </si>
  <si>
    <t>Weight6</t>
  </si>
  <si>
    <t>Weight7</t>
  </si>
  <si>
    <t>Bulkweight_g</t>
  </si>
  <si>
    <t>AT001</t>
  </si>
  <si>
    <t>live oak</t>
  </si>
  <si>
    <t>L</t>
  </si>
  <si>
    <t>NA</t>
  </si>
  <si>
    <t>10.21.2021</t>
  </si>
  <si>
    <t>R</t>
  </si>
  <si>
    <t>15m off transect</t>
  </si>
  <si>
    <t>blue oak</t>
  </si>
  <si>
    <t>ot</t>
  </si>
  <si>
    <t>&gt;5m off transect</t>
  </si>
  <si>
    <t>very curved, hard to measure height</t>
  </si>
  <si>
    <t>&gt;5m off transect, very curved, hard to measure height</t>
  </si>
  <si>
    <t>dbh=23.8 at height but only 18 below dead branch</t>
  </si>
  <si>
    <t>near AT001</t>
  </si>
  <si>
    <t>beyond end into 2nd gully</t>
  </si>
  <si>
    <t>up hill</t>
  </si>
  <si>
    <t>old leaf = 0.2041g</t>
  </si>
  <si>
    <t>AT002</t>
  </si>
  <si>
    <t>10.19.2021</t>
  </si>
  <si>
    <t>Two of the main trunks are completely dead</t>
  </si>
  <si>
    <t>bursting buds</t>
  </si>
  <si>
    <t>missing</t>
  </si>
  <si>
    <t>couldn't find</t>
  </si>
  <si>
    <t>, couldn't find</t>
  </si>
  <si>
    <t>waaaay off transect in valley bottom, 2 trunks</t>
  </si>
  <si>
    <t>lots of leaves</t>
  </si>
  <si>
    <t>old leaves</t>
  </si>
  <si>
    <t>cored</t>
  </si>
  <si>
    <t>some values possibly too high</t>
  </si>
  <si>
    <t>no leaves</t>
  </si>
  <si>
    <t>&lt;5%</t>
  </si>
  <si>
    <t>near AT002</t>
  </si>
  <si>
    <t>past end towards valley</t>
  </si>
  <si>
    <t>AT003</t>
  </si>
  <si>
    <t>Just outside of 5 meters (of transect), but counted in on second measure</t>
  </si>
  <si>
    <t>Between the dead tree and the live oak, a little bit further down the slopee</t>
  </si>
  <si>
    <t>Just outside of 5 meters (of transect), actually at 70.1 ft</t>
  </si>
  <si>
    <t>leaning and originally not measured</t>
  </si>
  <si>
    <t>missed in original transect</t>
  </si>
  <si>
    <t>Just outside of 5 meters (of transect)</t>
  </si>
  <si>
    <t>actually at 155</t>
  </si>
  <si>
    <t>actually 163.2</t>
  </si>
  <si>
    <t>actually 159</t>
  </si>
  <si>
    <t>near AT003</t>
  </si>
  <si>
    <t>AT004</t>
  </si>
  <si>
    <t>Just outside, 7.2m meters (of transect), originally labeld 'L'</t>
  </si>
  <si>
    <t>originally measured above fork, but fork is higher than DBH</t>
  </si>
  <si>
    <t>northern foliage for Al:As is too tall for me to reach</t>
  </si>
  <si>
    <t>before pause technique</t>
  </si>
  <si>
    <t>B1</t>
  </si>
  <si>
    <t>B2</t>
  </si>
  <si>
    <t>B3</t>
  </si>
  <si>
    <t>long lag</t>
  </si>
  <si>
    <t>B4</t>
  </si>
  <si>
    <t>PO = all stems</t>
  </si>
  <si>
    <t>AT005</t>
  </si>
  <si>
    <t>AT007</t>
  </si>
  <si>
    <t>LL</t>
  </si>
  <si>
    <t>N/A</t>
  </si>
  <si>
    <t xml:space="preserve">hole in the middle </t>
  </si>
  <si>
    <t>ExtraBlueHilltop</t>
  </si>
  <si>
    <t>closer to road, 3 big branches had to go 20cm for diameter</t>
  </si>
  <si>
    <t>top of hill near parking</t>
  </si>
  <si>
    <t>past 1 from road, 3 big branches had to go 20cm for diameter</t>
  </si>
  <si>
    <t>smaller tree just NW of 2</t>
  </si>
  <si>
    <t>big tree near road NW of 1, kind of edge of draw</t>
  </si>
  <si>
    <t>top of hill in gully</t>
  </si>
  <si>
    <t>very long new stems (doing pressure potential on those)</t>
  </si>
  <si>
    <t>extra extra</t>
  </si>
  <si>
    <t>unknown?</t>
  </si>
  <si>
    <t>Arca</t>
  </si>
  <si>
    <t>Lyca</t>
  </si>
  <si>
    <t>PineNeedle</t>
  </si>
  <si>
    <t>Site</t>
  </si>
  <si>
    <t>Plot</t>
  </si>
  <si>
    <t>MiddleEarth</t>
  </si>
  <si>
    <t>Hobbiton</t>
  </si>
  <si>
    <t>Ridge</t>
  </si>
  <si>
    <t>Weathertop</t>
  </si>
  <si>
    <t>Cucu Mesa</t>
  </si>
  <si>
    <t>High</t>
  </si>
  <si>
    <t>Rohan</t>
  </si>
  <si>
    <t>LEU</t>
  </si>
  <si>
    <t>LL-LEU</t>
  </si>
  <si>
    <t>Chamise</t>
  </si>
  <si>
    <t>Chamise-LEU</t>
  </si>
  <si>
    <t>Cucu-LEU</t>
  </si>
  <si>
    <t>ARCA</t>
  </si>
  <si>
    <t>LL-ARCA</t>
  </si>
  <si>
    <t>Chamise-ARCA</t>
  </si>
  <si>
    <t>Cucu-ARCA</t>
  </si>
  <si>
    <t>Low</t>
  </si>
  <si>
    <t>blue (or valley) oak</t>
  </si>
  <si>
    <t>Chamise (Shedd soil)</t>
  </si>
  <si>
    <t>Shedd</t>
  </si>
  <si>
    <t>Tree_id</t>
  </si>
  <si>
    <t>Branch</t>
  </si>
  <si>
    <t>Year</t>
  </si>
  <si>
    <t>Sub-branch</t>
  </si>
  <si>
    <t>LWM_g</t>
  </si>
  <si>
    <t>LDM_g</t>
  </si>
  <si>
    <t>SWM_g</t>
  </si>
  <si>
    <t>SDM_g</t>
  </si>
  <si>
    <t>L_cm</t>
  </si>
  <si>
    <t>D_mm</t>
  </si>
  <si>
    <t>Date</t>
  </si>
  <si>
    <t>B</t>
  </si>
  <si>
    <t>a</t>
  </si>
  <si>
    <t>b</t>
  </si>
  <si>
    <t>2345b</t>
  </si>
  <si>
    <t>2345a</t>
  </si>
  <si>
    <t>c</t>
  </si>
  <si>
    <t>Time</t>
  </si>
  <si>
    <t>Age</t>
  </si>
  <si>
    <t>Type</t>
  </si>
  <si>
    <t>container_g</t>
  </si>
  <si>
    <t>cont_wet_g</t>
  </si>
  <si>
    <t>cont_dry_g</t>
  </si>
  <si>
    <t>wet_wt_g</t>
  </si>
  <si>
    <t>dry_wt_g</t>
  </si>
  <si>
    <t>PD</t>
  </si>
  <si>
    <t>old</t>
  </si>
  <si>
    <t>stem</t>
  </si>
  <si>
    <t>MD</t>
  </si>
  <si>
    <t>new</t>
  </si>
  <si>
    <t>leaves</t>
  </si>
  <si>
    <t>both</t>
  </si>
  <si>
    <t>ARCA near 2380</t>
  </si>
  <si>
    <t>ATLE</t>
  </si>
  <si>
    <t>BAPI</t>
  </si>
  <si>
    <t>LEU_cucu</t>
  </si>
  <si>
    <t>ARCA_ch</t>
  </si>
  <si>
    <t>ARCA_cucu</t>
  </si>
  <si>
    <t>Rep</t>
  </si>
  <si>
    <t>leaf</t>
  </si>
  <si>
    <t>date</t>
  </si>
  <si>
    <t>Tree_ID</t>
  </si>
  <si>
    <t>tree</t>
  </si>
  <si>
    <t>branch</t>
  </si>
  <si>
    <t>year</t>
  </si>
  <si>
    <t>replicate (.a or .b, if applicable)</t>
  </si>
  <si>
    <t>stem_dry_wt_g</t>
  </si>
  <si>
    <t>leaves_drt_wt_g</t>
  </si>
  <si>
    <t>Plot Inventory Datasheet</t>
  </si>
  <si>
    <t>SHIFT</t>
  </si>
  <si>
    <t>2/18/22 - 2/21/22</t>
  </si>
  <si>
    <t>PD1</t>
  </si>
  <si>
    <t>PD1_g_wet</t>
  </si>
  <si>
    <t>PD1_g_dry</t>
  </si>
  <si>
    <t>PD2</t>
  </si>
  <si>
    <t>PD2_g_wet</t>
  </si>
  <si>
    <t>PD2_g_dry</t>
  </si>
  <si>
    <t>PD3</t>
  </si>
  <si>
    <t>PD3_g_wet</t>
  </si>
  <si>
    <t>PD3_g_dry</t>
  </si>
  <si>
    <t>PD4</t>
  </si>
  <si>
    <t>PD4_g_wet</t>
  </si>
  <si>
    <t>PD4_g_dry</t>
  </si>
  <si>
    <t>PD5</t>
  </si>
  <si>
    <t>PD5_g_wet</t>
  </si>
  <si>
    <t>PD5_g_dry</t>
  </si>
  <si>
    <t>PD6</t>
  </si>
  <si>
    <t>PD6_g_wet</t>
  </si>
  <si>
    <t>PD6_g_dry</t>
  </si>
  <si>
    <t>PD7</t>
  </si>
  <si>
    <t>PD7_g_wet</t>
  </si>
  <si>
    <t>PD7_g_dry</t>
  </si>
  <si>
    <t>PD8</t>
  </si>
  <si>
    <t>PD8_g_wet</t>
  </si>
  <si>
    <t>PD8_g_dry</t>
  </si>
  <si>
    <t>PD_bulk_wet</t>
  </si>
  <si>
    <t>PD_bulk_dry</t>
  </si>
  <si>
    <t>PD_avg</t>
  </si>
  <si>
    <t>MD1</t>
  </si>
  <si>
    <t>MD1_g_wet</t>
  </si>
  <si>
    <t>MD1_g_dry</t>
  </si>
  <si>
    <t>MD2</t>
  </si>
  <si>
    <t>MD2_g_wet</t>
  </si>
  <si>
    <t>MD2_g_dry</t>
  </si>
  <si>
    <t>MD3</t>
  </si>
  <si>
    <t>MD3_g_wet</t>
  </si>
  <si>
    <t>MD3_g_dry</t>
  </si>
  <si>
    <t>MD4</t>
  </si>
  <si>
    <t>MD4_g_wet</t>
  </si>
  <si>
    <t>MD4_g_dry</t>
  </si>
  <si>
    <t>MD5</t>
  </si>
  <si>
    <t>MD5_g_wet</t>
  </si>
  <si>
    <t>MD5_g_dry</t>
  </si>
  <si>
    <t>MD6</t>
  </si>
  <si>
    <t>MD6_g_wet</t>
  </si>
  <si>
    <t>MD6_g_dry</t>
  </si>
  <si>
    <t>MD7</t>
  </si>
  <si>
    <t>MD7_g_wet</t>
  </si>
  <si>
    <t>MD7_g_dry</t>
  </si>
  <si>
    <t>MD_bulk_wet</t>
  </si>
  <si>
    <t>MD_bulk_dry</t>
  </si>
  <si>
    <t>MD_avg</t>
  </si>
  <si>
    <t>near 2380</t>
  </si>
  <si>
    <t>low Pine Needle</t>
  </si>
  <si>
    <t>Lower Cucu</t>
  </si>
  <si>
    <t>RT</t>
  </si>
  <si>
    <t>TS</t>
  </si>
  <si>
    <t>*NOTE* wet/dry weights for MD/PD water potentials taken from random leaves</t>
  </si>
  <si>
    <t>3/3/22-3/4/22</t>
  </si>
  <si>
    <t>3/8/22-3/11/22</t>
  </si>
  <si>
    <t>Lee added new trees (rest of Chamise and lower CUCU)</t>
  </si>
  <si>
    <t>Phenology 3.8-3.11.2022</t>
  </si>
  <si>
    <t>Water Potentials 3.8-3.11</t>
  </si>
  <si>
    <t>3/8 (MD); 3/11 (PD)</t>
  </si>
  <si>
    <t>1st PD value probably overshoot</t>
  </si>
  <si>
    <t>MD values mislabeled 2567, Lee pasted in here (including MD_bulk_wet, but not MD_bulk_dry, which was appropriately labeled) 4/4</t>
  </si>
  <si>
    <t>PD1 hard to read; MD bulk separates old leaves (0.3702g wet) and new (0.2041g wet)</t>
  </si>
  <si>
    <t>PD1 = on shoot (all new), PD2/4/5 = leaf, PD3 = some woodiness still on end of petiole</t>
  </si>
  <si>
    <t>PD2 went too far</t>
  </si>
  <si>
    <t>PD2 end not straight</t>
  </si>
  <si>
    <t>blue w/ v long new stems (doing xpp on those)</t>
  </si>
  <si>
    <t>mislabeld sample</t>
  </si>
  <si>
    <t>?</t>
  </si>
  <si>
    <t xml:space="preserve"> </t>
  </si>
  <si>
    <t>Odd predawn measurements because measurement was taken on eve of next day.</t>
  </si>
  <si>
    <t>ART</t>
  </si>
  <si>
    <t>4/11/22-4/12/22</t>
  </si>
  <si>
    <t>Y1 bulk: wet = 0.841g, dry = 0.1851g</t>
  </si>
  <si>
    <t>4/13-4/14/22</t>
  </si>
  <si>
    <t>data to the left is for 2352_4.13.22_MD_RWC_Y1  // sample 2352_3.13.22_MD_LWC_Y1 DM: 0.9369</t>
  </si>
  <si>
    <t>data entered is from 2354_4.13.22_MD_LWC_Y0 // sample 2354_4.14.22_MD_LWC_Y1 bulk DM: 0.3503</t>
  </si>
  <si>
    <t>data entered is for sample 2377_4.13.22_MD_LWC_Y0 // sample 2377_4.12.22_MD_LWC_Y1 DM (1) 0.2125 (2) 0.2023 (3) 0.113 (bulk) 1.0668</t>
  </si>
  <si>
    <t>2380_4.13.22_MD_LWC_Y0 DM bulk: 0.9736</t>
  </si>
  <si>
    <t xml:space="preserve">MD1_g_dry is missing  piece </t>
  </si>
  <si>
    <t>"? missing"</t>
  </si>
  <si>
    <t>0.6715x</t>
  </si>
  <si>
    <t xml:space="preserve">all broke for 2346, sp used middays from 2345 as a proxy...not sure there is anything more to do? </t>
  </si>
  <si>
    <t>1.1147f</t>
  </si>
  <si>
    <t>n/a</t>
  </si>
  <si>
    <t xml:space="preserve">no MD for 2346, so used from 2345 and have to assume they're similar? </t>
  </si>
  <si>
    <t>Y0 bulk: WM 1.080 DM 0.446 Y1 bulk: WM 1.200 DM 0.696</t>
  </si>
  <si>
    <t>Y0 bulk: WM 1.812 DM 0.729 Y1 bulk: WM 1.459 DM 0.849</t>
  </si>
  <si>
    <t>Y0 bulk: WM 1.030 DM 0.383 Y1 bulk: WM 1.400 DM 0.794</t>
  </si>
  <si>
    <t>Y0 bulk: WM 1.657 DM 0.887 Y1 bulk: WM 1.162 DM 0.689</t>
  </si>
  <si>
    <t>Y0 bulk: WM 2.209 DM 1.177 Y1 bulk: WM 2.335 DM 1.388</t>
  </si>
  <si>
    <t>Y0 bulk: WM 1.497 DM 0.801. Y1 bulk: WM 1.580 DM 0.914</t>
  </si>
  <si>
    <t xml:space="preserve">MD listed as "mystery blue", so might not actually be this tree? Seems very dry...if other trees from Lower Lisque are missing then this may be that tree.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</si>
</sst>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"/>
    <numFmt numFmtId="165" formatCode="0.000"/>
    <numFmt numFmtId="166" formatCode="m/d"/>
    <numFmt numFmtId="167" formatCode="0.0000"/>
    <numFmt numFmtId="168" formatCode="m/d/yy"/>
  </numFmts>
  <fonts count="16">
    <font>
      <sz val="10.0"/>
      <color rgb="FF000000"/>
      <name val="Calibri"/>
      <scheme val="minor"/>
    </font>
    <font>
      <b/>
      <sz val="10.0"/>
      <color theme="1"/>
      <name val="Arial"/>
    </font>
    <font>
      <sz val="10.0"/>
      <color theme="1"/>
      <name val="Arial"/>
    </font>
    <font>
      <sz val="10.0"/>
      <color rgb="FF000000"/>
      <name val="Arial"/>
    </font>
    <font>
      <sz val="12.0"/>
      <color theme="1"/>
      <name val="Calibri"/>
    </font>
    <font>
      <sz val="8.0"/>
      <color theme="1"/>
      <name val="Calibri"/>
    </font>
    <font>
      <sz val="8.0"/>
      <color rgb="FF000000"/>
      <name val="Calibri"/>
    </font>
    <font>
      <sz val="11.0"/>
      <color theme="1"/>
      <name val="Calibri"/>
    </font>
    <font>
      <sz val="12.0"/>
      <color rgb="FF000000"/>
      <name val="Calibri"/>
    </font>
    <font>
      <sz val="10.0"/>
      <color theme="1"/>
      <name val="Calibri"/>
    </font>
    <font>
      <color theme="1"/>
      <name val="Calibri"/>
      <scheme val="minor"/>
    </font>
    <font>
      <color rgb="FF000000"/>
      <name val="Arial"/>
    </font>
    <font>
      <color rgb="FF000000"/>
      <name val="Calibri"/>
    </font>
    <font>
      <b/>
      <color theme="1"/>
      <name val="Calibri"/>
      <scheme val="minor"/>
    </font>
    <font>
      <sz val="11.0"/>
      <color theme="1"/>
      <name val="Calibri"/>
      <scheme val="minor"/>
    </font>
    <font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  <fill>
      <patternFill patternType="solid">
        <fgColor rgb="FFFCE5CD"/>
        <bgColor rgb="FFFCE5CD"/>
      </patternFill>
    </fill>
  </fills>
  <borders count="1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2" numFmtId="165" xfId="0" applyFont="1" applyNumberFormat="1"/>
    <xf borderId="0" fillId="0" fontId="2" numFmtId="2" xfId="0" applyFont="1" applyNumberFormat="1"/>
    <xf borderId="0" fillId="0" fontId="2" numFmtId="165" xfId="0" applyAlignment="1" applyFont="1" applyNumberFormat="1">
      <alignment horizontal="right"/>
    </xf>
    <xf borderId="1" fillId="0" fontId="3" numFmtId="0" xfId="0" applyBorder="1" applyFont="1"/>
    <xf borderId="2" fillId="0" fontId="3" numFmtId="0" xfId="0" applyBorder="1" applyFont="1"/>
    <xf borderId="3" fillId="0" fontId="3" numFmtId="0" xfId="0" applyBorder="1" applyFont="1"/>
    <xf borderId="0" fillId="0" fontId="3" numFmtId="0" xfId="0" applyFont="1"/>
    <xf borderId="4" fillId="0" fontId="3" numFmtId="0" xfId="0" applyBorder="1" applyFont="1"/>
    <xf borderId="5" fillId="0" fontId="3" numFmtId="0" xfId="0" applyBorder="1" applyFont="1"/>
    <xf borderId="0" fillId="0" fontId="2" numFmtId="0" xfId="0" applyFont="1"/>
    <xf borderId="0" fillId="0" fontId="3" numFmtId="14" xfId="0" applyFont="1" applyNumberFormat="1"/>
    <xf borderId="4" fillId="0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5" fillId="0" fontId="3" numFmtId="0" xfId="0" applyAlignment="1" applyBorder="1" applyFont="1">
      <alignment readingOrder="0"/>
    </xf>
    <xf borderId="6" fillId="0" fontId="4" numFmtId="0" xfId="0" applyAlignment="1" applyBorder="1" applyFont="1">
      <alignment shrinkToFit="0" wrapText="1"/>
    </xf>
    <xf borderId="7" fillId="0" fontId="4" numFmtId="0" xfId="0" applyBorder="1" applyFont="1"/>
    <xf borderId="6" fillId="0" fontId="5" numFmtId="0" xfId="0" applyAlignment="1" applyBorder="1" applyFont="1">
      <alignment shrinkToFit="0" wrapText="1"/>
    </xf>
    <xf borderId="8" fillId="2" fontId="6" numFmtId="164" xfId="0" applyAlignment="1" applyBorder="1" applyFill="1" applyFont="1" applyNumberFormat="1">
      <alignment horizontal="left" shrinkToFit="0" wrapText="1"/>
    </xf>
    <xf borderId="7" fillId="0" fontId="7" numFmtId="165" xfId="0" applyAlignment="1" applyBorder="1" applyFont="1" applyNumberFormat="1">
      <alignment shrinkToFit="0" wrapText="1"/>
    </xf>
    <xf borderId="7" fillId="0" fontId="4" numFmtId="2" xfId="0" applyAlignment="1" applyBorder="1" applyFont="1" applyNumberFormat="1">
      <alignment shrinkToFit="0" wrapText="1"/>
    </xf>
    <xf borderId="7" fillId="0" fontId="8" numFmtId="2" xfId="0" applyBorder="1" applyFont="1" applyNumberFormat="1"/>
    <xf borderId="6" fillId="0" fontId="8" numFmtId="2" xfId="0" applyBorder="1" applyFont="1" applyNumberFormat="1"/>
    <xf borderId="7" fillId="0" fontId="9" numFmtId="165" xfId="0" applyAlignment="1" applyBorder="1" applyFont="1" applyNumberFormat="1">
      <alignment horizontal="right" shrinkToFit="0" wrapText="1"/>
    </xf>
    <xf borderId="7" fillId="0" fontId="9" numFmtId="165" xfId="0" applyAlignment="1" applyBorder="1" applyFont="1" applyNumberFormat="1">
      <alignment shrinkToFit="0" wrapText="1"/>
    </xf>
    <xf borderId="7" fillId="0" fontId="9" numFmtId="0" xfId="0" applyAlignment="1" applyBorder="1" applyFont="1">
      <alignment shrinkToFit="0" wrapText="1"/>
    </xf>
    <xf borderId="9" fillId="0" fontId="4" numFmtId="0" xfId="0" applyBorder="1" applyFont="1"/>
    <xf borderId="7" fillId="0" fontId="3" numFmtId="0" xfId="0" applyBorder="1" applyFont="1"/>
    <xf borderId="7" fillId="0" fontId="3" numFmtId="0" xfId="0" applyAlignment="1" applyBorder="1" applyFont="1">
      <alignment readingOrder="0"/>
    </xf>
    <xf borderId="0" fillId="0" fontId="3" numFmtId="2" xfId="0" applyAlignment="1" applyFont="1" applyNumberFormat="1">
      <alignment horizontal="right"/>
    </xf>
    <xf borderId="0" fillId="0" fontId="2" numFmtId="9" xfId="0" applyFont="1" applyNumberFormat="1"/>
    <xf borderId="0" fillId="0" fontId="10" numFmtId="0" xfId="0" applyFont="1"/>
    <xf borderId="10" fillId="3" fontId="2" numFmtId="0" xfId="0" applyBorder="1" applyFill="1" applyFont="1"/>
    <xf borderId="0" fillId="0" fontId="3" numFmtId="165" xfId="0" applyAlignment="1" applyFont="1" applyNumberFormat="1">
      <alignment horizontal="right"/>
    </xf>
    <xf borderId="10" fillId="4" fontId="2" numFmtId="0" xfId="0" applyBorder="1" applyFill="1" applyFont="1"/>
    <xf borderId="0" fillId="0" fontId="3" numFmtId="165" xfId="0" applyFont="1" applyNumberFormat="1"/>
    <xf borderId="0" fillId="0" fontId="2" numFmtId="0" xfId="0" applyAlignment="1" applyFont="1">
      <alignment readingOrder="0"/>
    </xf>
    <xf borderId="0" fillId="0" fontId="2" numFmtId="2" xfId="0" applyAlignment="1" applyFont="1" applyNumberFormat="1">
      <alignment readingOrder="0"/>
    </xf>
    <xf borderId="0" fillId="0" fontId="3" numFmtId="2" xfId="0" applyAlignment="1" applyFont="1" applyNumberFormat="1">
      <alignment horizontal="right" readingOrder="0"/>
    </xf>
    <xf borderId="10" fillId="5" fontId="2" numFmtId="0" xfId="0" applyBorder="1" applyFill="1" applyFont="1"/>
    <xf borderId="10" fillId="5" fontId="2" numFmtId="164" xfId="0" applyBorder="1" applyFont="1" applyNumberFormat="1"/>
    <xf borderId="10" fillId="5" fontId="2" numFmtId="165" xfId="0" applyBorder="1" applyFont="1" applyNumberFormat="1"/>
    <xf borderId="10" fillId="5" fontId="2" numFmtId="2" xfId="0" applyBorder="1" applyFont="1" applyNumberFormat="1"/>
    <xf borderId="10" fillId="5" fontId="3" numFmtId="2" xfId="0" applyAlignment="1" applyBorder="1" applyFont="1" applyNumberFormat="1">
      <alignment horizontal="right"/>
    </xf>
    <xf borderId="10" fillId="5" fontId="2" numFmtId="165" xfId="0" applyAlignment="1" applyBorder="1" applyFont="1" applyNumberFormat="1">
      <alignment horizontal="right"/>
    </xf>
    <xf borderId="10" fillId="5" fontId="2" numFmtId="9" xfId="0" applyBorder="1" applyFont="1" applyNumberFormat="1"/>
    <xf borderId="10" fillId="5" fontId="3" numFmtId="0" xfId="0" applyBorder="1" applyFont="1"/>
    <xf borderId="10" fillId="6" fontId="2" numFmtId="165" xfId="0" applyBorder="1" applyFill="1" applyFont="1" applyNumberFormat="1"/>
    <xf borderId="0" fillId="0" fontId="3" numFmtId="2" xfId="0" applyFont="1" applyNumberFormat="1"/>
    <xf borderId="0" fillId="0" fontId="3" numFmtId="0" xfId="0" applyAlignment="1" applyFont="1">
      <alignment horizontal="right"/>
    </xf>
    <xf borderId="0" fillId="0" fontId="3" numFmtId="164" xfId="0" applyAlignment="1" applyFont="1" applyNumberFormat="1">
      <alignment horizontal="right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1" xfId="0" applyAlignment="1" applyFont="1" applyNumberFormat="1">
      <alignment readingOrder="0"/>
    </xf>
    <xf borderId="0" fillId="0" fontId="3" numFmtId="0" xfId="0" applyAlignment="1" applyFont="1">
      <alignment horizontal="right" readingOrder="0"/>
    </xf>
    <xf borderId="0" fillId="0" fontId="10" numFmtId="0" xfId="0" applyAlignment="1" applyFont="1">
      <alignment readingOrder="0"/>
    </xf>
    <xf borderId="0" fillId="0" fontId="2" numFmtId="1" xfId="0" applyFont="1" applyNumberFormat="1"/>
    <xf borderId="0" fillId="0" fontId="3" numFmtId="2" xfId="0" applyAlignment="1" applyFont="1" applyNumberFormat="1">
      <alignment readingOrder="0"/>
    </xf>
    <xf borderId="0" fillId="0" fontId="10" numFmtId="1" xfId="0" applyAlignment="1" applyFont="1" applyNumberFormat="1">
      <alignment readingOrder="0"/>
    </xf>
    <xf borderId="6" fillId="0" fontId="8" numFmtId="0" xfId="0" applyAlignment="1" applyBorder="1" applyFont="1">
      <alignment readingOrder="0" vertical="bottom"/>
    </xf>
    <xf borderId="6" fillId="0" fontId="8" numFmtId="0" xfId="0" applyAlignment="1" applyBorder="1" applyFont="1">
      <alignment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11" numFmtId="0" xfId="0" applyAlignment="1" applyFont="1">
      <alignment horizontal="right" readingOrder="0" shrinkToFit="0" vertical="bottom" wrapText="0"/>
    </xf>
    <xf borderId="0" fillId="3" fontId="11" numFmtId="0" xfId="0" applyAlignment="1" applyFont="1">
      <alignment horizontal="right" readingOrder="0" shrinkToFit="0" vertical="bottom" wrapText="0"/>
    </xf>
    <xf borderId="0" fillId="0" fontId="12" numFmtId="0" xfId="0" applyAlignment="1" applyFont="1">
      <alignment horizontal="right"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13" numFmtId="0" xfId="0" applyAlignment="1" applyFont="1">
      <alignment readingOrder="0"/>
    </xf>
    <xf borderId="0" fillId="0" fontId="13" numFmtId="0" xfId="0" applyFont="1"/>
    <xf borderId="0" fillId="0" fontId="10" numFmtId="166" xfId="0" applyAlignment="1" applyFont="1" applyNumberFormat="1">
      <alignment readingOrder="0"/>
    </xf>
    <xf borderId="0" fillId="0" fontId="10" numFmtId="167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168" xfId="0" applyAlignment="1" applyFont="1" applyNumberFormat="1">
      <alignment readingOrder="0"/>
    </xf>
    <xf borderId="7" fillId="0" fontId="10" numFmtId="0" xfId="0" applyAlignment="1" applyBorder="1" applyFont="1">
      <alignment readingOrder="0"/>
    </xf>
    <xf borderId="0" fillId="0" fontId="10" numFmtId="3" xfId="0" applyAlignment="1" applyFont="1" applyNumberFormat="1">
      <alignment readingOrder="0"/>
    </xf>
    <xf borderId="0" fillId="0" fontId="14" numFmtId="0" xfId="0" applyAlignment="1" applyFont="1">
      <alignment readingOrder="0"/>
    </xf>
    <xf borderId="0" fillId="0" fontId="15" numFmtId="0" xfId="0" applyAlignment="1" applyFont="1">
      <alignment horizontal="right" vertical="bottom"/>
    </xf>
    <xf borderId="0" fillId="2" fontId="1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10.xml.rels><?xml version="1.0" encoding="UTF-8" standalone="yes"?><Relationships xmlns="http://schemas.openxmlformats.org/package/2006/relationships"><Relationship Id="rId1" Type="http://customschemas.google.com/relationships/workbookmetadata" Target="commentsmeta9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<Relationships xmlns="http://schemas.openxmlformats.org/package/2006/relationships"><Relationship Id="rId1" Type="http://customschemas.google.com/relationships/workbookmetadata" Target="commentsmeta4"/></Relationships>
</file>

<file path=xl/_rels/comments6.xml.rels><?xml version="1.0" encoding="UTF-8" standalone="yes"?><Relationships xmlns="http://schemas.openxmlformats.org/package/2006/relationships"><Relationship Id="rId1" Type="http://customschemas.google.com/relationships/workbookmetadata" Target="commentsmeta5"/></Relationships>
</file>

<file path=xl/_rels/comments7.xml.rels><?xml version="1.0" encoding="UTF-8" standalone="yes"?><Relationships xmlns="http://schemas.openxmlformats.org/package/2006/relationships"><Relationship Id="rId1" Type="http://customschemas.google.com/relationships/workbookmetadata" Target="commentsmeta6"/></Relationships>
</file>

<file path=xl/_rels/comments8.xml.rels><?xml version="1.0" encoding="UTF-8" standalone="yes"?><Relationships xmlns="http://schemas.openxmlformats.org/package/2006/relationships"><Relationship Id="rId1" Type="http://customschemas.google.com/relationships/workbookmetadata" Target="commentsmeta7"/></Relationships>
</file>

<file path=xl/_rels/comments9.xml.rels><?xml version="1.0" encoding="UTF-8" standalone="yes"?><Relationships xmlns="http://schemas.openxmlformats.org/package/2006/relationships"><Relationship Id="rId1" Type="http://customschemas.google.com/relationships/workbookmetadata" Target="commentsmeta8"/></Relationships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7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5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6.v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7.v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13.xml"/><Relationship Id="rId3" Type="http://schemas.openxmlformats.org/officeDocument/2006/relationships/vmlDrawing" Target="../drawings/vmlDrawing8.v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16.xml"/><Relationship Id="rId3" Type="http://schemas.openxmlformats.org/officeDocument/2006/relationships/vmlDrawing" Target="../drawings/vmlDrawing9.v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drawing" Target="../drawings/drawing17.xml"/><Relationship Id="rId3" Type="http://schemas.openxmlformats.org/officeDocument/2006/relationships/vmlDrawing" Target="../drawings/vmlDrawing10.v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3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1" width="15.71"/>
    <col customWidth="1" min="2" max="3" width="11.43"/>
    <col customWidth="1" min="4" max="4" width="8.86"/>
    <col customWidth="1" min="5" max="5" width="7.14"/>
    <col customWidth="1" min="6" max="9" width="10.29"/>
    <col customWidth="1" min="10" max="13" width="14.43"/>
    <col customWidth="1" hidden="1" min="14" max="16" width="14.43"/>
    <col customWidth="1" min="17" max="17" width="14.43"/>
    <col customWidth="1" min="21" max="36" width="14.43"/>
    <col customWidth="1" min="37" max="64" width="20.71"/>
  </cols>
  <sheetData>
    <row r="1" ht="15.75" customHeight="1">
      <c r="A1" s="1" t="s">
        <v>0</v>
      </c>
      <c r="B1" s="1"/>
      <c r="C1" s="1"/>
      <c r="F1" s="2"/>
      <c r="G1" s="3"/>
      <c r="J1" s="4"/>
      <c r="K1" s="4"/>
      <c r="L1" s="4"/>
      <c r="M1" s="5"/>
      <c r="N1" s="3"/>
      <c r="U1" s="6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8"/>
      <c r="AM1" s="9"/>
      <c r="AN1" s="9"/>
      <c r="AO1" s="10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</row>
    <row r="2" ht="8.25" customHeight="1">
      <c r="F2" s="2"/>
      <c r="G2" s="3"/>
      <c r="J2" s="4"/>
      <c r="K2" s="4"/>
      <c r="L2" s="4"/>
      <c r="M2" s="5"/>
      <c r="N2" s="3"/>
      <c r="U2" s="10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11"/>
      <c r="AM2" s="9"/>
      <c r="AN2" s="9"/>
      <c r="AO2" s="10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</row>
    <row r="3" ht="15.75" customHeight="1">
      <c r="A3" s="12" t="s">
        <v>1</v>
      </c>
      <c r="B3" s="12"/>
      <c r="C3" s="12"/>
      <c r="D3" s="9" t="s">
        <v>2</v>
      </c>
      <c r="F3" s="2"/>
      <c r="G3" s="3"/>
      <c r="J3" s="4"/>
      <c r="K3" s="4"/>
      <c r="L3" s="4"/>
      <c r="M3" s="5"/>
      <c r="N3" s="3"/>
      <c r="U3" s="10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11"/>
      <c r="AM3" s="9"/>
      <c r="AN3" s="9"/>
      <c r="AO3" s="10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</row>
    <row r="4" ht="15.75" customHeight="1">
      <c r="A4" s="12" t="s">
        <v>3</v>
      </c>
      <c r="B4" s="12"/>
      <c r="C4" s="12"/>
      <c r="D4" s="13" t="s">
        <v>4</v>
      </c>
      <c r="F4" s="2"/>
      <c r="G4" s="3"/>
      <c r="J4" s="4"/>
      <c r="K4" s="4"/>
      <c r="L4" s="4"/>
      <c r="M4" s="5"/>
      <c r="N4" s="3"/>
      <c r="U4" s="10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11"/>
      <c r="AM4" s="9"/>
      <c r="AN4" s="9"/>
      <c r="AO4" s="10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</row>
    <row r="5" ht="21.75" customHeight="1">
      <c r="F5" s="2"/>
      <c r="G5" s="3"/>
      <c r="J5" s="4"/>
      <c r="K5" s="4"/>
      <c r="L5" s="4"/>
      <c r="M5" s="5"/>
      <c r="N5" s="3"/>
      <c r="U5" s="10" t="s">
        <v>5</v>
      </c>
      <c r="V5" s="9"/>
      <c r="W5" s="9" t="s">
        <v>6</v>
      </c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11" t="s">
        <v>7</v>
      </c>
      <c r="AM5" s="14" t="s">
        <v>8</v>
      </c>
      <c r="AN5" s="9"/>
      <c r="AO5" s="14" t="s">
        <v>9</v>
      </c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15"/>
      <c r="BL5" s="16" t="s">
        <v>10</v>
      </c>
    </row>
    <row r="6" ht="15.75" customHeight="1">
      <c r="A6" s="17" t="s">
        <v>11</v>
      </c>
      <c r="B6" s="18" t="s">
        <v>12</v>
      </c>
      <c r="C6" s="18" t="s">
        <v>13</v>
      </c>
      <c r="D6" s="19" t="s">
        <v>14</v>
      </c>
      <c r="E6" s="20" t="s">
        <v>15</v>
      </c>
      <c r="F6" s="21" t="s">
        <v>16</v>
      </c>
      <c r="G6" s="22" t="s">
        <v>17</v>
      </c>
      <c r="H6" s="23" t="s">
        <v>18</v>
      </c>
      <c r="I6" s="24" t="s">
        <v>19</v>
      </c>
      <c r="J6" s="9" t="s">
        <v>20</v>
      </c>
      <c r="K6" s="24" t="s">
        <v>21</v>
      </c>
      <c r="L6" s="25" t="s">
        <v>22</v>
      </c>
      <c r="M6" s="26" t="s">
        <v>23</v>
      </c>
      <c r="N6" s="27" t="s">
        <v>24</v>
      </c>
      <c r="O6" s="27" t="s">
        <v>25</v>
      </c>
      <c r="P6" s="28" t="s">
        <v>26</v>
      </c>
      <c r="Q6" s="29" t="s">
        <v>27</v>
      </c>
      <c r="R6" s="29" t="s">
        <v>28</v>
      </c>
      <c r="S6" s="29" t="s">
        <v>29</v>
      </c>
      <c r="T6" s="29" t="s">
        <v>30</v>
      </c>
      <c r="U6" s="29" t="s">
        <v>31</v>
      </c>
      <c r="V6" s="29" t="s">
        <v>32</v>
      </c>
      <c r="W6" s="29" t="s">
        <v>33</v>
      </c>
      <c r="X6" s="29" t="s">
        <v>34</v>
      </c>
      <c r="Y6" s="29" t="s">
        <v>35</v>
      </c>
      <c r="Z6" s="29" t="s">
        <v>36</v>
      </c>
      <c r="AA6" s="29" t="s">
        <v>37</v>
      </c>
      <c r="AB6" s="29" t="s">
        <v>38</v>
      </c>
      <c r="AC6" s="29" t="s">
        <v>39</v>
      </c>
      <c r="AD6" s="29" t="s">
        <v>40</v>
      </c>
      <c r="AE6" s="29" t="s">
        <v>41</v>
      </c>
      <c r="AF6" s="29" t="s">
        <v>42</v>
      </c>
      <c r="AG6" s="29" t="s">
        <v>43</v>
      </c>
      <c r="AH6" s="29" t="s">
        <v>44</v>
      </c>
      <c r="AI6" s="29" t="s">
        <v>45</v>
      </c>
      <c r="AJ6" s="29" t="s">
        <v>46</v>
      </c>
      <c r="AK6" s="30" t="s">
        <v>47</v>
      </c>
      <c r="AL6" s="29" t="s">
        <v>26</v>
      </c>
      <c r="AM6" s="29" t="s">
        <v>31</v>
      </c>
      <c r="AN6" s="29" t="s">
        <v>32</v>
      </c>
      <c r="AO6" s="29" t="s">
        <v>33</v>
      </c>
      <c r="AP6" s="29" t="s">
        <v>34</v>
      </c>
      <c r="AQ6" s="29" t="s">
        <v>35</v>
      </c>
      <c r="AR6" s="29" t="s">
        <v>36</v>
      </c>
      <c r="AS6" s="29" t="s">
        <v>37</v>
      </c>
      <c r="AT6" s="29" t="s">
        <v>38</v>
      </c>
      <c r="AU6" s="30" t="s">
        <v>48</v>
      </c>
      <c r="AV6" s="29" t="s">
        <v>40</v>
      </c>
      <c r="AW6" s="30" t="s">
        <v>49</v>
      </c>
      <c r="AX6" s="29" t="s">
        <v>41</v>
      </c>
      <c r="AY6" s="30" t="s">
        <v>50</v>
      </c>
      <c r="AZ6" s="29" t="s">
        <v>42</v>
      </c>
      <c r="BA6" s="30" t="s">
        <v>51</v>
      </c>
      <c r="BB6" s="29" t="s">
        <v>43</v>
      </c>
      <c r="BC6" s="30" t="s">
        <v>52</v>
      </c>
      <c r="BD6" s="29" t="s">
        <v>44</v>
      </c>
      <c r="BE6" s="30" t="s">
        <v>53</v>
      </c>
      <c r="BF6" s="29" t="s">
        <v>45</v>
      </c>
      <c r="BG6" s="30" t="s">
        <v>54</v>
      </c>
      <c r="BH6" s="29" t="s">
        <v>46</v>
      </c>
      <c r="BI6" s="30" t="s">
        <v>55</v>
      </c>
      <c r="BJ6" s="30" t="s">
        <v>47</v>
      </c>
      <c r="BK6" s="30" t="s">
        <v>56</v>
      </c>
      <c r="BL6" s="29" t="s">
        <v>26</v>
      </c>
    </row>
    <row r="7" ht="17.25" customHeight="1">
      <c r="A7" s="12" t="s">
        <v>57</v>
      </c>
      <c r="B7" s="12" t="s">
        <v>58</v>
      </c>
      <c r="C7" s="12">
        <v>2352.0</v>
      </c>
      <c r="D7" s="12" t="s">
        <v>59</v>
      </c>
      <c r="E7" s="12">
        <v>21.0</v>
      </c>
      <c r="F7" s="3">
        <f t="shared" ref="F7:F30" si="1">E7/3.281</f>
        <v>6.400487656</v>
      </c>
      <c r="G7" s="4">
        <v>53.5</v>
      </c>
      <c r="H7" s="31">
        <v>0.0</v>
      </c>
      <c r="I7" s="31">
        <v>0.0</v>
      </c>
      <c r="K7" s="31">
        <v>543.25</v>
      </c>
      <c r="L7" s="5" t="s">
        <v>60</v>
      </c>
      <c r="M7" s="3">
        <v>12.875</v>
      </c>
      <c r="N7" s="32">
        <v>0.7</v>
      </c>
      <c r="O7" s="32">
        <v>0.5</v>
      </c>
      <c r="Q7" s="33">
        <v>2.29</v>
      </c>
      <c r="R7" s="33">
        <v>2.4</v>
      </c>
      <c r="T7" s="33" t="s">
        <v>61</v>
      </c>
      <c r="U7" s="10"/>
      <c r="V7" s="9"/>
      <c r="W7" s="9"/>
      <c r="X7" s="9"/>
      <c r="Y7" s="9"/>
      <c r="Z7" s="9"/>
      <c r="AA7" s="9"/>
      <c r="AB7" s="9"/>
      <c r="AC7" s="9"/>
      <c r="AD7" s="15">
        <v>2.47</v>
      </c>
      <c r="AE7" s="15">
        <v>2.5</v>
      </c>
      <c r="AF7" s="15">
        <v>1.96</v>
      </c>
      <c r="AG7" s="15">
        <v>2.04</v>
      </c>
      <c r="AH7" s="15">
        <v>2.4</v>
      </c>
      <c r="AI7" s="9"/>
      <c r="AJ7" s="9"/>
      <c r="AK7" s="9">
        <f t="shared" ref="AK7:AK52" si="2">AVERAGE(AD7:AJ7)</f>
        <v>2.274</v>
      </c>
      <c r="AL7" s="11"/>
      <c r="AM7" s="9"/>
      <c r="AN7" s="9"/>
      <c r="AO7" s="10"/>
      <c r="AP7" s="9"/>
      <c r="AQ7" s="9"/>
      <c r="AR7" s="9"/>
      <c r="AS7" s="9"/>
      <c r="AT7" s="9"/>
      <c r="AU7" s="9"/>
      <c r="AV7" s="15">
        <v>3.5</v>
      </c>
      <c r="AW7" s="15">
        <v>0.2461</v>
      </c>
      <c r="AX7" s="15">
        <v>1.75</v>
      </c>
      <c r="AY7" s="15">
        <v>0.2196</v>
      </c>
      <c r="AZ7" s="15">
        <v>1.85</v>
      </c>
      <c r="BA7" s="15">
        <v>0.1721</v>
      </c>
      <c r="BB7" s="15">
        <v>2.95</v>
      </c>
      <c r="BC7" s="15">
        <v>0.21</v>
      </c>
      <c r="BD7" s="15">
        <v>2.0</v>
      </c>
      <c r="BE7" s="15">
        <v>0.2378</v>
      </c>
      <c r="BF7" s="15">
        <v>2.6</v>
      </c>
      <c r="BG7" s="15">
        <v>0.1909</v>
      </c>
      <c r="BH7" s="9"/>
      <c r="BI7" s="9"/>
      <c r="BJ7" s="9"/>
      <c r="BK7" s="15">
        <v>0.241</v>
      </c>
      <c r="BL7" s="9"/>
    </row>
    <row r="8" ht="17.25" customHeight="1">
      <c r="A8" s="12" t="s">
        <v>57</v>
      </c>
      <c r="B8" s="12" t="s">
        <v>58</v>
      </c>
      <c r="C8" s="12">
        <v>2353.0</v>
      </c>
      <c r="D8" s="12" t="s">
        <v>62</v>
      </c>
      <c r="E8" s="12">
        <v>44.0</v>
      </c>
      <c r="F8" s="3">
        <f t="shared" si="1"/>
        <v>13.41054557</v>
      </c>
      <c r="G8" s="4">
        <v>45.3</v>
      </c>
      <c r="H8" s="31">
        <v>0.0</v>
      </c>
      <c r="I8" s="31">
        <v>0.0</v>
      </c>
      <c r="K8" s="31">
        <v>441.15</v>
      </c>
      <c r="L8" s="5" t="s">
        <v>60</v>
      </c>
      <c r="M8" s="3">
        <v>8.963</v>
      </c>
      <c r="N8" s="32">
        <v>0.6</v>
      </c>
      <c r="O8" s="32">
        <v>0.4</v>
      </c>
      <c r="Q8" s="33">
        <v>2.65</v>
      </c>
      <c r="R8" s="33">
        <v>3.15</v>
      </c>
      <c r="S8" s="33">
        <v>2.7</v>
      </c>
      <c r="T8" s="33" t="s">
        <v>61</v>
      </c>
      <c r="U8" s="10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 t="str">
        <f t="shared" si="2"/>
        <v>#DIV/0!</v>
      </c>
      <c r="AL8" s="11"/>
      <c r="AM8" s="9"/>
      <c r="AN8" s="9"/>
      <c r="AO8" s="10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</row>
    <row r="9" ht="17.25" customHeight="1">
      <c r="A9" s="12" t="s">
        <v>57</v>
      </c>
      <c r="B9" s="12" t="s">
        <v>58</v>
      </c>
      <c r="C9" s="34">
        <v>2354.0</v>
      </c>
      <c r="D9" s="12" t="s">
        <v>59</v>
      </c>
      <c r="E9" s="12">
        <v>45.0</v>
      </c>
      <c r="F9" s="3">
        <f t="shared" si="1"/>
        <v>13.71533069</v>
      </c>
      <c r="G9" s="3">
        <v>62.5</v>
      </c>
      <c r="H9" s="31">
        <v>58.2</v>
      </c>
      <c r="I9" s="31">
        <v>0.0</v>
      </c>
      <c r="K9" s="31">
        <v>193.59</v>
      </c>
      <c r="L9" s="5" t="s">
        <v>60</v>
      </c>
      <c r="M9" s="3">
        <v>12.466</v>
      </c>
      <c r="N9" s="32">
        <v>0.2</v>
      </c>
      <c r="O9" s="32">
        <v>0.4</v>
      </c>
      <c r="P9" s="9" t="s">
        <v>63</v>
      </c>
      <c r="Q9" s="33">
        <v>1.9</v>
      </c>
      <c r="R9" s="33">
        <v>2.7</v>
      </c>
      <c r="S9" s="33">
        <v>2.25</v>
      </c>
      <c r="T9" s="33" t="s">
        <v>61</v>
      </c>
      <c r="U9" s="10"/>
      <c r="V9" s="9"/>
      <c r="W9" s="9"/>
      <c r="X9" s="9"/>
      <c r="Y9" s="9"/>
      <c r="Z9" s="9"/>
      <c r="AA9" s="9"/>
      <c r="AB9" s="9"/>
      <c r="AC9" s="9"/>
      <c r="AD9" s="15">
        <v>1.78</v>
      </c>
      <c r="AE9" s="15">
        <v>0.962</v>
      </c>
      <c r="AF9" s="15">
        <v>2.64</v>
      </c>
      <c r="AG9" s="15">
        <v>1.92</v>
      </c>
      <c r="AH9" s="15">
        <v>1.54</v>
      </c>
      <c r="AI9" s="9"/>
      <c r="AJ9" s="9"/>
      <c r="AK9" s="9">
        <f t="shared" si="2"/>
        <v>1.7684</v>
      </c>
      <c r="AL9" s="11"/>
      <c r="AM9" s="9"/>
      <c r="AN9" s="9"/>
      <c r="AO9" s="10"/>
      <c r="AP9" s="9"/>
      <c r="AQ9" s="9"/>
      <c r="AR9" s="9"/>
      <c r="AS9" s="9"/>
      <c r="AT9" s="9"/>
      <c r="AU9" s="9"/>
      <c r="AV9" s="15">
        <v>2.9</v>
      </c>
      <c r="AW9" s="15">
        <v>0.2881</v>
      </c>
      <c r="AX9" s="15">
        <v>1.69</v>
      </c>
      <c r="AY9" s="15">
        <v>0.284</v>
      </c>
      <c r="AZ9" s="15">
        <v>1.7</v>
      </c>
      <c r="BA9" s="15">
        <v>0.2087</v>
      </c>
      <c r="BB9" s="15">
        <v>1.65</v>
      </c>
      <c r="BC9" s="15">
        <v>0.3681</v>
      </c>
      <c r="BD9" s="9"/>
      <c r="BE9" s="9"/>
      <c r="BF9" s="9"/>
      <c r="BG9" s="9"/>
      <c r="BH9" s="9"/>
      <c r="BI9" s="9"/>
      <c r="BJ9" s="9"/>
      <c r="BK9" s="15">
        <v>1.0383</v>
      </c>
      <c r="BL9" s="9"/>
    </row>
    <row r="10" ht="17.25" customHeight="1">
      <c r="A10" s="12" t="s">
        <v>57</v>
      </c>
      <c r="B10" s="12" t="s">
        <v>64</v>
      </c>
      <c r="C10" s="12">
        <v>2355.0</v>
      </c>
      <c r="D10" s="12" t="s">
        <v>59</v>
      </c>
      <c r="E10" s="12">
        <v>54.0</v>
      </c>
      <c r="F10" s="3">
        <f t="shared" si="1"/>
        <v>16.45839683</v>
      </c>
      <c r="G10" s="4">
        <v>17.7</v>
      </c>
      <c r="H10" s="31">
        <v>0.0</v>
      </c>
      <c r="I10" s="31">
        <v>0.0</v>
      </c>
      <c r="K10" s="31">
        <v>1411.96</v>
      </c>
      <c r="L10" s="5" t="s">
        <v>60</v>
      </c>
      <c r="M10" s="3">
        <v>11.63</v>
      </c>
      <c r="N10" s="32">
        <v>0.5</v>
      </c>
      <c r="O10" s="32">
        <v>0.6</v>
      </c>
      <c r="Q10" s="33">
        <v>4.3</v>
      </c>
      <c r="R10" s="33">
        <v>4.05</v>
      </c>
      <c r="T10" s="33" t="s">
        <v>61</v>
      </c>
      <c r="U10" s="14">
        <v>2.0</v>
      </c>
      <c r="V10" s="15">
        <v>2.0</v>
      </c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 t="str">
        <f t="shared" si="2"/>
        <v>#DIV/0!</v>
      </c>
      <c r="AL10" s="11"/>
      <c r="AM10" s="9"/>
      <c r="AN10" s="9"/>
      <c r="AO10" s="10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</row>
    <row r="11" ht="17.25" customHeight="1">
      <c r="A11" s="12" t="s">
        <v>57</v>
      </c>
      <c r="B11" s="12" t="s">
        <v>64</v>
      </c>
      <c r="C11" s="34" t="s">
        <v>65</v>
      </c>
      <c r="D11" s="12" t="s">
        <v>62</v>
      </c>
      <c r="E11" s="12">
        <v>56.0</v>
      </c>
      <c r="F11" s="3">
        <f t="shared" si="1"/>
        <v>17.06796708</v>
      </c>
      <c r="G11" s="4">
        <v>18.6</v>
      </c>
      <c r="H11" s="31">
        <v>0.0</v>
      </c>
      <c r="I11" s="31">
        <v>0.0</v>
      </c>
      <c r="K11" s="31">
        <v>539.13</v>
      </c>
      <c r="L11" s="5" t="s">
        <v>60</v>
      </c>
      <c r="M11" s="3">
        <v>12.74</v>
      </c>
      <c r="N11" s="32">
        <v>0.7</v>
      </c>
      <c r="O11" s="32">
        <v>0.1</v>
      </c>
      <c r="P11" s="9" t="s">
        <v>66</v>
      </c>
      <c r="T11" s="33" t="s">
        <v>61</v>
      </c>
      <c r="U11" s="10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 t="str">
        <f t="shared" si="2"/>
        <v>#DIV/0!</v>
      </c>
      <c r="AL11" s="11"/>
      <c r="AM11" s="9"/>
      <c r="AN11" s="9"/>
      <c r="AO11" s="10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</row>
    <row r="12" ht="17.25" customHeight="1">
      <c r="A12" s="12" t="s">
        <v>57</v>
      </c>
      <c r="B12" s="12" t="s">
        <v>64</v>
      </c>
      <c r="C12" s="12">
        <v>2356.0</v>
      </c>
      <c r="D12" s="12" t="s">
        <v>59</v>
      </c>
      <c r="E12" s="12">
        <v>64.1</v>
      </c>
      <c r="F12" s="3">
        <f t="shared" si="1"/>
        <v>19.53672661</v>
      </c>
      <c r="G12" s="4">
        <v>26.2</v>
      </c>
      <c r="H12" s="31">
        <v>0.0</v>
      </c>
      <c r="I12" s="31">
        <v>0.0</v>
      </c>
      <c r="K12" s="31">
        <v>2248.01</v>
      </c>
      <c r="L12" s="5" t="s">
        <v>60</v>
      </c>
      <c r="M12" s="3">
        <v>13.899</v>
      </c>
      <c r="N12" s="32">
        <v>0.1</v>
      </c>
      <c r="O12" s="32">
        <v>0.05</v>
      </c>
      <c r="T12" s="33" t="s">
        <v>61</v>
      </c>
      <c r="U12" s="14">
        <v>3.0</v>
      </c>
      <c r="V12" s="15">
        <v>2.0</v>
      </c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 t="str">
        <f t="shared" si="2"/>
        <v>#DIV/0!</v>
      </c>
      <c r="AL12" s="11"/>
      <c r="AM12" s="9"/>
      <c r="AN12" s="9"/>
      <c r="AO12" s="10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</row>
    <row r="13" ht="17.25" customHeight="1">
      <c r="A13" s="12" t="s">
        <v>57</v>
      </c>
      <c r="B13" s="12" t="s">
        <v>64</v>
      </c>
      <c r="C13" s="12">
        <v>2357.0</v>
      </c>
      <c r="D13" s="12" t="s">
        <v>59</v>
      </c>
      <c r="E13" s="12">
        <v>70.0</v>
      </c>
      <c r="F13" s="3">
        <f t="shared" si="1"/>
        <v>21.33495885</v>
      </c>
      <c r="G13" s="4">
        <v>23.6</v>
      </c>
      <c r="H13" s="31">
        <v>0.0</v>
      </c>
      <c r="I13" s="31">
        <v>0.0</v>
      </c>
      <c r="K13" s="31">
        <v>1611.71</v>
      </c>
      <c r="L13" s="5" t="s">
        <v>60</v>
      </c>
      <c r="M13" s="3">
        <v>12.455</v>
      </c>
      <c r="N13" s="32">
        <v>0.2</v>
      </c>
      <c r="O13" s="32">
        <v>0.1</v>
      </c>
      <c r="P13" s="9" t="s">
        <v>67</v>
      </c>
      <c r="T13" s="33" t="s">
        <v>61</v>
      </c>
      <c r="U13" s="14">
        <v>2.0</v>
      </c>
      <c r="V13" s="15">
        <v>4.0</v>
      </c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 t="str">
        <f t="shared" si="2"/>
        <v>#DIV/0!</v>
      </c>
      <c r="AL13" s="11"/>
      <c r="AM13" s="9"/>
      <c r="AN13" s="9"/>
      <c r="AO13" s="10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</row>
    <row r="14" ht="17.25" customHeight="1">
      <c r="A14" s="12" t="s">
        <v>57</v>
      </c>
      <c r="B14" s="12" t="s">
        <v>64</v>
      </c>
      <c r="C14" s="34" t="s">
        <v>65</v>
      </c>
      <c r="D14" s="12" t="s">
        <v>62</v>
      </c>
      <c r="E14" s="12">
        <v>73.0</v>
      </c>
      <c r="F14" s="3">
        <f t="shared" si="1"/>
        <v>22.24931423</v>
      </c>
      <c r="G14" s="3">
        <v>16.9</v>
      </c>
      <c r="H14" s="31">
        <v>0.0</v>
      </c>
      <c r="I14" s="31">
        <v>0.0</v>
      </c>
      <c r="K14" s="31">
        <v>246.06</v>
      </c>
      <c r="L14" s="5" t="s">
        <v>60</v>
      </c>
      <c r="M14" s="3">
        <v>10.21</v>
      </c>
      <c r="N14" s="32">
        <v>0.8</v>
      </c>
      <c r="O14" s="32">
        <v>0.3</v>
      </c>
      <c r="P14" s="9" t="s">
        <v>68</v>
      </c>
      <c r="T14" s="33" t="s">
        <v>61</v>
      </c>
      <c r="U14" s="10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 t="str">
        <f t="shared" si="2"/>
        <v>#DIV/0!</v>
      </c>
      <c r="AL14" s="11"/>
      <c r="AM14" s="9"/>
      <c r="AN14" s="9"/>
      <c r="AO14" s="10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</row>
    <row r="15" ht="17.25" customHeight="1">
      <c r="A15" s="12" t="s">
        <v>57</v>
      </c>
      <c r="B15" s="12" t="s">
        <v>64</v>
      </c>
      <c r="C15" s="12">
        <v>2358.0</v>
      </c>
      <c r="D15" s="12" t="s">
        <v>62</v>
      </c>
      <c r="E15" s="12">
        <v>74.5</v>
      </c>
      <c r="F15" s="3">
        <f t="shared" si="1"/>
        <v>22.70649192</v>
      </c>
      <c r="G15" s="4">
        <v>26.5</v>
      </c>
      <c r="H15" s="31">
        <v>0.0</v>
      </c>
      <c r="I15" s="31">
        <v>0.0</v>
      </c>
      <c r="K15" s="31">
        <v>271.72</v>
      </c>
      <c r="L15" s="5" t="s">
        <v>60</v>
      </c>
      <c r="M15" s="3">
        <v>9.528</v>
      </c>
      <c r="N15" s="32">
        <v>0.8</v>
      </c>
      <c r="O15" s="32">
        <v>0.3</v>
      </c>
      <c r="T15" s="33" t="s">
        <v>61</v>
      </c>
      <c r="U15" s="14">
        <v>0.0</v>
      </c>
      <c r="V15" s="15">
        <v>3.0</v>
      </c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 t="str">
        <f t="shared" si="2"/>
        <v>#DIV/0!</v>
      </c>
      <c r="AL15" s="11"/>
      <c r="AM15" s="9"/>
      <c r="AN15" s="9"/>
      <c r="AO15" s="10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</row>
    <row r="16" ht="17.25" customHeight="1">
      <c r="A16" s="12" t="s">
        <v>57</v>
      </c>
      <c r="B16" s="12" t="s">
        <v>64</v>
      </c>
      <c r="C16" s="12">
        <v>2359.0</v>
      </c>
      <c r="D16" s="12" t="s">
        <v>59</v>
      </c>
      <c r="E16" s="12">
        <v>79.1</v>
      </c>
      <c r="F16" s="3">
        <f t="shared" si="1"/>
        <v>24.10850351</v>
      </c>
      <c r="G16" s="4">
        <v>15.7</v>
      </c>
      <c r="H16" s="31">
        <v>0.0</v>
      </c>
      <c r="I16" s="31">
        <v>0.0</v>
      </c>
      <c r="K16" s="31">
        <v>437.44</v>
      </c>
      <c r="L16" s="5" t="s">
        <v>60</v>
      </c>
      <c r="M16" s="3">
        <v>7.75</v>
      </c>
      <c r="N16" s="32">
        <v>0.8</v>
      </c>
      <c r="O16" s="32">
        <v>0.1</v>
      </c>
      <c r="P16" s="12"/>
      <c r="Q16" s="33">
        <v>4.15</v>
      </c>
      <c r="R16" s="33">
        <v>4.2</v>
      </c>
      <c r="T16" s="33" t="s">
        <v>61</v>
      </c>
      <c r="U16" s="14">
        <v>0.0</v>
      </c>
      <c r="V16" s="15">
        <v>3.0</v>
      </c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 t="str">
        <f t="shared" si="2"/>
        <v>#DIV/0!</v>
      </c>
      <c r="AL16" s="11"/>
      <c r="AM16" s="9"/>
      <c r="AN16" s="9"/>
      <c r="AO16" s="10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</row>
    <row r="17" ht="17.25" customHeight="1">
      <c r="A17" s="12" t="s">
        <v>57</v>
      </c>
      <c r="B17" s="12" t="s">
        <v>64</v>
      </c>
      <c r="C17" s="34" t="s">
        <v>65</v>
      </c>
      <c r="D17" s="12" t="s">
        <v>62</v>
      </c>
      <c r="E17" s="12">
        <v>83.0</v>
      </c>
      <c r="F17" s="3">
        <f t="shared" si="1"/>
        <v>25.2971655</v>
      </c>
      <c r="G17" s="3">
        <v>21.4</v>
      </c>
      <c r="H17" s="31">
        <v>0.0</v>
      </c>
      <c r="I17" s="31">
        <v>0.0</v>
      </c>
      <c r="K17" s="31">
        <v>551.55</v>
      </c>
      <c r="L17" s="5" t="s">
        <v>60</v>
      </c>
      <c r="M17" s="3">
        <v>10.68</v>
      </c>
      <c r="N17" s="32">
        <v>0.6</v>
      </c>
      <c r="O17" s="32">
        <v>0.1</v>
      </c>
      <c r="P17" s="9" t="s">
        <v>66</v>
      </c>
      <c r="T17" s="33" t="s">
        <v>61</v>
      </c>
      <c r="U17" s="10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 t="str">
        <f t="shared" si="2"/>
        <v>#DIV/0!</v>
      </c>
      <c r="AL17" s="11"/>
      <c r="AM17" s="9"/>
      <c r="AN17" s="9"/>
      <c r="AO17" s="10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</row>
    <row r="18" ht="17.25" customHeight="1">
      <c r="A18" s="12" t="s">
        <v>57</v>
      </c>
      <c r="B18" s="12" t="s">
        <v>64</v>
      </c>
      <c r="C18" s="12">
        <v>2360.0</v>
      </c>
      <c r="D18" s="12" t="s">
        <v>62</v>
      </c>
      <c r="E18" s="12">
        <v>101.0</v>
      </c>
      <c r="F18" s="3">
        <f t="shared" si="1"/>
        <v>30.78329778</v>
      </c>
      <c r="G18" s="3">
        <v>23.0</v>
      </c>
      <c r="H18" s="35">
        <v>0.0</v>
      </c>
      <c r="I18" s="35">
        <v>0.0</v>
      </c>
      <c r="K18" s="35">
        <v>359.68</v>
      </c>
      <c r="L18" s="5" t="s">
        <v>60</v>
      </c>
      <c r="M18" s="3">
        <v>11.048</v>
      </c>
      <c r="N18" s="32">
        <v>0.7</v>
      </c>
      <c r="O18" s="32">
        <v>0.4</v>
      </c>
      <c r="T18" s="33" t="s">
        <v>61</v>
      </c>
      <c r="U18" s="14">
        <v>0.0</v>
      </c>
      <c r="V18" s="15">
        <v>5.0</v>
      </c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 t="str">
        <f t="shared" si="2"/>
        <v>#DIV/0!</v>
      </c>
      <c r="AL18" s="11"/>
      <c r="AM18" s="9"/>
      <c r="AN18" s="9"/>
      <c r="AO18" s="10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</row>
    <row r="19" ht="17.25" customHeight="1">
      <c r="A19" s="12" t="s">
        <v>57</v>
      </c>
      <c r="B19" s="12" t="s">
        <v>64</v>
      </c>
      <c r="C19" s="12">
        <v>2361.0</v>
      </c>
      <c r="D19" s="12" t="s">
        <v>59</v>
      </c>
      <c r="E19" s="12">
        <v>104.2</v>
      </c>
      <c r="F19" s="3">
        <f t="shared" si="1"/>
        <v>31.75861018</v>
      </c>
      <c r="G19" s="3">
        <f>E19/3.281</f>
        <v>31.75861018</v>
      </c>
      <c r="H19" s="35">
        <v>0.0</v>
      </c>
      <c r="I19" s="35">
        <v>0.0</v>
      </c>
      <c r="K19" s="35">
        <v>224.32</v>
      </c>
      <c r="L19" s="5" t="s">
        <v>60</v>
      </c>
      <c r="M19" s="3">
        <v>6.579</v>
      </c>
      <c r="N19" s="32">
        <v>0.8</v>
      </c>
      <c r="O19" s="32">
        <v>0.1</v>
      </c>
      <c r="P19" s="12"/>
      <c r="Q19" s="33">
        <v>2.9</v>
      </c>
      <c r="R19" s="33">
        <v>2.8</v>
      </c>
      <c r="T19" s="33" t="s">
        <v>61</v>
      </c>
      <c r="U19" s="14">
        <v>1.0</v>
      </c>
      <c r="V19" s="15">
        <v>2.0</v>
      </c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 t="str">
        <f t="shared" si="2"/>
        <v>#DIV/0!</v>
      </c>
      <c r="AL19" s="11"/>
      <c r="AM19" s="9"/>
      <c r="AN19" s="9"/>
      <c r="AO19" s="10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</row>
    <row r="20" ht="17.25" customHeight="1">
      <c r="A20" s="12" t="s">
        <v>57</v>
      </c>
      <c r="B20" s="12" t="s">
        <v>64</v>
      </c>
      <c r="C20" s="34" t="s">
        <v>65</v>
      </c>
      <c r="D20" s="12" t="s">
        <v>59</v>
      </c>
      <c r="E20" s="12">
        <v>111.0</v>
      </c>
      <c r="F20" s="3">
        <f t="shared" si="1"/>
        <v>33.83114904</v>
      </c>
      <c r="G20" s="3">
        <v>30.4</v>
      </c>
      <c r="H20" s="35">
        <v>0.0</v>
      </c>
      <c r="I20" s="35">
        <v>0.0</v>
      </c>
      <c r="K20" s="35">
        <v>415.48</v>
      </c>
      <c r="L20" s="5" t="s">
        <v>60</v>
      </c>
      <c r="M20" s="3">
        <v>6.151</v>
      </c>
      <c r="N20" s="32">
        <v>0.7</v>
      </c>
      <c r="O20" s="32">
        <v>0.4</v>
      </c>
      <c r="P20" s="9" t="s">
        <v>66</v>
      </c>
      <c r="T20" s="33" t="s">
        <v>61</v>
      </c>
      <c r="U20" s="10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 t="str">
        <f t="shared" si="2"/>
        <v>#DIV/0!</v>
      </c>
      <c r="AL20" s="11"/>
      <c r="AM20" s="9"/>
      <c r="AN20" s="9"/>
      <c r="AO20" s="10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</row>
    <row r="21" ht="17.25" customHeight="1">
      <c r="A21" s="12" t="s">
        <v>57</v>
      </c>
      <c r="B21" s="12" t="s">
        <v>64</v>
      </c>
      <c r="C21" s="12">
        <v>2362.0</v>
      </c>
      <c r="D21" s="36" t="s">
        <v>59</v>
      </c>
      <c r="E21" s="12">
        <v>114.0</v>
      </c>
      <c r="F21" s="3">
        <f t="shared" si="1"/>
        <v>34.74550442</v>
      </c>
      <c r="G21" s="4">
        <v>18.0</v>
      </c>
      <c r="H21" s="35">
        <v>0.0</v>
      </c>
      <c r="I21" s="35">
        <v>0.0</v>
      </c>
      <c r="K21" s="35">
        <v>725.83</v>
      </c>
      <c r="L21" s="5" t="s">
        <v>60</v>
      </c>
      <c r="M21" s="3">
        <v>8.449</v>
      </c>
      <c r="N21" s="32">
        <v>0.7</v>
      </c>
      <c r="O21" s="32">
        <v>0.3</v>
      </c>
      <c r="P21" s="9" t="s">
        <v>69</v>
      </c>
      <c r="Q21" s="33">
        <v>3.9</v>
      </c>
      <c r="R21" s="33">
        <v>3.8</v>
      </c>
      <c r="T21" s="33" t="s">
        <v>61</v>
      </c>
      <c r="U21" s="14">
        <v>1.0</v>
      </c>
      <c r="V21" s="15">
        <v>6.0</v>
      </c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 t="str">
        <f t="shared" si="2"/>
        <v>#DIV/0!</v>
      </c>
      <c r="AL21" s="11"/>
      <c r="AM21" s="9"/>
      <c r="AN21" s="9"/>
      <c r="AO21" s="10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</row>
    <row r="22" ht="17.25" customHeight="1">
      <c r="A22" s="12" t="s">
        <v>57</v>
      </c>
      <c r="B22" s="12" t="s">
        <v>64</v>
      </c>
      <c r="C22" s="12">
        <v>2363.0</v>
      </c>
      <c r="D22" s="12" t="s">
        <v>59</v>
      </c>
      <c r="E22" s="12">
        <v>118.0</v>
      </c>
      <c r="F22" s="3">
        <f t="shared" si="1"/>
        <v>35.96464493</v>
      </c>
      <c r="G22" s="3">
        <v>23.8</v>
      </c>
      <c r="H22" s="35">
        <v>0.0</v>
      </c>
      <c r="I22" s="35">
        <v>0.0</v>
      </c>
      <c r="K22" s="35">
        <v>444.88</v>
      </c>
      <c r="L22" s="5" t="s">
        <v>60</v>
      </c>
      <c r="M22" s="3">
        <v>9.366</v>
      </c>
      <c r="N22" s="32">
        <v>0.8</v>
      </c>
      <c r="O22" s="32">
        <v>0.3</v>
      </c>
      <c r="T22" s="33" t="s">
        <v>61</v>
      </c>
      <c r="U22" s="14">
        <v>2.0</v>
      </c>
      <c r="V22" s="15">
        <v>2.0</v>
      </c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 t="str">
        <f t="shared" si="2"/>
        <v>#DIV/0!</v>
      </c>
      <c r="AL22" s="11"/>
      <c r="AM22" s="9"/>
      <c r="AN22" s="9"/>
      <c r="AO22" s="10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</row>
    <row r="23" ht="17.25" customHeight="1">
      <c r="A23" s="12" t="s">
        <v>57</v>
      </c>
      <c r="B23" s="12" t="s">
        <v>64</v>
      </c>
      <c r="C23" s="12">
        <v>2364.0</v>
      </c>
      <c r="D23" s="12" t="s">
        <v>59</v>
      </c>
      <c r="E23" s="12">
        <v>124.0</v>
      </c>
      <c r="F23" s="3">
        <f t="shared" si="1"/>
        <v>37.79335568</v>
      </c>
      <c r="G23" s="3">
        <v>28.3</v>
      </c>
      <c r="H23" s="35">
        <v>0.0</v>
      </c>
      <c r="I23" s="35">
        <v>0.0</v>
      </c>
      <c r="K23" s="35">
        <v>629.02</v>
      </c>
      <c r="L23" s="5" t="s">
        <v>60</v>
      </c>
      <c r="M23" s="3">
        <v>12.735</v>
      </c>
      <c r="N23" s="32">
        <v>0.6</v>
      </c>
      <c r="O23" s="32">
        <v>0.4</v>
      </c>
      <c r="Q23" s="33">
        <v>4.3</v>
      </c>
      <c r="R23" s="33">
        <v>4.27</v>
      </c>
      <c r="T23" s="33" t="s">
        <v>61</v>
      </c>
      <c r="U23" s="14">
        <v>2.0</v>
      </c>
      <c r="V23" s="15">
        <v>1.0</v>
      </c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 t="str">
        <f t="shared" si="2"/>
        <v>#DIV/0!</v>
      </c>
      <c r="AL23" s="11"/>
      <c r="AM23" s="9"/>
      <c r="AN23" s="9"/>
      <c r="AO23" s="10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</row>
    <row r="24" ht="17.25" customHeight="1">
      <c r="A24" s="12" t="s">
        <v>57</v>
      </c>
      <c r="B24" s="12" t="s">
        <v>64</v>
      </c>
      <c r="C24" s="12">
        <v>2365.0</v>
      </c>
      <c r="D24" s="12" t="s">
        <v>62</v>
      </c>
      <c r="E24" s="12">
        <v>126.3</v>
      </c>
      <c r="F24" s="3">
        <f t="shared" si="1"/>
        <v>38.49436148</v>
      </c>
      <c r="G24" s="4">
        <v>42.4</v>
      </c>
      <c r="H24" s="35">
        <v>11.0</v>
      </c>
      <c r="I24" s="35">
        <v>0.0</v>
      </c>
      <c r="K24" s="35">
        <v>343.88</v>
      </c>
      <c r="L24" s="5" t="s">
        <v>60</v>
      </c>
      <c r="M24" s="3">
        <v>8.118</v>
      </c>
      <c r="N24" s="32">
        <v>0.8</v>
      </c>
      <c r="O24" s="32">
        <v>0.3</v>
      </c>
      <c r="Q24" s="33">
        <v>3.65</v>
      </c>
      <c r="R24" s="33">
        <v>3.85</v>
      </c>
      <c r="T24" s="33" t="s">
        <v>61</v>
      </c>
      <c r="U24" s="14">
        <v>1.0</v>
      </c>
      <c r="V24" s="15">
        <v>3.0</v>
      </c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 t="str">
        <f t="shared" si="2"/>
        <v>#DIV/0!</v>
      </c>
      <c r="AL24" s="11"/>
      <c r="AM24" s="9"/>
      <c r="AN24" s="9"/>
      <c r="AO24" s="14">
        <v>1.82</v>
      </c>
      <c r="AP24" s="15">
        <v>1.519</v>
      </c>
      <c r="AQ24" s="15">
        <v>1.63</v>
      </c>
      <c r="AR24" s="9"/>
      <c r="AS24" s="9"/>
      <c r="AT24" s="9"/>
      <c r="AU24" s="9"/>
      <c r="AV24" s="15">
        <v>1.65</v>
      </c>
      <c r="AW24" s="15">
        <v>0.0622</v>
      </c>
      <c r="AX24" s="15">
        <v>2.8</v>
      </c>
      <c r="AY24" s="15">
        <v>0.1227</v>
      </c>
      <c r="AZ24" s="15">
        <v>1.85</v>
      </c>
      <c r="BA24" s="15">
        <v>0.14012</v>
      </c>
      <c r="BB24" s="9"/>
      <c r="BC24" s="9"/>
      <c r="BD24" s="9"/>
      <c r="BE24" s="9"/>
      <c r="BF24" s="9"/>
      <c r="BG24" s="9"/>
      <c r="BH24" s="9"/>
      <c r="BI24" s="9"/>
      <c r="BJ24" s="9"/>
      <c r="BK24" s="15">
        <v>2.0149</v>
      </c>
      <c r="BL24" s="9"/>
    </row>
    <row r="25" ht="17.25" customHeight="1">
      <c r="A25" s="12" t="s">
        <v>57</v>
      </c>
      <c r="B25" s="12" t="s">
        <v>64</v>
      </c>
      <c r="C25" s="12">
        <v>2366.0</v>
      </c>
      <c r="D25" s="36" t="s">
        <v>59</v>
      </c>
      <c r="E25" s="2">
        <v>135.7</v>
      </c>
      <c r="F25" s="3">
        <f t="shared" si="1"/>
        <v>41.35934166</v>
      </c>
      <c r="G25" s="4">
        <v>26.3</v>
      </c>
      <c r="H25" s="35">
        <v>16.0</v>
      </c>
      <c r="I25" s="35">
        <v>0.0</v>
      </c>
      <c r="K25" s="35">
        <v>744.31</v>
      </c>
      <c r="L25" s="5" t="s">
        <v>60</v>
      </c>
      <c r="M25" s="3">
        <v>11.305</v>
      </c>
      <c r="N25" s="32">
        <v>0.7</v>
      </c>
      <c r="O25" s="32">
        <v>0.3</v>
      </c>
      <c r="Q25" s="33">
        <v>4.0</v>
      </c>
      <c r="R25" s="33">
        <v>3.55</v>
      </c>
      <c r="S25" s="33">
        <v>3.9</v>
      </c>
      <c r="T25" s="33" t="s">
        <v>61</v>
      </c>
      <c r="U25" s="14">
        <v>1.0</v>
      </c>
      <c r="V25" s="15">
        <v>2.0</v>
      </c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 t="str">
        <f t="shared" si="2"/>
        <v>#DIV/0!</v>
      </c>
      <c r="AL25" s="11"/>
      <c r="AM25" s="9"/>
      <c r="AN25" s="9"/>
      <c r="AO25" s="14">
        <v>1.538</v>
      </c>
      <c r="AP25" s="15">
        <v>1.478</v>
      </c>
      <c r="AQ25" s="9"/>
      <c r="AR25" s="9"/>
      <c r="AS25" s="9"/>
      <c r="AT25" s="9"/>
      <c r="AU25" s="9"/>
      <c r="AV25" s="15">
        <v>2.01</v>
      </c>
      <c r="AW25" s="15">
        <v>0.3206</v>
      </c>
      <c r="AX25" s="15">
        <v>3.0</v>
      </c>
      <c r="AY25" s="15">
        <v>0.1546</v>
      </c>
      <c r="AZ25" s="15">
        <v>1.85</v>
      </c>
      <c r="BA25" s="15">
        <v>0.1376</v>
      </c>
      <c r="BB25" s="9"/>
      <c r="BC25" s="9"/>
      <c r="BD25" s="9"/>
      <c r="BE25" s="9"/>
      <c r="BF25" s="9"/>
      <c r="BG25" s="9"/>
      <c r="BH25" s="9"/>
      <c r="BI25" s="9"/>
      <c r="BJ25" s="9"/>
      <c r="BK25" s="15">
        <v>0.174</v>
      </c>
      <c r="BL25" s="9"/>
    </row>
    <row r="26" ht="17.25" customHeight="1">
      <c r="A26" s="12" t="s">
        <v>57</v>
      </c>
      <c r="B26" s="12" t="s">
        <v>64</v>
      </c>
      <c r="C26" s="34" t="s">
        <v>65</v>
      </c>
      <c r="D26" s="12" t="s">
        <v>59</v>
      </c>
      <c r="E26" s="12">
        <v>138.5</v>
      </c>
      <c r="F26" s="3">
        <f t="shared" si="1"/>
        <v>42.21274002</v>
      </c>
      <c r="G26" s="3">
        <v>17.8</v>
      </c>
      <c r="H26" s="35">
        <v>0.0</v>
      </c>
      <c r="I26" s="35">
        <v>0.0</v>
      </c>
      <c r="K26" s="35">
        <v>633.47</v>
      </c>
      <c r="L26" s="5" t="s">
        <v>60</v>
      </c>
      <c r="M26" s="3">
        <v>9.168</v>
      </c>
      <c r="N26" s="32">
        <v>0.7</v>
      </c>
      <c r="O26" s="32">
        <v>0.4</v>
      </c>
      <c r="P26" s="9" t="s">
        <v>66</v>
      </c>
      <c r="Q26" s="33">
        <v>2.75</v>
      </c>
      <c r="R26" s="33">
        <v>2.45</v>
      </c>
      <c r="S26" s="33">
        <v>2.7</v>
      </c>
      <c r="T26" s="33" t="s">
        <v>61</v>
      </c>
      <c r="U26" s="10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 t="str">
        <f t="shared" si="2"/>
        <v>#DIV/0!</v>
      </c>
      <c r="AL26" s="11"/>
      <c r="AM26" s="9"/>
      <c r="AN26" s="9"/>
      <c r="AO26" s="10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</row>
    <row r="27" ht="17.25" customHeight="1">
      <c r="A27" s="12" t="s">
        <v>57</v>
      </c>
      <c r="B27" s="12" t="s">
        <v>64</v>
      </c>
      <c r="C27" s="12">
        <v>2367.0</v>
      </c>
      <c r="D27" s="12" t="s">
        <v>62</v>
      </c>
      <c r="E27" s="12">
        <v>142.0</v>
      </c>
      <c r="F27" s="3">
        <f t="shared" si="1"/>
        <v>43.27948796</v>
      </c>
      <c r="G27" s="3">
        <v>28.4</v>
      </c>
      <c r="H27" s="35">
        <v>0.0</v>
      </c>
      <c r="I27" s="35">
        <v>0.0</v>
      </c>
      <c r="K27" s="35">
        <v>629.02</v>
      </c>
      <c r="L27" s="5" t="s">
        <v>60</v>
      </c>
      <c r="M27" s="3">
        <v>12.349</v>
      </c>
      <c r="N27" s="32">
        <v>0.5</v>
      </c>
      <c r="O27" s="32">
        <v>0.3</v>
      </c>
      <c r="T27" s="33" t="s">
        <v>61</v>
      </c>
      <c r="U27" s="14">
        <v>1.0</v>
      </c>
      <c r="V27" s="15">
        <v>1.0</v>
      </c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 t="str">
        <f t="shared" si="2"/>
        <v>#DIV/0!</v>
      </c>
      <c r="AL27" s="11"/>
      <c r="AM27" s="9"/>
      <c r="AN27" s="9"/>
      <c r="AO27" s="14">
        <v>1.49</v>
      </c>
      <c r="AP27" s="15">
        <v>1.483</v>
      </c>
      <c r="AQ27" s="9"/>
      <c r="AR27" s="9"/>
      <c r="AS27" s="9"/>
      <c r="AT27" s="9"/>
      <c r="AU27" s="9"/>
      <c r="AV27" s="15">
        <v>2.199</v>
      </c>
      <c r="AW27" s="15">
        <v>0.0536</v>
      </c>
      <c r="AX27" s="15">
        <v>2.305</v>
      </c>
      <c r="AY27" s="15">
        <v>0.0362</v>
      </c>
      <c r="AZ27" s="15">
        <v>2.24</v>
      </c>
      <c r="BA27" s="15">
        <v>0.0206</v>
      </c>
      <c r="BB27" s="9"/>
      <c r="BC27" s="9"/>
      <c r="BD27" s="9"/>
      <c r="BE27" s="9"/>
      <c r="BF27" s="9"/>
      <c r="BG27" s="9"/>
      <c r="BH27" s="9"/>
      <c r="BI27" s="9"/>
      <c r="BJ27" s="9"/>
      <c r="BK27" s="15">
        <v>0.5031</v>
      </c>
      <c r="BL27" s="9"/>
    </row>
    <row r="28" ht="17.25" customHeight="1">
      <c r="A28" s="12" t="s">
        <v>57</v>
      </c>
      <c r="B28" s="12" t="s">
        <v>64</v>
      </c>
      <c r="C28" s="34" t="s">
        <v>65</v>
      </c>
      <c r="D28" s="12" t="s">
        <v>59</v>
      </c>
      <c r="E28" s="12">
        <v>144.0</v>
      </c>
      <c r="F28" s="3">
        <f t="shared" si="1"/>
        <v>43.88905821</v>
      </c>
      <c r="G28" s="3">
        <v>26.3</v>
      </c>
      <c r="H28" s="35">
        <v>21.9</v>
      </c>
      <c r="I28" s="35">
        <v>13.6</v>
      </c>
      <c r="K28" s="35">
        <v>836.11</v>
      </c>
      <c r="L28" s="5" t="s">
        <v>60</v>
      </c>
      <c r="M28" s="3">
        <v>8.61</v>
      </c>
      <c r="N28" s="32">
        <v>0.7</v>
      </c>
      <c r="O28" s="32">
        <v>0.4</v>
      </c>
      <c r="P28" s="9" t="s">
        <v>66</v>
      </c>
      <c r="T28" s="33" t="s">
        <v>61</v>
      </c>
      <c r="U28" s="10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 t="str">
        <f t="shared" si="2"/>
        <v>#DIV/0!</v>
      </c>
      <c r="AL28" s="11"/>
      <c r="AM28" s="9"/>
      <c r="AN28" s="9"/>
      <c r="AO28" s="10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</row>
    <row r="29" ht="17.25" customHeight="1">
      <c r="A29" s="12" t="s">
        <v>57</v>
      </c>
      <c r="B29" s="12" t="s">
        <v>64</v>
      </c>
      <c r="C29" s="34" t="s">
        <v>65</v>
      </c>
      <c r="D29" s="12" t="s">
        <v>59</v>
      </c>
      <c r="E29" s="12">
        <v>153.0</v>
      </c>
      <c r="F29" s="3">
        <f t="shared" si="1"/>
        <v>46.63212435</v>
      </c>
      <c r="G29" s="3">
        <v>28.3</v>
      </c>
      <c r="H29" s="37">
        <v>59.2</v>
      </c>
      <c r="I29" s="37">
        <v>0.0</v>
      </c>
      <c r="K29" s="35">
        <v>836.11</v>
      </c>
      <c r="L29" s="5" t="s">
        <v>60</v>
      </c>
      <c r="M29" s="3">
        <v>13.32</v>
      </c>
      <c r="N29" s="32">
        <v>0.05</v>
      </c>
      <c r="O29" s="32">
        <v>0.1</v>
      </c>
      <c r="P29" s="9" t="s">
        <v>66</v>
      </c>
      <c r="Q29" s="33">
        <v>3.2</v>
      </c>
      <c r="R29" s="33">
        <v>2.95</v>
      </c>
      <c r="S29" s="33">
        <v>3.0</v>
      </c>
      <c r="T29" s="33" t="s">
        <v>61</v>
      </c>
      <c r="U29" s="10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 t="str">
        <f t="shared" si="2"/>
        <v>#DIV/0!</v>
      </c>
      <c r="AL29" s="11"/>
      <c r="AM29" s="9"/>
      <c r="AN29" s="9"/>
      <c r="AO29" s="10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</row>
    <row r="30" ht="17.25" customHeight="1">
      <c r="A30" s="12" t="s">
        <v>57</v>
      </c>
      <c r="B30" s="12" t="s">
        <v>64</v>
      </c>
      <c r="C30" s="12">
        <v>2369.0</v>
      </c>
      <c r="D30" s="12" t="s">
        <v>59</v>
      </c>
      <c r="E30" s="12">
        <v>156.5</v>
      </c>
      <c r="F30" s="3">
        <f t="shared" si="1"/>
        <v>47.6988723</v>
      </c>
      <c r="G30" s="3">
        <v>21.8</v>
      </c>
      <c r="H30" s="35">
        <v>20.0</v>
      </c>
      <c r="I30" s="35">
        <v>13.4</v>
      </c>
      <c r="K30" s="35">
        <v>792.16</v>
      </c>
      <c r="L30" s="5" t="s">
        <v>60</v>
      </c>
      <c r="M30" s="3">
        <v>13.754</v>
      </c>
      <c r="N30" s="32">
        <v>0.5</v>
      </c>
      <c r="O30" s="32">
        <v>0.3</v>
      </c>
      <c r="Q30" s="33">
        <v>4.0</v>
      </c>
      <c r="R30" s="33">
        <v>4.0</v>
      </c>
      <c r="T30" s="33" t="s">
        <v>61</v>
      </c>
      <c r="U30" s="14">
        <v>2.0</v>
      </c>
      <c r="V30" s="15">
        <v>0.0</v>
      </c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 t="str">
        <f t="shared" si="2"/>
        <v>#DIV/0!</v>
      </c>
      <c r="AL30" s="11"/>
      <c r="AM30" s="9"/>
      <c r="AN30" s="9"/>
      <c r="AO30" s="14">
        <v>1.46</v>
      </c>
      <c r="AP30" s="15">
        <v>1.441</v>
      </c>
      <c r="AQ30" s="9"/>
      <c r="AR30" s="9"/>
      <c r="AS30" s="9"/>
      <c r="AT30" s="9"/>
      <c r="AU30" s="9"/>
      <c r="AV30" s="15">
        <v>1.472</v>
      </c>
      <c r="AW30" s="15">
        <v>0.0579</v>
      </c>
      <c r="AX30" s="15">
        <v>2.41</v>
      </c>
      <c r="AY30" s="15">
        <v>0.1936</v>
      </c>
      <c r="AZ30" s="15">
        <v>2.065</v>
      </c>
      <c r="BA30" s="15">
        <v>0.1857</v>
      </c>
      <c r="BB30" s="15">
        <v>2.86</v>
      </c>
      <c r="BC30" s="15">
        <v>0.3714</v>
      </c>
      <c r="BD30" s="15">
        <v>2.156</v>
      </c>
      <c r="BE30" s="15">
        <v>0.1188</v>
      </c>
      <c r="BF30" s="15">
        <v>2.396</v>
      </c>
      <c r="BG30" s="15">
        <v>0.1398</v>
      </c>
      <c r="BH30" s="9"/>
      <c r="BI30" s="9"/>
      <c r="BJ30" s="9"/>
      <c r="BK30" s="15">
        <v>1.0269</v>
      </c>
      <c r="BL30" s="9"/>
    </row>
    <row r="31" ht="17.25" customHeight="1">
      <c r="A31" s="38" t="s">
        <v>70</v>
      </c>
      <c r="B31" s="38" t="s">
        <v>58</v>
      </c>
      <c r="C31" s="38">
        <v>2376.0</v>
      </c>
      <c r="D31" s="12"/>
      <c r="E31" s="2"/>
      <c r="F31" s="3"/>
      <c r="G31" s="39">
        <v>56.7</v>
      </c>
      <c r="H31" s="40">
        <v>0.0</v>
      </c>
      <c r="I31" s="40">
        <v>0.0</v>
      </c>
      <c r="K31" s="31"/>
      <c r="L31" s="5"/>
      <c r="M31" s="3"/>
      <c r="N31" s="32"/>
      <c r="O31" s="32"/>
      <c r="U31" s="10"/>
      <c r="V31" s="9"/>
      <c r="W31" s="9"/>
      <c r="X31" s="9"/>
      <c r="Y31" s="9"/>
      <c r="Z31" s="9"/>
      <c r="AA31" s="9"/>
      <c r="AB31" s="9"/>
      <c r="AC31" s="9"/>
      <c r="AD31" s="15">
        <v>2.19</v>
      </c>
      <c r="AE31" s="15">
        <v>1.73</v>
      </c>
      <c r="AF31" s="9">
        <f>average(1.4,2)</f>
        <v>1.7</v>
      </c>
      <c r="AG31" s="15">
        <v>1.65</v>
      </c>
      <c r="AH31" s="9">
        <f>average(1.71,1.45)</f>
        <v>1.58</v>
      </c>
      <c r="AI31" s="15">
        <v>1.3</v>
      </c>
      <c r="AJ31" s="9"/>
      <c r="AK31" s="9">
        <f t="shared" si="2"/>
        <v>1.691666667</v>
      </c>
      <c r="AL31" s="16" t="s">
        <v>71</v>
      </c>
      <c r="AM31" s="15"/>
      <c r="AN31" s="15"/>
      <c r="AO31" s="14"/>
      <c r="AP31" s="15"/>
      <c r="AQ31" s="15"/>
      <c r="AR31" s="15"/>
      <c r="AS31" s="15"/>
      <c r="AT31" s="15"/>
      <c r="AU31" s="15"/>
      <c r="AV31" s="15">
        <v>2.231</v>
      </c>
      <c r="AW31" s="15">
        <v>0.3211</v>
      </c>
      <c r="AX31" s="15">
        <v>2.017</v>
      </c>
      <c r="AY31" s="15">
        <v>0.3991</v>
      </c>
      <c r="AZ31" s="15">
        <v>4.306</v>
      </c>
      <c r="BA31" s="15">
        <v>0.3223</v>
      </c>
      <c r="BB31" s="15">
        <v>2.836</v>
      </c>
      <c r="BC31" s="15">
        <v>0.5589</v>
      </c>
      <c r="BD31" s="15">
        <v>2.204</v>
      </c>
      <c r="BE31" s="15">
        <v>0.2249</v>
      </c>
      <c r="BF31" s="15"/>
      <c r="BG31" s="15"/>
      <c r="BH31" s="15"/>
      <c r="BI31" s="15"/>
      <c r="BJ31" s="15"/>
      <c r="BK31" s="15">
        <v>1.8261</v>
      </c>
      <c r="BL31" s="15"/>
    </row>
    <row r="32" ht="17.25" customHeight="1">
      <c r="A32" s="38" t="s">
        <v>70</v>
      </c>
      <c r="B32" s="38" t="s">
        <v>58</v>
      </c>
      <c r="C32" s="38">
        <v>2377.0</v>
      </c>
      <c r="D32" s="12"/>
      <c r="E32" s="2"/>
      <c r="F32" s="3"/>
      <c r="G32" s="39">
        <v>66.6</v>
      </c>
      <c r="H32" s="40">
        <v>0.0</v>
      </c>
      <c r="I32" s="40">
        <v>0.0</v>
      </c>
      <c r="K32" s="31"/>
      <c r="L32" s="5"/>
      <c r="M32" s="3"/>
      <c r="N32" s="32"/>
      <c r="O32" s="32"/>
      <c r="U32" s="10"/>
      <c r="V32" s="9"/>
      <c r="W32" s="9"/>
      <c r="X32" s="9"/>
      <c r="Y32" s="9"/>
      <c r="Z32" s="9"/>
      <c r="AA32" s="9"/>
      <c r="AB32" s="9"/>
      <c r="AC32" s="9"/>
      <c r="AD32" s="15">
        <v>2.18</v>
      </c>
      <c r="AE32" s="15">
        <v>2.71</v>
      </c>
      <c r="AF32" s="15">
        <v>1.7</v>
      </c>
      <c r="AG32" s="15">
        <v>1.64</v>
      </c>
      <c r="AH32" s="15">
        <v>2.51</v>
      </c>
      <c r="AI32" s="15">
        <v>2.1</v>
      </c>
      <c r="AJ32" s="9"/>
      <c r="AK32" s="9">
        <f t="shared" si="2"/>
        <v>2.14</v>
      </c>
      <c r="AL32" s="16" t="s">
        <v>72</v>
      </c>
      <c r="AM32" s="15"/>
      <c r="AN32" s="15"/>
      <c r="AO32" s="14">
        <v>0.353</v>
      </c>
      <c r="AP32" s="15">
        <v>0.38</v>
      </c>
      <c r="AQ32" s="15"/>
      <c r="AR32" s="15"/>
      <c r="AS32" s="15"/>
      <c r="AT32" s="15"/>
      <c r="AU32" s="15"/>
      <c r="AV32" s="15">
        <v>1.4</v>
      </c>
      <c r="AW32" s="15">
        <v>0.3175</v>
      </c>
      <c r="AX32" s="15">
        <v>1.45</v>
      </c>
      <c r="AY32" s="15">
        <v>0.5388</v>
      </c>
      <c r="AZ32" s="15">
        <v>3.0</v>
      </c>
      <c r="BA32" s="15">
        <v>0.2172</v>
      </c>
      <c r="BB32" s="15">
        <v>3.15</v>
      </c>
      <c r="BC32" s="15">
        <v>0.2361</v>
      </c>
      <c r="BD32" s="15">
        <v>1.55</v>
      </c>
      <c r="BE32" s="15">
        <v>0.2614</v>
      </c>
      <c r="BF32" s="15">
        <v>2.75</v>
      </c>
      <c r="BG32" s="15">
        <v>0.2106</v>
      </c>
      <c r="BH32" s="15"/>
      <c r="BI32" s="15"/>
      <c r="BJ32" s="15"/>
      <c r="BK32" s="15">
        <v>0.3702</v>
      </c>
      <c r="BL32" s="15" t="s">
        <v>73</v>
      </c>
    </row>
    <row r="33" ht="17.25" customHeight="1">
      <c r="A33" s="38" t="s">
        <v>70</v>
      </c>
      <c r="B33" s="38" t="s">
        <v>64</v>
      </c>
      <c r="C33" s="38">
        <v>2378.0</v>
      </c>
      <c r="D33" s="12"/>
      <c r="E33" s="2"/>
      <c r="F33" s="3"/>
      <c r="G33" s="39">
        <v>23.7</v>
      </c>
      <c r="H33" s="40">
        <v>21.6</v>
      </c>
      <c r="I33" s="40">
        <v>21.5</v>
      </c>
      <c r="K33" s="31"/>
      <c r="L33" s="5"/>
      <c r="M33" s="3"/>
      <c r="N33" s="32"/>
      <c r="O33" s="32"/>
      <c r="U33" s="14">
        <v>0.0</v>
      </c>
      <c r="V33" s="15">
        <v>6.0</v>
      </c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 t="str">
        <f t="shared" si="2"/>
        <v>#DIV/0!</v>
      </c>
      <c r="AL33" s="16" t="s">
        <v>72</v>
      </c>
      <c r="AM33" s="15"/>
      <c r="AN33" s="15"/>
      <c r="AO33" s="14"/>
      <c r="AP33" s="15"/>
      <c r="AQ33" s="15"/>
      <c r="AR33" s="15"/>
      <c r="AS33" s="15"/>
      <c r="AT33" s="15"/>
      <c r="AU33" s="15"/>
      <c r="AV33" s="15">
        <v>1.85</v>
      </c>
      <c r="AW33" s="15">
        <v>0.1533</v>
      </c>
      <c r="AX33" s="15">
        <v>2.0</v>
      </c>
      <c r="AY33" s="15">
        <v>0.1785</v>
      </c>
      <c r="AZ33" s="15">
        <v>1.8</v>
      </c>
      <c r="BA33" s="15">
        <v>0.1671</v>
      </c>
      <c r="BB33" s="15">
        <v>1.5</v>
      </c>
      <c r="BC33" s="15">
        <v>0.169</v>
      </c>
      <c r="BD33" s="15"/>
      <c r="BE33" s="15"/>
      <c r="BF33" s="15"/>
      <c r="BG33" s="15"/>
      <c r="BH33" s="15"/>
      <c r="BI33" s="15"/>
      <c r="BJ33" s="15"/>
      <c r="BK33" s="15">
        <v>0.8256</v>
      </c>
      <c r="BL33" s="15"/>
    </row>
    <row r="34" ht="17.25" customHeight="1">
      <c r="A34" s="38" t="s">
        <v>70</v>
      </c>
      <c r="B34" s="38" t="s">
        <v>64</v>
      </c>
      <c r="C34" s="38">
        <v>2379.0</v>
      </c>
      <c r="D34" s="12"/>
      <c r="E34" s="2"/>
      <c r="F34" s="3"/>
      <c r="G34" s="39">
        <v>33.5</v>
      </c>
      <c r="H34" s="40">
        <v>27.3</v>
      </c>
      <c r="I34" s="40">
        <v>18.9</v>
      </c>
      <c r="K34" s="31"/>
      <c r="L34" s="5"/>
      <c r="M34" s="3"/>
      <c r="N34" s="32"/>
      <c r="O34" s="32"/>
      <c r="U34" s="14">
        <v>0.0</v>
      </c>
      <c r="V34" s="15">
        <v>7.0</v>
      </c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 t="str">
        <f t="shared" si="2"/>
        <v>#DIV/0!</v>
      </c>
      <c r="AL34" s="16" t="s">
        <v>72</v>
      </c>
      <c r="AM34" s="15"/>
      <c r="AN34" s="15"/>
      <c r="AO34" s="14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</row>
    <row r="35" ht="17.25" customHeight="1">
      <c r="A35" s="38" t="s">
        <v>70</v>
      </c>
      <c r="B35" s="38" t="s">
        <v>58</v>
      </c>
      <c r="C35" s="38">
        <v>2380.0</v>
      </c>
      <c r="D35" s="12"/>
      <c r="E35" s="2"/>
      <c r="F35" s="3"/>
      <c r="G35" s="39">
        <v>65.4</v>
      </c>
      <c r="H35" s="40">
        <v>50.0</v>
      </c>
      <c r="I35" s="40">
        <v>0.0</v>
      </c>
      <c r="K35" s="31"/>
      <c r="L35" s="5"/>
      <c r="M35" s="3"/>
      <c r="N35" s="32"/>
      <c r="O35" s="32"/>
      <c r="U35" s="10"/>
      <c r="V35" s="9"/>
      <c r="W35" s="9"/>
      <c r="X35" s="9"/>
      <c r="Y35" s="9"/>
      <c r="Z35" s="9"/>
      <c r="AA35" s="9"/>
      <c r="AB35" s="9"/>
      <c r="AC35" s="9"/>
      <c r="AD35" s="15">
        <v>1.66</v>
      </c>
      <c r="AE35" s="15">
        <v>1.65</v>
      </c>
      <c r="AF35" s="15">
        <v>1.88</v>
      </c>
      <c r="AG35" s="15">
        <v>2.27</v>
      </c>
      <c r="AH35" s="9"/>
      <c r="AI35" s="9"/>
      <c r="AJ35" s="9"/>
      <c r="AK35" s="9">
        <f t="shared" si="2"/>
        <v>1.865</v>
      </c>
      <c r="AL35" s="11"/>
      <c r="AM35" s="9"/>
      <c r="AN35" s="9"/>
      <c r="AO35" s="14">
        <v>0.549</v>
      </c>
      <c r="AP35" s="15">
        <v>0.549</v>
      </c>
      <c r="AQ35" s="15">
        <v>0.49</v>
      </c>
      <c r="AR35" s="15">
        <v>1.031</v>
      </c>
      <c r="AS35" s="15">
        <v>1.07</v>
      </c>
      <c r="AT35" s="9"/>
      <c r="AU35" s="9"/>
      <c r="AV35" s="15">
        <v>2.37</v>
      </c>
      <c r="AW35" s="15">
        <v>0.216</v>
      </c>
      <c r="AX35" s="15">
        <v>2.94</v>
      </c>
      <c r="AY35" s="15">
        <v>0.3065</v>
      </c>
      <c r="AZ35" s="15">
        <v>2.87</v>
      </c>
      <c r="BA35" s="15">
        <v>0.1413</v>
      </c>
      <c r="BB35" s="15">
        <v>3.139</v>
      </c>
      <c r="BC35" s="15">
        <v>0.2116</v>
      </c>
      <c r="BD35" s="9"/>
      <c r="BE35" s="9"/>
      <c r="BF35" s="9"/>
      <c r="BG35" s="9"/>
      <c r="BH35" s="9"/>
      <c r="BI35" s="9"/>
      <c r="BJ35" s="9"/>
      <c r="BK35" s="15">
        <v>1.2255</v>
      </c>
      <c r="BL35" s="9"/>
    </row>
    <row r="36" ht="17.25" customHeight="1">
      <c r="A36" s="12" t="s">
        <v>74</v>
      </c>
      <c r="B36" s="12" t="s">
        <v>64</v>
      </c>
      <c r="C36" s="12">
        <v>2337.0</v>
      </c>
      <c r="D36" s="12" t="s">
        <v>62</v>
      </c>
      <c r="E36" s="2">
        <v>10.0</v>
      </c>
      <c r="F36" s="3">
        <f t="shared" ref="F36:F52" si="3">E36/3.281</f>
        <v>3.047851265</v>
      </c>
      <c r="G36" s="4">
        <v>26.3</v>
      </c>
      <c r="H36" s="31">
        <v>0.0</v>
      </c>
      <c r="I36" s="31">
        <v>0.0</v>
      </c>
      <c r="K36" s="31">
        <v>1418.63</v>
      </c>
      <c r="L36" s="5" t="s">
        <v>60</v>
      </c>
      <c r="M36" s="3">
        <v>13.134</v>
      </c>
      <c r="N36" s="32">
        <v>0.5</v>
      </c>
      <c r="O36" s="32">
        <v>0.5</v>
      </c>
      <c r="T36" s="33" t="s">
        <v>75</v>
      </c>
      <c r="U36" s="10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 t="str">
        <f t="shared" si="2"/>
        <v>#DIV/0!</v>
      </c>
      <c r="AL36" s="11"/>
      <c r="AM36" s="9"/>
      <c r="AN36" s="9"/>
      <c r="AO36" s="10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</row>
    <row r="37" ht="17.25" customHeight="1">
      <c r="A37" s="12" t="s">
        <v>74</v>
      </c>
      <c r="B37" s="12" t="s">
        <v>64</v>
      </c>
      <c r="C37" s="12">
        <v>2338.0</v>
      </c>
      <c r="D37" s="12" t="s">
        <v>59</v>
      </c>
      <c r="E37" s="2">
        <v>11.3</v>
      </c>
      <c r="F37" s="3">
        <f t="shared" si="3"/>
        <v>3.444071929</v>
      </c>
      <c r="G37" s="4">
        <v>34.6</v>
      </c>
      <c r="H37" s="31">
        <v>0.0</v>
      </c>
      <c r="I37" s="31">
        <v>0.0</v>
      </c>
      <c r="K37" s="31">
        <v>1352.65</v>
      </c>
      <c r="L37" s="5" t="s">
        <v>60</v>
      </c>
      <c r="M37" s="3">
        <v>12.905</v>
      </c>
      <c r="N37" s="32">
        <v>0.6</v>
      </c>
      <c r="O37" s="32">
        <v>0.3</v>
      </c>
      <c r="T37" s="33" t="s">
        <v>75</v>
      </c>
      <c r="U37" s="10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 t="str">
        <f t="shared" si="2"/>
        <v>#DIV/0!</v>
      </c>
      <c r="AL37" s="11"/>
      <c r="AM37" s="9"/>
      <c r="AN37" s="9"/>
      <c r="AO37" s="10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</row>
    <row r="38" ht="17.25" customHeight="1">
      <c r="A38" s="12" t="s">
        <v>74</v>
      </c>
      <c r="B38" s="12" t="s">
        <v>64</v>
      </c>
      <c r="C38" s="12">
        <v>2339.0</v>
      </c>
      <c r="D38" s="12" t="s">
        <v>62</v>
      </c>
      <c r="E38" s="2">
        <v>15.5</v>
      </c>
      <c r="F38" s="3">
        <f t="shared" si="3"/>
        <v>4.724169461</v>
      </c>
      <c r="G38" s="4">
        <v>24.7</v>
      </c>
      <c r="H38" s="31">
        <v>0.0</v>
      </c>
      <c r="I38" s="31">
        <v>0.0</v>
      </c>
      <c r="K38" s="31">
        <v>3297.92</v>
      </c>
      <c r="L38" s="5" t="s">
        <v>60</v>
      </c>
      <c r="M38" s="3">
        <v>17.919</v>
      </c>
      <c r="N38" s="32">
        <v>0.3</v>
      </c>
      <c r="O38" s="32">
        <v>0.4</v>
      </c>
      <c r="Q38" s="33">
        <v>3.1</v>
      </c>
      <c r="R38" s="33">
        <v>3.15</v>
      </c>
      <c r="T38" s="33" t="s">
        <v>75</v>
      </c>
      <c r="U38" s="10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 t="str">
        <f t="shared" si="2"/>
        <v>#DIV/0!</v>
      </c>
      <c r="AL38" s="11"/>
      <c r="AM38" s="9"/>
      <c r="AN38" s="9"/>
      <c r="AO38" s="10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</row>
    <row r="39" ht="17.25" customHeight="1">
      <c r="A39" s="12" t="s">
        <v>74</v>
      </c>
      <c r="B39" s="12" t="s">
        <v>64</v>
      </c>
      <c r="C39" s="12">
        <v>2340.0</v>
      </c>
      <c r="D39" s="12" t="s">
        <v>62</v>
      </c>
      <c r="E39" s="2">
        <v>18.0</v>
      </c>
      <c r="F39" s="3">
        <f t="shared" si="3"/>
        <v>5.486132277</v>
      </c>
      <c r="G39" s="4">
        <v>32.3</v>
      </c>
      <c r="H39" s="31">
        <v>0.0</v>
      </c>
      <c r="I39" s="31">
        <v>0.0</v>
      </c>
      <c r="K39" s="31">
        <v>411.87</v>
      </c>
      <c r="L39" s="5" t="s">
        <v>60</v>
      </c>
      <c r="M39" s="3">
        <v>10.32</v>
      </c>
      <c r="N39" s="32">
        <v>0.7</v>
      </c>
      <c r="O39" s="32">
        <v>0.3</v>
      </c>
      <c r="P39" s="12"/>
      <c r="T39" s="33" t="s">
        <v>75</v>
      </c>
      <c r="U39" s="10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 t="str">
        <f t="shared" si="2"/>
        <v>#DIV/0!</v>
      </c>
      <c r="AL39" s="11"/>
      <c r="AM39" s="9"/>
      <c r="AN39" s="9"/>
      <c r="AO39" s="10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</row>
    <row r="40" ht="17.25" customHeight="1">
      <c r="A40" s="12" t="s">
        <v>74</v>
      </c>
      <c r="B40" s="12" t="s">
        <v>64</v>
      </c>
      <c r="C40" s="12">
        <v>2341.0</v>
      </c>
      <c r="D40" s="12" t="s">
        <v>59</v>
      </c>
      <c r="E40" s="2">
        <v>19.0</v>
      </c>
      <c r="F40" s="3">
        <f t="shared" si="3"/>
        <v>5.790917403</v>
      </c>
      <c r="G40" s="4">
        <v>41.8</v>
      </c>
      <c r="H40" s="31">
        <v>0.0</v>
      </c>
      <c r="I40" s="31">
        <v>0.0</v>
      </c>
      <c r="K40" s="31">
        <v>940.25</v>
      </c>
      <c r="L40" s="5" t="s">
        <v>60</v>
      </c>
      <c r="M40" s="3">
        <v>13.324</v>
      </c>
      <c r="N40" s="32">
        <v>0.5</v>
      </c>
      <c r="O40" s="32">
        <v>0.4</v>
      </c>
      <c r="T40" s="33" t="s">
        <v>75</v>
      </c>
      <c r="U40" s="10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 t="str">
        <f t="shared" si="2"/>
        <v>#DIV/0!</v>
      </c>
      <c r="AL40" s="11"/>
      <c r="AM40" s="9"/>
      <c r="AN40" s="9"/>
      <c r="AO40" s="10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</row>
    <row r="41" ht="17.25" customHeight="1">
      <c r="A41" s="12" t="s">
        <v>74</v>
      </c>
      <c r="B41" s="12" t="s">
        <v>64</v>
      </c>
      <c r="C41" s="12">
        <v>2342.0</v>
      </c>
      <c r="D41" s="12" t="s">
        <v>62</v>
      </c>
      <c r="E41" s="2">
        <v>24.5</v>
      </c>
      <c r="F41" s="3">
        <f t="shared" si="3"/>
        <v>7.467235599</v>
      </c>
      <c r="G41" s="4">
        <v>22.9</v>
      </c>
      <c r="H41" s="31">
        <v>28.6</v>
      </c>
      <c r="I41" s="31">
        <v>0.0</v>
      </c>
      <c r="K41" s="31">
        <v>1189.82</v>
      </c>
      <c r="L41" s="5">
        <v>50.5</v>
      </c>
      <c r="M41" s="3">
        <v>10.56</v>
      </c>
      <c r="N41" s="32">
        <v>0.5</v>
      </c>
      <c r="O41" s="32">
        <v>0.5</v>
      </c>
      <c r="P41" s="12" t="s">
        <v>76</v>
      </c>
      <c r="T41" s="33" t="s">
        <v>75</v>
      </c>
      <c r="U41" s="10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 t="str">
        <f t="shared" si="2"/>
        <v>#DIV/0!</v>
      </c>
      <c r="AL41" s="11"/>
      <c r="AM41" s="9"/>
      <c r="AN41" s="9"/>
      <c r="AO41" s="10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</row>
    <row r="42" ht="17.25" customHeight="1">
      <c r="A42" s="12" t="s">
        <v>74</v>
      </c>
      <c r="B42" s="12" t="s">
        <v>64</v>
      </c>
      <c r="C42" s="12">
        <v>2343.0</v>
      </c>
      <c r="D42" s="12" t="s">
        <v>59</v>
      </c>
      <c r="E42" s="2">
        <v>64.0</v>
      </c>
      <c r="F42" s="3">
        <f t="shared" si="3"/>
        <v>19.5062481</v>
      </c>
      <c r="G42" s="4">
        <v>65.7</v>
      </c>
      <c r="H42" s="31">
        <v>19.0</v>
      </c>
      <c r="I42" s="31">
        <v>0.0</v>
      </c>
      <c r="K42" s="31">
        <v>985.68</v>
      </c>
      <c r="L42" s="5">
        <v>39.8</v>
      </c>
      <c r="M42" s="3">
        <v>13.11</v>
      </c>
      <c r="N42" s="32">
        <v>0.5</v>
      </c>
      <c r="O42" s="32">
        <v>0.6</v>
      </c>
      <c r="Q42" s="33">
        <v>3.16</v>
      </c>
      <c r="R42" s="33">
        <v>3.2</v>
      </c>
      <c r="T42" s="33" t="s">
        <v>75</v>
      </c>
      <c r="U42" s="14">
        <v>1.0</v>
      </c>
      <c r="V42" s="15">
        <v>2.0</v>
      </c>
      <c r="W42" s="15">
        <v>1.2</v>
      </c>
      <c r="X42" s="15">
        <v>1.1</v>
      </c>
      <c r="Y42" s="15">
        <v>1.1</v>
      </c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 t="str">
        <f t="shared" si="2"/>
        <v>#DIV/0!</v>
      </c>
      <c r="AL42" s="16" t="s">
        <v>77</v>
      </c>
      <c r="AM42" s="15"/>
      <c r="AN42" s="15"/>
      <c r="AO42" s="14">
        <v>1.16</v>
      </c>
      <c r="AP42" s="15">
        <v>1.33</v>
      </c>
      <c r="AQ42" s="15">
        <v>1.228</v>
      </c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</row>
    <row r="43" ht="17.25" customHeight="1">
      <c r="A43" s="41" t="s">
        <v>74</v>
      </c>
      <c r="B43" s="41" t="s">
        <v>64</v>
      </c>
      <c r="C43" s="41" t="s">
        <v>78</v>
      </c>
      <c r="D43" s="41" t="s">
        <v>59</v>
      </c>
      <c r="E43" s="42">
        <v>65.0</v>
      </c>
      <c r="F43" s="43">
        <f t="shared" si="3"/>
        <v>19.81103322</v>
      </c>
      <c r="G43" s="44">
        <v>64.8</v>
      </c>
      <c r="H43" s="45">
        <v>0.0</v>
      </c>
      <c r="I43" s="45">
        <v>0.0</v>
      </c>
      <c r="K43" s="45">
        <v>876.16</v>
      </c>
      <c r="L43" s="46">
        <v>34.6</v>
      </c>
      <c r="M43" s="43">
        <v>9.82</v>
      </c>
      <c r="N43" s="47">
        <v>0.3</v>
      </c>
      <c r="O43" s="47">
        <v>0.2</v>
      </c>
      <c r="P43" s="48" t="s">
        <v>79</v>
      </c>
      <c r="Q43" s="48"/>
      <c r="R43" s="48"/>
      <c r="S43" s="48"/>
      <c r="T43" s="48" t="s">
        <v>75</v>
      </c>
      <c r="U43" s="10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 t="str">
        <f t="shared" si="2"/>
        <v>#DIV/0!</v>
      </c>
      <c r="AL43" s="11"/>
      <c r="AM43" s="9"/>
      <c r="AN43" s="9"/>
      <c r="AO43" s="10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</row>
    <row r="44" ht="17.25" customHeight="1">
      <c r="A44" s="12" t="s">
        <v>74</v>
      </c>
      <c r="B44" s="12" t="s">
        <v>64</v>
      </c>
      <c r="C44" s="12">
        <v>2344.0</v>
      </c>
      <c r="D44" s="12" t="s">
        <v>59</v>
      </c>
      <c r="E44" s="2">
        <v>76.0</v>
      </c>
      <c r="F44" s="3">
        <f t="shared" si="3"/>
        <v>23.16366961</v>
      </c>
      <c r="G44" s="4">
        <v>52.5</v>
      </c>
      <c r="H44" s="31">
        <v>0.0</v>
      </c>
      <c r="I44" s="31">
        <v>0.0</v>
      </c>
      <c r="K44" s="31">
        <v>467.59</v>
      </c>
      <c r="L44" s="5">
        <v>27.5</v>
      </c>
      <c r="M44" s="3">
        <v>8.54</v>
      </c>
      <c r="N44" s="32">
        <v>0.4</v>
      </c>
      <c r="O44" s="32">
        <v>0.5</v>
      </c>
      <c r="T44" s="33" t="s">
        <v>75</v>
      </c>
      <c r="U44" s="10"/>
      <c r="V44" s="9"/>
      <c r="W44" s="15">
        <v>1.47</v>
      </c>
      <c r="X44" s="15">
        <v>1.65</v>
      </c>
      <c r="Y44" s="15">
        <v>1.47</v>
      </c>
      <c r="Z44" s="15">
        <v>1.14</v>
      </c>
      <c r="AA44" s="15">
        <v>1.34</v>
      </c>
      <c r="AB44" s="9"/>
      <c r="AC44" s="9"/>
      <c r="AD44" s="9"/>
      <c r="AE44" s="9"/>
      <c r="AF44" s="9"/>
      <c r="AG44" s="9"/>
      <c r="AH44" s="9"/>
      <c r="AI44" s="9"/>
      <c r="AJ44" s="9"/>
      <c r="AK44" s="9" t="str">
        <f t="shared" si="2"/>
        <v>#DIV/0!</v>
      </c>
      <c r="AL44" s="11"/>
      <c r="AM44" s="9"/>
      <c r="AN44" s="9"/>
      <c r="AO44" s="10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</row>
    <row r="45" ht="17.25" customHeight="1">
      <c r="A45" s="41" t="s">
        <v>74</v>
      </c>
      <c r="B45" s="41" t="s">
        <v>58</v>
      </c>
      <c r="C45" s="41" t="s">
        <v>78</v>
      </c>
      <c r="D45" s="41" t="s">
        <v>59</v>
      </c>
      <c r="E45" s="42">
        <v>78.0</v>
      </c>
      <c r="F45" s="43">
        <f t="shared" si="3"/>
        <v>23.77323987</v>
      </c>
      <c r="G45" s="44">
        <v>31.4</v>
      </c>
      <c r="H45" s="45">
        <v>0.0</v>
      </c>
      <c r="I45" s="45">
        <v>0.0</v>
      </c>
      <c r="K45" s="45">
        <v>2164.75</v>
      </c>
      <c r="L45" s="46">
        <v>55.6</v>
      </c>
      <c r="M45" s="43">
        <v>12.0</v>
      </c>
      <c r="N45" s="47">
        <v>0.7</v>
      </c>
      <c r="O45" s="47">
        <v>0.4</v>
      </c>
      <c r="P45" s="41" t="s">
        <v>80</v>
      </c>
      <c r="Q45" s="48"/>
      <c r="R45" s="48"/>
      <c r="S45" s="48"/>
      <c r="T45" s="48" t="s">
        <v>75</v>
      </c>
      <c r="U45" s="10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 t="str">
        <f t="shared" si="2"/>
        <v>#DIV/0!</v>
      </c>
      <c r="AL45" s="11"/>
      <c r="AM45" s="9"/>
      <c r="AN45" s="9"/>
      <c r="AO45" s="10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</row>
    <row r="46" ht="17.25" customHeight="1">
      <c r="A46" s="12" t="s">
        <v>74</v>
      </c>
      <c r="B46" s="12" t="s">
        <v>58</v>
      </c>
      <c r="C46" s="34">
        <v>2345.0</v>
      </c>
      <c r="D46" s="12" t="s">
        <v>62</v>
      </c>
      <c r="E46" s="2">
        <v>85.0</v>
      </c>
      <c r="F46" s="3">
        <f t="shared" si="3"/>
        <v>25.90673575</v>
      </c>
      <c r="G46" s="4">
        <v>57.6</v>
      </c>
      <c r="H46" s="31">
        <v>58.0</v>
      </c>
      <c r="I46" s="31">
        <v>0.0</v>
      </c>
      <c r="K46" s="31">
        <v>3390.16</v>
      </c>
      <c r="L46" s="5">
        <v>70.7</v>
      </c>
      <c r="M46" s="3">
        <v>18.24</v>
      </c>
      <c r="N46" s="32">
        <v>0.2</v>
      </c>
      <c r="O46" s="32">
        <v>0.2</v>
      </c>
      <c r="P46" s="9" t="s">
        <v>81</v>
      </c>
      <c r="T46" s="33" t="s">
        <v>75</v>
      </c>
      <c r="U46" s="10"/>
      <c r="V46" s="9"/>
      <c r="W46" s="15">
        <v>0.564</v>
      </c>
      <c r="X46" s="15">
        <v>0.62</v>
      </c>
      <c r="Y46" s="15">
        <v>0.45</v>
      </c>
      <c r="Z46" s="15">
        <v>0.5</v>
      </c>
      <c r="AA46" s="15"/>
      <c r="AB46" s="15"/>
      <c r="AC46" s="9"/>
      <c r="AD46" s="15">
        <v>1.88</v>
      </c>
      <c r="AE46" s="15">
        <v>1.83</v>
      </c>
      <c r="AF46" s="15">
        <v>1.04</v>
      </c>
      <c r="AG46" s="15">
        <v>1.77</v>
      </c>
      <c r="AH46" s="9"/>
      <c r="AI46" s="9"/>
      <c r="AJ46" s="9"/>
      <c r="AK46" s="9">
        <f t="shared" si="2"/>
        <v>1.63</v>
      </c>
      <c r="AL46" s="11"/>
      <c r="AM46" s="9"/>
      <c r="AN46" s="9"/>
      <c r="AO46" s="14">
        <v>0.255</v>
      </c>
      <c r="AP46" s="15">
        <v>0.407</v>
      </c>
      <c r="AQ46" s="15">
        <v>0.243</v>
      </c>
      <c r="AR46" s="9"/>
      <c r="AS46" s="9"/>
      <c r="AT46" s="9"/>
      <c r="AU46" s="9"/>
      <c r="AV46" s="15">
        <v>1.053</v>
      </c>
      <c r="AW46" s="15">
        <v>0.27493</v>
      </c>
      <c r="AX46" s="15">
        <v>1.618</v>
      </c>
      <c r="AY46" s="15">
        <v>0.2851</v>
      </c>
      <c r="AZ46" s="15">
        <v>1.4</v>
      </c>
      <c r="BA46" s="15">
        <v>0.3105</v>
      </c>
      <c r="BB46" s="15">
        <v>1.02</v>
      </c>
      <c r="BC46" s="15">
        <v>0.2338</v>
      </c>
      <c r="BD46" s="15">
        <v>1.493</v>
      </c>
      <c r="BE46" s="15">
        <v>0.1984</v>
      </c>
      <c r="BF46" s="15">
        <v>1.53</v>
      </c>
      <c r="BG46" s="15">
        <v>0.1806</v>
      </c>
      <c r="BH46" s="9"/>
      <c r="BI46" s="9"/>
      <c r="BJ46" s="9"/>
      <c r="BK46" s="9"/>
      <c r="BL46" s="9"/>
    </row>
    <row r="47" ht="17.25" customHeight="1">
      <c r="A47" s="12" t="s">
        <v>74</v>
      </c>
      <c r="B47" s="12" t="s">
        <v>64</v>
      </c>
      <c r="C47" s="12">
        <v>2346.0</v>
      </c>
      <c r="D47" s="12" t="s">
        <v>59</v>
      </c>
      <c r="E47" s="2">
        <v>115.0</v>
      </c>
      <c r="F47" s="3">
        <f t="shared" si="3"/>
        <v>35.05028955</v>
      </c>
      <c r="G47" s="4">
        <v>24.4</v>
      </c>
      <c r="H47" s="31">
        <v>0.0</v>
      </c>
      <c r="I47" s="31">
        <v>0.0</v>
      </c>
      <c r="K47" s="31">
        <v>1372.28</v>
      </c>
      <c r="L47" s="5">
        <v>45.0</v>
      </c>
      <c r="M47" s="3">
        <v>14.56</v>
      </c>
      <c r="N47" s="32">
        <v>0.7</v>
      </c>
      <c r="O47" s="32">
        <v>0.4</v>
      </c>
      <c r="Q47" s="33">
        <v>3.8</v>
      </c>
      <c r="R47" s="33">
        <v>4.25</v>
      </c>
      <c r="S47" s="33">
        <v>3.75</v>
      </c>
      <c r="T47" s="33" t="s">
        <v>75</v>
      </c>
      <c r="U47" s="14">
        <v>3.0</v>
      </c>
      <c r="V47" s="15">
        <v>0.0</v>
      </c>
      <c r="W47" s="9">
        <f>average(0.96,1.3)</f>
        <v>1.13</v>
      </c>
      <c r="X47" s="9">
        <f>average(0.78,1.09)</f>
        <v>0.935</v>
      </c>
      <c r="Y47" s="15">
        <v>1.03</v>
      </c>
      <c r="Z47" s="15">
        <v>0.94</v>
      </c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 t="str">
        <f t="shared" si="2"/>
        <v>#DIV/0!</v>
      </c>
      <c r="AL47" s="16" t="s">
        <v>82</v>
      </c>
      <c r="AM47" s="15"/>
      <c r="AN47" s="15"/>
      <c r="AO47" s="14">
        <v>1.16</v>
      </c>
      <c r="AP47" s="15">
        <v>1.332</v>
      </c>
      <c r="AQ47" s="15">
        <v>1.18</v>
      </c>
      <c r="AR47" s="15"/>
      <c r="AS47" s="15"/>
      <c r="AT47" s="15"/>
      <c r="AU47" s="15"/>
      <c r="AV47" s="15">
        <v>2.23</v>
      </c>
      <c r="AW47" s="15">
        <v>0.0729</v>
      </c>
      <c r="AX47" s="15">
        <v>2.26</v>
      </c>
      <c r="AY47" s="15">
        <v>0.1438</v>
      </c>
      <c r="AZ47" s="15">
        <v>2.409</v>
      </c>
      <c r="BA47" s="15">
        <v>0.0781</v>
      </c>
      <c r="BB47" s="15"/>
      <c r="BC47" s="15"/>
      <c r="BD47" s="15"/>
      <c r="BE47" s="15"/>
      <c r="BF47" s="15"/>
      <c r="BG47" s="15"/>
      <c r="BH47" s="15"/>
      <c r="BI47" s="15"/>
      <c r="BJ47" s="15"/>
      <c r="BK47" s="15">
        <v>0.7244</v>
      </c>
      <c r="BL47" s="15"/>
    </row>
    <row r="48" ht="17.25" customHeight="1">
      <c r="A48" s="12" t="s">
        <v>74</v>
      </c>
      <c r="B48" s="12" t="s">
        <v>64</v>
      </c>
      <c r="C48" s="12">
        <v>2347.0</v>
      </c>
      <c r="D48" s="12" t="s">
        <v>62</v>
      </c>
      <c r="E48" s="2">
        <v>126.0</v>
      </c>
      <c r="F48" s="3">
        <f t="shared" si="3"/>
        <v>38.40292594</v>
      </c>
      <c r="G48" s="4">
        <v>33.4</v>
      </c>
      <c r="H48" s="31">
        <v>0.0</v>
      </c>
      <c r="I48" s="31">
        <v>0.0</v>
      </c>
      <c r="K48" s="31">
        <v>819.4</v>
      </c>
      <c r="L48" s="5">
        <v>31.2</v>
      </c>
      <c r="M48" s="3">
        <v>12.47</v>
      </c>
      <c r="N48" s="32">
        <v>0.8</v>
      </c>
      <c r="O48" s="32">
        <v>0.2</v>
      </c>
      <c r="Q48" s="33">
        <v>3.3</v>
      </c>
      <c r="R48" s="33">
        <v>3.2</v>
      </c>
      <c r="T48" s="33" t="s">
        <v>75</v>
      </c>
      <c r="U48" s="14">
        <v>2.0</v>
      </c>
      <c r="V48" s="15">
        <v>0.0</v>
      </c>
      <c r="W48" s="9">
        <f>average(1.12,1.8)</f>
        <v>1.46</v>
      </c>
      <c r="X48" s="9">
        <f>average(1.19,1.6)</f>
        <v>1.395</v>
      </c>
      <c r="Y48" s="15">
        <v>3.1</v>
      </c>
      <c r="Z48" s="9">
        <f>average(1.03,1.9)</f>
        <v>1.465</v>
      </c>
      <c r="AA48" s="9">
        <f>average(1.35,1.67)</f>
        <v>1.51</v>
      </c>
      <c r="AB48" s="9"/>
      <c r="AC48" s="9"/>
      <c r="AD48" s="9"/>
      <c r="AE48" s="9"/>
      <c r="AF48" s="9"/>
      <c r="AG48" s="9"/>
      <c r="AH48" s="9"/>
      <c r="AI48" s="9"/>
      <c r="AJ48" s="9"/>
      <c r="AK48" s="9" t="str">
        <f t="shared" si="2"/>
        <v>#DIV/0!</v>
      </c>
      <c r="AL48" s="16" t="s">
        <v>83</v>
      </c>
      <c r="AM48" s="15"/>
      <c r="AN48" s="15"/>
      <c r="AO48" s="14"/>
      <c r="AP48" s="15"/>
      <c r="AQ48" s="15"/>
      <c r="AR48" s="15"/>
      <c r="AS48" s="15"/>
      <c r="AT48" s="15"/>
      <c r="AU48" s="15"/>
      <c r="AV48" s="15">
        <v>3.18</v>
      </c>
      <c r="AW48" s="15">
        <v>0.2693</v>
      </c>
      <c r="AX48" s="15">
        <v>1.984</v>
      </c>
      <c r="AY48" s="15">
        <v>0.235</v>
      </c>
      <c r="AZ48" s="15">
        <v>1.941</v>
      </c>
      <c r="BA48" s="15">
        <v>0.183</v>
      </c>
      <c r="BB48" s="15">
        <v>1.922</v>
      </c>
      <c r="BC48" s="15">
        <v>0.1912</v>
      </c>
      <c r="BD48" s="15"/>
      <c r="BE48" s="15"/>
      <c r="BF48" s="15"/>
      <c r="BG48" s="15"/>
      <c r="BH48" s="15"/>
      <c r="BI48" s="15"/>
      <c r="BJ48" s="15"/>
      <c r="BK48" s="15">
        <v>0.5719</v>
      </c>
      <c r="BL48" s="15"/>
    </row>
    <row r="49" ht="17.25" customHeight="1">
      <c r="A49" s="12" t="s">
        <v>74</v>
      </c>
      <c r="B49" s="12" t="s">
        <v>64</v>
      </c>
      <c r="C49" s="12">
        <v>2348.0</v>
      </c>
      <c r="D49" s="12" t="s">
        <v>62</v>
      </c>
      <c r="E49" s="2">
        <v>130.3</v>
      </c>
      <c r="F49" s="3">
        <f t="shared" si="3"/>
        <v>39.71350198</v>
      </c>
      <c r="G49" s="4">
        <v>41.5</v>
      </c>
      <c r="H49" s="31">
        <v>0.0</v>
      </c>
      <c r="I49" s="31">
        <v>0.0</v>
      </c>
      <c r="K49" s="31">
        <v>543.25</v>
      </c>
      <c r="L49" s="5">
        <v>31.6</v>
      </c>
      <c r="M49" s="3">
        <v>11.94</v>
      </c>
      <c r="N49" s="32">
        <v>0.7</v>
      </c>
      <c r="O49" s="32">
        <v>0.2</v>
      </c>
      <c r="P49" s="9" t="s">
        <v>84</v>
      </c>
      <c r="T49" s="33" t="s">
        <v>75</v>
      </c>
      <c r="U49" s="14">
        <v>1.0</v>
      </c>
      <c r="V49" s="15">
        <v>0.0</v>
      </c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 t="str">
        <f t="shared" si="2"/>
        <v>#DIV/0!</v>
      </c>
      <c r="AL49" s="11"/>
      <c r="AM49" s="9"/>
      <c r="AN49" s="9"/>
      <c r="AO49" s="14">
        <v>1.97</v>
      </c>
      <c r="AP49" s="15">
        <v>2.36</v>
      </c>
      <c r="AQ49" s="15">
        <v>2.18</v>
      </c>
      <c r="AR49" s="15">
        <v>2.302</v>
      </c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</row>
    <row r="50" ht="17.25" customHeight="1">
      <c r="A50" s="12" t="s">
        <v>74</v>
      </c>
      <c r="B50" s="12" t="s">
        <v>64</v>
      </c>
      <c r="C50" s="12">
        <v>2349.0</v>
      </c>
      <c r="D50" s="12" t="s">
        <v>59</v>
      </c>
      <c r="E50" s="2">
        <v>142.0</v>
      </c>
      <c r="F50" s="3">
        <f t="shared" si="3"/>
        <v>43.27948796</v>
      </c>
      <c r="G50" s="4">
        <v>29.9</v>
      </c>
      <c r="H50" s="31">
        <v>16.6</v>
      </c>
      <c r="I50" s="31">
        <v>0.0</v>
      </c>
      <c r="K50" s="31">
        <v>479.16</v>
      </c>
      <c r="L50" s="5">
        <v>28.6</v>
      </c>
      <c r="M50" s="3">
        <v>11.64</v>
      </c>
      <c r="N50" s="32">
        <v>0.7</v>
      </c>
      <c r="O50" s="32">
        <v>0.2</v>
      </c>
      <c r="T50" s="33" t="s">
        <v>75</v>
      </c>
      <c r="U50" s="14">
        <v>1.0</v>
      </c>
      <c r="V50" s="15">
        <v>0.0</v>
      </c>
      <c r="W50" s="15">
        <v>1.64</v>
      </c>
      <c r="X50" s="15">
        <v>1.6</v>
      </c>
      <c r="Y50" s="15">
        <v>2.2</v>
      </c>
      <c r="Z50" s="15">
        <v>1.85</v>
      </c>
      <c r="AA50" s="15">
        <v>2.16</v>
      </c>
      <c r="AB50" s="9"/>
      <c r="AC50" s="9"/>
      <c r="AD50" s="9"/>
      <c r="AE50" s="9"/>
      <c r="AF50" s="9"/>
      <c r="AG50" s="9"/>
      <c r="AH50" s="9"/>
      <c r="AI50" s="9"/>
      <c r="AJ50" s="9"/>
      <c r="AK50" s="9" t="str">
        <f t="shared" si="2"/>
        <v>#DIV/0!</v>
      </c>
      <c r="AL50" s="16" t="s">
        <v>85</v>
      </c>
      <c r="AM50" s="15"/>
      <c r="AN50" s="15"/>
      <c r="AO50" s="14">
        <v>2.57</v>
      </c>
      <c r="AP50" s="15">
        <v>2.217</v>
      </c>
      <c r="AQ50" s="15">
        <v>2.513</v>
      </c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 t="s">
        <v>86</v>
      </c>
    </row>
    <row r="51" ht="17.25" customHeight="1">
      <c r="A51" s="12" t="s">
        <v>74</v>
      </c>
      <c r="B51" s="12" t="s">
        <v>64</v>
      </c>
      <c r="C51" s="12">
        <v>2350.0</v>
      </c>
      <c r="D51" s="12" t="s">
        <v>59</v>
      </c>
      <c r="E51" s="2">
        <v>154.1</v>
      </c>
      <c r="F51" s="3">
        <f t="shared" si="3"/>
        <v>46.96738799</v>
      </c>
      <c r="G51" s="4">
        <v>42.5</v>
      </c>
      <c r="H51" s="31">
        <v>0.0</v>
      </c>
      <c r="I51" s="31">
        <v>0.0</v>
      </c>
      <c r="K51" s="31">
        <f>((G51/2)^2)*PI()</f>
        <v>1418.625433</v>
      </c>
      <c r="L51" s="5" t="s">
        <v>60</v>
      </c>
      <c r="M51" s="49">
        <v>8.72</v>
      </c>
      <c r="N51" s="32">
        <v>0.2</v>
      </c>
      <c r="O51" s="12" t="s">
        <v>87</v>
      </c>
      <c r="P51" s="12"/>
      <c r="T51" s="33" t="s">
        <v>75</v>
      </c>
      <c r="U51" s="14">
        <v>1.0</v>
      </c>
      <c r="V51" s="15">
        <v>0.0</v>
      </c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 t="str">
        <f t="shared" si="2"/>
        <v>#DIV/0!</v>
      </c>
      <c r="AL51" s="11"/>
      <c r="AM51" s="9"/>
      <c r="AN51" s="9"/>
      <c r="AO51" s="10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</row>
    <row r="52" ht="17.25" customHeight="1">
      <c r="A52" s="12" t="s">
        <v>74</v>
      </c>
      <c r="B52" s="12" t="s">
        <v>64</v>
      </c>
      <c r="C52" s="12">
        <v>2351.0</v>
      </c>
      <c r="D52" s="12" t="s">
        <v>62</v>
      </c>
      <c r="E52" s="2">
        <v>163.0</v>
      </c>
      <c r="F52" s="3">
        <f t="shared" si="3"/>
        <v>49.67997562</v>
      </c>
      <c r="G52" s="4">
        <v>26.4</v>
      </c>
      <c r="H52" s="31">
        <v>25.5</v>
      </c>
      <c r="I52" s="31">
        <v>0.0</v>
      </c>
      <c r="K52" s="31">
        <f>(((H52/2)^2)*PI())+(((G52/2)^2)*PI())</f>
        <v>1058.09626</v>
      </c>
      <c r="L52" s="5" t="s">
        <v>60</v>
      </c>
      <c r="M52" s="3">
        <v>11.93</v>
      </c>
      <c r="N52" s="32">
        <v>0.05</v>
      </c>
      <c r="O52" s="12" t="s">
        <v>87</v>
      </c>
      <c r="P52" s="12"/>
      <c r="T52" s="33" t="s">
        <v>75</v>
      </c>
      <c r="U52" s="14">
        <v>1.0</v>
      </c>
      <c r="V52" s="15">
        <v>0.0</v>
      </c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 t="str">
        <f t="shared" si="2"/>
        <v>#DIV/0!</v>
      </c>
      <c r="AL52" s="11"/>
      <c r="AM52" s="9"/>
      <c r="AN52" s="9"/>
      <c r="AO52" s="10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</row>
    <row r="53" ht="15.75" customHeight="1">
      <c r="A53" s="38" t="s">
        <v>88</v>
      </c>
      <c r="B53" s="38" t="s">
        <v>64</v>
      </c>
      <c r="C53" s="38">
        <v>2375.0</v>
      </c>
      <c r="D53" s="12"/>
      <c r="E53" s="2"/>
      <c r="F53" s="3"/>
      <c r="G53" s="39">
        <v>45.8</v>
      </c>
      <c r="H53" s="40">
        <v>0.0</v>
      </c>
      <c r="I53" s="40">
        <v>0.0</v>
      </c>
      <c r="K53" s="31"/>
      <c r="L53" s="5"/>
      <c r="M53" s="3"/>
      <c r="N53" s="32"/>
      <c r="O53" s="32"/>
      <c r="U53" s="14">
        <v>1.0</v>
      </c>
      <c r="V53" s="15">
        <v>0.0</v>
      </c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16" t="s">
        <v>89</v>
      </c>
      <c r="AM53" s="15"/>
      <c r="AN53" s="15"/>
      <c r="AO53" s="14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</row>
    <row r="54" ht="15.75" customHeight="1">
      <c r="A54" s="12" t="s">
        <v>90</v>
      </c>
      <c r="B54" s="12" t="s">
        <v>64</v>
      </c>
      <c r="C54" s="12">
        <v>2310.0</v>
      </c>
      <c r="D54" s="12" t="s">
        <v>62</v>
      </c>
      <c r="E54" s="2">
        <f>F54*3.281</f>
        <v>7.4</v>
      </c>
      <c r="F54" s="3">
        <v>2.2554099359951234</v>
      </c>
      <c r="G54" s="4">
        <v>35.7</v>
      </c>
      <c r="H54" s="31">
        <v>0.0</v>
      </c>
      <c r="I54" s="31">
        <v>0.0</v>
      </c>
      <c r="K54" s="31">
        <v>1000.98</v>
      </c>
      <c r="L54" s="5" t="s">
        <v>60</v>
      </c>
      <c r="M54" s="3">
        <v>10.28</v>
      </c>
      <c r="N54" s="32">
        <v>0.5</v>
      </c>
      <c r="O54" s="32">
        <v>0.5</v>
      </c>
      <c r="T54" s="33" t="s">
        <v>75</v>
      </c>
      <c r="U54" s="14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 t="str">
        <f t="shared" ref="AK54:AK90" si="4">AVERAGE(AD54:AJ54)</f>
        <v>#DIV/0!</v>
      </c>
      <c r="AL54" s="11"/>
      <c r="AM54" s="9"/>
      <c r="AN54" s="9"/>
      <c r="AO54" s="10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</row>
    <row r="55" ht="17.25" customHeight="1">
      <c r="A55" s="12" t="s">
        <v>90</v>
      </c>
      <c r="B55" s="12" t="s">
        <v>64</v>
      </c>
      <c r="C55" s="12">
        <v>2311.0</v>
      </c>
      <c r="D55" s="12" t="s">
        <v>59</v>
      </c>
      <c r="E55" s="2">
        <v>8.3</v>
      </c>
      <c r="F55" s="3">
        <f t="shared" ref="F55:F59" si="5">E55/3.281</f>
        <v>2.52971655</v>
      </c>
      <c r="G55" s="4">
        <v>17.8</v>
      </c>
      <c r="H55" s="31">
        <v>0.0</v>
      </c>
      <c r="I55" s="31">
        <v>0.0</v>
      </c>
      <c r="K55" s="31">
        <v>248.85</v>
      </c>
      <c r="L55" s="5" t="s">
        <v>60</v>
      </c>
      <c r="M55" s="3">
        <v>3.568</v>
      </c>
      <c r="N55" s="32">
        <v>0.7</v>
      </c>
      <c r="O55" s="32">
        <v>0.5</v>
      </c>
      <c r="Q55" s="33">
        <v>4.3</v>
      </c>
      <c r="R55" s="33">
        <v>3.8</v>
      </c>
      <c r="S55" s="33">
        <v>4.0</v>
      </c>
      <c r="T55" s="33" t="s">
        <v>75</v>
      </c>
      <c r="U55" s="10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 t="str">
        <f t="shared" si="4"/>
        <v>#DIV/0!</v>
      </c>
      <c r="AL55" s="11"/>
      <c r="AM55" s="9"/>
      <c r="AN55" s="9"/>
      <c r="AO55" s="10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</row>
    <row r="56" ht="17.25" customHeight="1">
      <c r="A56" s="12" t="s">
        <v>90</v>
      </c>
      <c r="B56" s="12" t="s">
        <v>64</v>
      </c>
      <c r="C56" s="12">
        <v>2312.0</v>
      </c>
      <c r="D56" s="12" t="s">
        <v>59</v>
      </c>
      <c r="E56" s="2">
        <v>8.5</v>
      </c>
      <c r="F56" s="3">
        <f t="shared" si="5"/>
        <v>2.590673575</v>
      </c>
      <c r="G56" s="4">
        <v>16.5</v>
      </c>
      <c r="H56" s="31">
        <v>0.0</v>
      </c>
      <c r="I56" s="31">
        <v>0.0</v>
      </c>
      <c r="K56" s="31">
        <v>213.82</v>
      </c>
      <c r="L56" s="5" t="s">
        <v>60</v>
      </c>
      <c r="M56" s="3">
        <v>11.14</v>
      </c>
      <c r="N56" s="32">
        <v>0.8</v>
      </c>
      <c r="O56" s="32">
        <v>0.5</v>
      </c>
      <c r="T56" s="33" t="s">
        <v>75</v>
      </c>
      <c r="U56" s="10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 t="str">
        <f t="shared" si="4"/>
        <v>#DIV/0!</v>
      </c>
      <c r="AL56" s="11"/>
      <c r="AM56" s="9"/>
      <c r="AN56" s="9"/>
      <c r="AO56" s="10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</row>
    <row r="57" ht="17.25" customHeight="1">
      <c r="A57" s="12" t="s">
        <v>90</v>
      </c>
      <c r="B57" s="12" t="s">
        <v>64</v>
      </c>
      <c r="C57" s="12">
        <v>2313.0</v>
      </c>
      <c r="D57" s="12" t="s">
        <v>62</v>
      </c>
      <c r="E57" s="2">
        <v>10.9</v>
      </c>
      <c r="F57" s="3">
        <f t="shared" si="5"/>
        <v>3.322157879</v>
      </c>
      <c r="G57" s="4">
        <v>31.5</v>
      </c>
      <c r="H57" s="31">
        <v>0.0</v>
      </c>
      <c r="I57" s="31">
        <v>0.0</v>
      </c>
      <c r="K57" s="31">
        <v>779.31</v>
      </c>
      <c r="L57" s="5" t="s">
        <v>60</v>
      </c>
      <c r="M57" s="3">
        <v>10.6</v>
      </c>
      <c r="N57" s="32">
        <v>0.6</v>
      </c>
      <c r="O57" s="32">
        <v>0.4</v>
      </c>
      <c r="T57" s="33" t="s">
        <v>75</v>
      </c>
      <c r="U57" s="10"/>
      <c r="V57" s="9"/>
      <c r="W57" s="15">
        <v>1.14</v>
      </c>
      <c r="X57" s="9">
        <f>average(1.02,1.55)</f>
        <v>1.285</v>
      </c>
      <c r="Y57" s="9">
        <f>average(1.57,1.44)</f>
        <v>1.505</v>
      </c>
      <c r="Z57" s="15">
        <v>1.12</v>
      </c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 t="str">
        <f t="shared" si="4"/>
        <v>#DIV/0!</v>
      </c>
      <c r="AL57" s="11"/>
      <c r="AM57" s="9"/>
      <c r="AN57" s="9"/>
      <c r="AO57" s="10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</row>
    <row r="58" ht="17.25" customHeight="1">
      <c r="A58" s="12" t="s">
        <v>90</v>
      </c>
      <c r="B58" s="12" t="s">
        <v>64</v>
      </c>
      <c r="C58" s="12">
        <v>2314.0</v>
      </c>
      <c r="D58" s="12" t="s">
        <v>59</v>
      </c>
      <c r="E58" s="2">
        <v>11.3</v>
      </c>
      <c r="F58" s="3">
        <f t="shared" si="5"/>
        <v>3.444071929</v>
      </c>
      <c r="G58" s="4">
        <v>22.5</v>
      </c>
      <c r="H58" s="31">
        <v>0.0</v>
      </c>
      <c r="I58" s="31">
        <v>0.0</v>
      </c>
      <c r="K58" s="31">
        <v>397.61</v>
      </c>
      <c r="L58" s="5" t="s">
        <v>60</v>
      </c>
      <c r="M58" s="3">
        <v>7.638</v>
      </c>
      <c r="N58" s="32">
        <v>0.9</v>
      </c>
      <c r="O58" s="32">
        <v>0.5</v>
      </c>
      <c r="T58" s="33" t="s">
        <v>75</v>
      </c>
      <c r="U58" s="10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 t="str">
        <f t="shared" si="4"/>
        <v>#DIV/0!</v>
      </c>
      <c r="AL58" s="11"/>
      <c r="AM58" s="9"/>
      <c r="AN58" s="9"/>
      <c r="AO58" s="10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</row>
    <row r="59" ht="17.25" customHeight="1">
      <c r="A59" s="12" t="s">
        <v>90</v>
      </c>
      <c r="B59" s="12" t="s">
        <v>58</v>
      </c>
      <c r="C59" s="12">
        <v>2315.0</v>
      </c>
      <c r="D59" s="12" t="s">
        <v>59</v>
      </c>
      <c r="E59" s="2">
        <v>15.0</v>
      </c>
      <c r="F59" s="3">
        <f t="shared" si="5"/>
        <v>4.571776897</v>
      </c>
      <c r="G59" s="4">
        <v>17.5</v>
      </c>
      <c r="H59" s="31">
        <v>8.0</v>
      </c>
      <c r="I59" s="31">
        <v>0.0</v>
      </c>
      <c r="K59" s="31">
        <v>240.53</v>
      </c>
      <c r="L59" s="5" t="s">
        <v>60</v>
      </c>
      <c r="M59" s="3">
        <v>5.54</v>
      </c>
      <c r="N59" s="32">
        <v>0.2</v>
      </c>
      <c r="O59" s="32">
        <v>0.6</v>
      </c>
      <c r="Q59" s="33">
        <v>3.8</v>
      </c>
      <c r="R59" s="33">
        <v>3.6</v>
      </c>
      <c r="T59" s="33" t="s">
        <v>75</v>
      </c>
      <c r="U59" s="10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 t="str">
        <f t="shared" si="4"/>
        <v>#DIV/0!</v>
      </c>
      <c r="AL59" s="11"/>
      <c r="AM59" s="9"/>
      <c r="AN59" s="9"/>
      <c r="AO59" s="10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</row>
    <row r="60" ht="17.25" customHeight="1">
      <c r="A60" s="12" t="s">
        <v>90</v>
      </c>
      <c r="B60" s="12" t="s">
        <v>64</v>
      </c>
      <c r="C60" s="12">
        <v>2316.0</v>
      </c>
      <c r="D60" s="12" t="s">
        <v>59</v>
      </c>
      <c r="E60" s="2">
        <f>F60*3.281</f>
        <v>24.3</v>
      </c>
      <c r="F60" s="3">
        <v>7.406278573605608</v>
      </c>
      <c r="G60" s="4">
        <v>20.3</v>
      </c>
      <c r="H60" s="31">
        <v>0.0</v>
      </c>
      <c r="I60" s="31">
        <v>0.0</v>
      </c>
      <c r="K60" s="31">
        <v>323.65</v>
      </c>
      <c r="L60" s="5" t="s">
        <v>60</v>
      </c>
      <c r="M60" s="3">
        <v>4.231</v>
      </c>
      <c r="N60" s="32">
        <v>0.6</v>
      </c>
      <c r="O60" s="32">
        <v>0.6</v>
      </c>
      <c r="Q60" s="33">
        <v>3.7</v>
      </c>
      <c r="R60" s="33">
        <v>3.65</v>
      </c>
      <c r="T60" s="33" t="s">
        <v>75</v>
      </c>
      <c r="U60" s="10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 t="str">
        <f t="shared" si="4"/>
        <v>#DIV/0!</v>
      </c>
      <c r="AL60" s="11"/>
      <c r="AM60" s="9"/>
      <c r="AN60" s="9"/>
      <c r="AO60" s="10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</row>
    <row r="61" ht="17.25" customHeight="1">
      <c r="A61" s="12" t="s">
        <v>90</v>
      </c>
      <c r="B61" s="12" t="s">
        <v>64</v>
      </c>
      <c r="C61" s="12">
        <v>2317.0</v>
      </c>
      <c r="D61" s="12" t="s">
        <v>62</v>
      </c>
      <c r="E61" s="2">
        <v>28.0</v>
      </c>
      <c r="F61" s="3">
        <f t="shared" ref="F61:F64" si="6">E61/3.281</f>
        <v>8.533983542</v>
      </c>
      <c r="G61" s="4">
        <v>28.5</v>
      </c>
      <c r="H61" s="31">
        <v>0.0</v>
      </c>
      <c r="I61" s="31">
        <v>0.0</v>
      </c>
      <c r="K61" s="31">
        <v>637.94</v>
      </c>
      <c r="L61" s="5" t="s">
        <v>60</v>
      </c>
      <c r="M61" s="3">
        <v>13.208</v>
      </c>
      <c r="N61" s="32">
        <v>0.7</v>
      </c>
      <c r="O61" s="32">
        <v>0.5</v>
      </c>
      <c r="T61" s="33" t="s">
        <v>75</v>
      </c>
      <c r="U61" s="10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 t="str">
        <f t="shared" si="4"/>
        <v>#DIV/0!</v>
      </c>
      <c r="AL61" s="11"/>
      <c r="AM61" s="9"/>
      <c r="AN61" s="9"/>
      <c r="AO61" s="10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</row>
    <row r="62" ht="17.25" customHeight="1">
      <c r="A62" s="12" t="s">
        <v>90</v>
      </c>
      <c r="B62" s="12" t="s">
        <v>64</v>
      </c>
      <c r="C62" s="12">
        <v>2318.0</v>
      </c>
      <c r="D62" s="12" t="s">
        <v>59</v>
      </c>
      <c r="E62" s="2">
        <v>28.9</v>
      </c>
      <c r="F62" s="3">
        <f t="shared" si="6"/>
        <v>8.808290155</v>
      </c>
      <c r="G62" s="4">
        <v>28.8</v>
      </c>
      <c r="H62" s="31">
        <v>0.0</v>
      </c>
      <c r="I62" s="31">
        <v>0.0</v>
      </c>
      <c r="K62" s="31">
        <v>651.44</v>
      </c>
      <c r="L62" s="5" t="s">
        <v>60</v>
      </c>
      <c r="M62" s="3">
        <v>11.232</v>
      </c>
      <c r="N62" s="32">
        <v>0.6</v>
      </c>
      <c r="O62" s="32">
        <v>0.6</v>
      </c>
      <c r="T62" s="33" t="s">
        <v>75</v>
      </c>
      <c r="U62" s="10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 t="str">
        <f t="shared" si="4"/>
        <v>#DIV/0!</v>
      </c>
      <c r="AL62" s="11"/>
      <c r="AM62" s="9"/>
      <c r="AN62" s="9"/>
      <c r="AO62" s="10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</row>
    <row r="63" ht="17.25" customHeight="1">
      <c r="A63" s="12" t="s">
        <v>90</v>
      </c>
      <c r="B63" s="12" t="s">
        <v>64</v>
      </c>
      <c r="C63" s="12">
        <v>2319.0</v>
      </c>
      <c r="D63" s="12" t="s">
        <v>59</v>
      </c>
      <c r="E63" s="2">
        <v>30.6</v>
      </c>
      <c r="F63" s="3">
        <f t="shared" si="6"/>
        <v>9.32642487</v>
      </c>
      <c r="G63" s="4">
        <v>14.1</v>
      </c>
      <c r="H63" s="31">
        <v>0.0</v>
      </c>
      <c r="I63" s="31">
        <v>0.0</v>
      </c>
      <c r="K63" s="31">
        <v>156.15</v>
      </c>
      <c r="L63" s="5" t="s">
        <v>60</v>
      </c>
      <c r="M63" s="3">
        <v>7.986</v>
      </c>
      <c r="N63" s="32">
        <v>0.7</v>
      </c>
      <c r="O63" s="32">
        <v>0.5</v>
      </c>
      <c r="T63" s="33" t="s">
        <v>75</v>
      </c>
      <c r="U63" s="10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 t="str">
        <f t="shared" si="4"/>
        <v>#DIV/0!</v>
      </c>
      <c r="AL63" s="11"/>
      <c r="AM63" s="9"/>
      <c r="AN63" s="9"/>
      <c r="AO63" s="10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</row>
    <row r="64" ht="17.25" customHeight="1">
      <c r="A64" s="12" t="s">
        <v>90</v>
      </c>
      <c r="B64" s="12" t="s">
        <v>58</v>
      </c>
      <c r="C64" s="12">
        <v>2320.0</v>
      </c>
      <c r="D64" s="12" t="s">
        <v>59</v>
      </c>
      <c r="E64" s="2">
        <v>37.2</v>
      </c>
      <c r="F64" s="3">
        <f t="shared" si="6"/>
        <v>11.33800671</v>
      </c>
      <c r="G64" s="4">
        <v>28.0</v>
      </c>
      <c r="H64" s="31">
        <v>0.0</v>
      </c>
      <c r="I64" s="31">
        <v>0.0</v>
      </c>
      <c r="K64" s="31">
        <v>615.75</v>
      </c>
      <c r="L64" s="5" t="s">
        <v>60</v>
      </c>
      <c r="M64" s="3">
        <v>10.826</v>
      </c>
      <c r="N64" s="32">
        <v>0.1</v>
      </c>
      <c r="O64" s="32">
        <v>0.1</v>
      </c>
      <c r="Q64" s="33">
        <v>1.8</v>
      </c>
      <c r="R64" s="33">
        <v>1.65</v>
      </c>
      <c r="S64" s="33">
        <v>1.7</v>
      </c>
      <c r="T64" s="33" t="s">
        <v>75</v>
      </c>
      <c r="U64" s="10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 t="str">
        <f t="shared" si="4"/>
        <v>#DIV/0!</v>
      </c>
      <c r="AL64" s="11"/>
      <c r="AM64" s="9"/>
      <c r="AN64" s="9"/>
      <c r="AO64" s="10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</row>
    <row r="65" ht="17.25" customHeight="1">
      <c r="A65" s="12" t="s">
        <v>90</v>
      </c>
      <c r="B65" s="12" t="s">
        <v>64</v>
      </c>
      <c r="C65" s="12">
        <v>2321.0</v>
      </c>
      <c r="D65" s="12" t="s">
        <v>62</v>
      </c>
      <c r="E65" s="2">
        <f>F65*3.281</f>
        <v>45.1</v>
      </c>
      <c r="F65" s="3">
        <v>13.74580920451082</v>
      </c>
      <c r="G65" s="4">
        <v>19.65</v>
      </c>
      <c r="H65" s="31">
        <v>0.0</v>
      </c>
      <c r="I65" s="31">
        <v>0.0</v>
      </c>
      <c r="K65" s="31">
        <v>303.26</v>
      </c>
      <c r="L65" s="5" t="s">
        <v>60</v>
      </c>
      <c r="M65" s="3">
        <v>5.87</v>
      </c>
      <c r="N65" s="32">
        <v>0.6</v>
      </c>
      <c r="O65" s="32">
        <v>0.5</v>
      </c>
      <c r="Q65" s="33">
        <v>3.6</v>
      </c>
      <c r="R65" s="33">
        <v>3.45</v>
      </c>
      <c r="T65" s="33" t="s">
        <v>75</v>
      </c>
      <c r="U65" s="10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 t="str">
        <f t="shared" si="4"/>
        <v>#DIV/0!</v>
      </c>
      <c r="AL65" s="11"/>
      <c r="AM65" s="9"/>
      <c r="AN65" s="9"/>
      <c r="AO65" s="10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</row>
    <row r="66" ht="17.25" customHeight="1">
      <c r="A66" s="12" t="s">
        <v>90</v>
      </c>
      <c r="B66" s="12" t="s">
        <v>58</v>
      </c>
      <c r="C66" s="12">
        <v>2322.0</v>
      </c>
      <c r="D66" s="12" t="s">
        <v>59</v>
      </c>
      <c r="E66" s="2">
        <v>48.8</v>
      </c>
      <c r="F66" s="3">
        <f t="shared" ref="F66:F71" si="7">E66/3.281</f>
        <v>14.87351417</v>
      </c>
      <c r="G66" s="4">
        <v>25.5</v>
      </c>
      <c r="H66" s="31">
        <v>30.3</v>
      </c>
      <c r="I66" s="31">
        <v>0.0</v>
      </c>
      <c r="K66" s="31">
        <v>1231.77</v>
      </c>
      <c r="L66" s="5" t="s">
        <v>60</v>
      </c>
      <c r="M66" s="3">
        <v>8.614</v>
      </c>
      <c r="N66" s="32">
        <v>0.05</v>
      </c>
      <c r="O66" s="32">
        <v>0.05</v>
      </c>
      <c r="T66" s="33" t="s">
        <v>75</v>
      </c>
      <c r="U66" s="10"/>
      <c r="V66" s="9"/>
      <c r="W66" s="15">
        <v>0.62</v>
      </c>
      <c r="X66" s="15">
        <v>0.63</v>
      </c>
      <c r="Y66" s="15">
        <v>0.63</v>
      </c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 t="str">
        <f t="shared" si="4"/>
        <v>#DIV/0!</v>
      </c>
      <c r="AL66" s="11"/>
      <c r="AM66" s="9"/>
      <c r="AN66" s="9"/>
      <c r="AO66" s="10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</row>
    <row r="67" ht="17.25" customHeight="1">
      <c r="A67" s="12" t="s">
        <v>90</v>
      </c>
      <c r="B67" s="12" t="s">
        <v>58</v>
      </c>
      <c r="C67" s="12">
        <v>2323.0</v>
      </c>
      <c r="D67" s="12" t="s">
        <v>62</v>
      </c>
      <c r="E67" s="2">
        <v>51.6</v>
      </c>
      <c r="F67" s="3">
        <f t="shared" si="7"/>
        <v>15.72691253</v>
      </c>
      <c r="G67" s="4">
        <v>25.5</v>
      </c>
      <c r="H67" s="31">
        <v>0.0</v>
      </c>
      <c r="I67" s="31">
        <v>0.0</v>
      </c>
      <c r="K67" s="31">
        <v>510.71</v>
      </c>
      <c r="L67" s="5" t="s">
        <v>60</v>
      </c>
      <c r="M67" s="3">
        <v>8.04</v>
      </c>
      <c r="N67" s="32">
        <v>0.2</v>
      </c>
      <c r="O67" s="32">
        <v>0.6</v>
      </c>
      <c r="T67" s="33" t="s">
        <v>75</v>
      </c>
      <c r="U67" s="10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 t="str">
        <f t="shared" si="4"/>
        <v>#DIV/0!</v>
      </c>
      <c r="AL67" s="11"/>
      <c r="AM67" s="9"/>
      <c r="AN67" s="9"/>
      <c r="AO67" s="10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</row>
    <row r="68" ht="17.25" customHeight="1">
      <c r="A68" s="12" t="s">
        <v>90</v>
      </c>
      <c r="B68" s="12" t="s">
        <v>64</v>
      </c>
      <c r="C68" s="12">
        <v>2324.0</v>
      </c>
      <c r="D68" s="12" t="s">
        <v>59</v>
      </c>
      <c r="E68" s="2">
        <v>60.0</v>
      </c>
      <c r="F68" s="3">
        <f t="shared" si="7"/>
        <v>18.28710759</v>
      </c>
      <c r="G68" s="4">
        <v>14.7</v>
      </c>
      <c r="H68" s="31">
        <v>0.0</v>
      </c>
      <c r="I68" s="31">
        <v>0.0</v>
      </c>
      <c r="K68" s="31">
        <v>169.72</v>
      </c>
      <c r="L68" s="5" t="s">
        <v>60</v>
      </c>
      <c r="M68" s="3">
        <v>7.34</v>
      </c>
      <c r="N68" s="32">
        <v>0.6</v>
      </c>
      <c r="O68" s="32">
        <v>0.4</v>
      </c>
      <c r="Q68" s="33">
        <v>3.36</v>
      </c>
      <c r="R68" s="33">
        <v>3.4</v>
      </c>
      <c r="T68" s="33" t="s">
        <v>75</v>
      </c>
      <c r="U68" s="10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 t="str">
        <f t="shared" si="4"/>
        <v>#DIV/0!</v>
      </c>
      <c r="AL68" s="11"/>
      <c r="AM68" s="9"/>
      <c r="AN68" s="9"/>
      <c r="AO68" s="10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</row>
    <row r="69" ht="17.25" customHeight="1">
      <c r="A69" s="12" t="s">
        <v>90</v>
      </c>
      <c r="B69" s="12" t="s">
        <v>64</v>
      </c>
      <c r="C69" s="12">
        <v>2325.0</v>
      </c>
      <c r="D69" s="12" t="s">
        <v>62</v>
      </c>
      <c r="E69" s="2">
        <v>60.9</v>
      </c>
      <c r="F69" s="3">
        <f t="shared" si="7"/>
        <v>18.5614142</v>
      </c>
      <c r="G69" s="4">
        <v>21.3</v>
      </c>
      <c r="H69" s="31">
        <v>25.7</v>
      </c>
      <c r="I69" s="31">
        <v>0.0</v>
      </c>
      <c r="K69" s="31">
        <v>875.07</v>
      </c>
      <c r="L69" s="5" t="s">
        <v>60</v>
      </c>
      <c r="M69" s="3">
        <v>12.92</v>
      </c>
      <c r="N69" s="32">
        <v>0.6</v>
      </c>
      <c r="O69" s="32">
        <v>0.5</v>
      </c>
      <c r="P69" s="12" t="s">
        <v>91</v>
      </c>
      <c r="T69" s="33" t="s">
        <v>75</v>
      </c>
      <c r="U69" s="10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 t="str">
        <f t="shared" si="4"/>
        <v>#DIV/0!</v>
      </c>
      <c r="AL69" s="11"/>
      <c r="AM69" s="9"/>
      <c r="AN69" s="9"/>
      <c r="AO69" s="10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</row>
    <row r="70" ht="17.25" customHeight="1">
      <c r="A70" s="12" t="s">
        <v>90</v>
      </c>
      <c r="B70" s="12" t="s">
        <v>64</v>
      </c>
      <c r="C70" s="12">
        <v>2327.0</v>
      </c>
      <c r="D70" s="12" t="s">
        <v>62</v>
      </c>
      <c r="E70" s="2">
        <v>77.0</v>
      </c>
      <c r="F70" s="3">
        <f t="shared" si="7"/>
        <v>23.46845474</v>
      </c>
      <c r="G70" s="4">
        <v>19.4</v>
      </c>
      <c r="H70" s="50"/>
      <c r="I70" s="31">
        <v>0.0</v>
      </c>
      <c r="K70" s="31">
        <v>295.59</v>
      </c>
      <c r="L70" s="5" t="s">
        <v>60</v>
      </c>
      <c r="M70" s="3">
        <v>5.861</v>
      </c>
      <c r="N70" s="32">
        <v>0.6</v>
      </c>
      <c r="O70" s="32">
        <v>0.6</v>
      </c>
      <c r="P70" s="12" t="s">
        <v>92</v>
      </c>
      <c r="T70" s="33" t="s">
        <v>75</v>
      </c>
      <c r="U70" s="10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 t="str">
        <f t="shared" si="4"/>
        <v>#DIV/0!</v>
      </c>
      <c r="AL70" s="11"/>
      <c r="AM70" s="9"/>
      <c r="AN70" s="9"/>
      <c r="AO70" s="10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</row>
    <row r="71" ht="17.25" customHeight="1">
      <c r="A71" s="12" t="s">
        <v>90</v>
      </c>
      <c r="B71" s="12" t="s">
        <v>64</v>
      </c>
      <c r="C71" s="12">
        <v>2326.0</v>
      </c>
      <c r="D71" s="12" t="s">
        <v>62</v>
      </c>
      <c r="E71" s="2">
        <v>78.1</v>
      </c>
      <c r="F71" s="3">
        <f t="shared" si="7"/>
        <v>23.80371838</v>
      </c>
      <c r="G71" s="4">
        <v>12.1</v>
      </c>
      <c r="H71" s="31">
        <v>0.0</v>
      </c>
      <c r="I71" s="31">
        <v>0.0</v>
      </c>
      <c r="K71" s="31">
        <v>114.99</v>
      </c>
      <c r="L71" s="5" t="s">
        <v>60</v>
      </c>
      <c r="M71" s="3">
        <v>9.894</v>
      </c>
      <c r="N71" s="32">
        <v>0.2</v>
      </c>
      <c r="O71" s="32">
        <v>0.1</v>
      </c>
      <c r="P71" s="12" t="s">
        <v>93</v>
      </c>
      <c r="Q71" s="33">
        <v>3.7</v>
      </c>
      <c r="T71" s="33" t="s">
        <v>75</v>
      </c>
      <c r="U71" s="10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 t="str">
        <f t="shared" si="4"/>
        <v>#DIV/0!</v>
      </c>
      <c r="AL71" s="11"/>
      <c r="AM71" s="9"/>
      <c r="AN71" s="9"/>
      <c r="AO71" s="10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</row>
    <row r="72" ht="17.25" customHeight="1">
      <c r="A72" s="12" t="s">
        <v>90</v>
      </c>
      <c r="B72" s="12" t="s">
        <v>58</v>
      </c>
      <c r="C72" s="12">
        <v>2328.0</v>
      </c>
      <c r="D72" s="12" t="s">
        <v>62</v>
      </c>
      <c r="E72" s="2">
        <v>78.7</v>
      </c>
      <c r="F72" s="3"/>
      <c r="G72" s="4">
        <v>9.1</v>
      </c>
      <c r="H72" s="31">
        <v>13.0</v>
      </c>
      <c r="I72" s="31"/>
      <c r="K72" s="31"/>
      <c r="L72" s="5"/>
      <c r="M72" s="3"/>
      <c r="N72" s="32"/>
      <c r="O72" s="32"/>
      <c r="P72" s="12" t="s">
        <v>94</v>
      </c>
      <c r="U72" s="10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 t="str">
        <f t="shared" si="4"/>
        <v>#DIV/0!</v>
      </c>
      <c r="AL72" s="11"/>
      <c r="AM72" s="9"/>
      <c r="AN72" s="9"/>
      <c r="AO72" s="10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</row>
    <row r="73" ht="17.25" customHeight="1">
      <c r="A73" s="12" t="s">
        <v>90</v>
      </c>
      <c r="B73" s="12" t="s">
        <v>64</v>
      </c>
      <c r="C73" s="12">
        <v>2329.0</v>
      </c>
      <c r="D73" s="12" t="s">
        <v>62</v>
      </c>
      <c r="E73" s="2">
        <v>82.1</v>
      </c>
      <c r="F73" s="3">
        <v>25.967692776592504</v>
      </c>
      <c r="G73" s="4">
        <v>12.0</v>
      </c>
      <c r="H73" s="31">
        <v>0.0</v>
      </c>
      <c r="I73" s="31">
        <v>0.0</v>
      </c>
      <c r="K73" s="31">
        <v>113.1</v>
      </c>
      <c r="L73" s="5" t="s">
        <v>60</v>
      </c>
      <c r="M73" s="3">
        <v>7.336</v>
      </c>
      <c r="N73" s="32">
        <v>0.4</v>
      </c>
      <c r="O73" s="32">
        <v>0.2</v>
      </c>
      <c r="T73" s="33" t="s">
        <v>75</v>
      </c>
      <c r="U73" s="10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 t="str">
        <f t="shared" si="4"/>
        <v>#DIV/0!</v>
      </c>
      <c r="AL73" s="11"/>
      <c r="AM73" s="9"/>
      <c r="AN73" s="9"/>
      <c r="AO73" s="10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</row>
    <row r="74" ht="17.25" customHeight="1">
      <c r="A74" s="12" t="s">
        <v>90</v>
      </c>
      <c r="B74" s="12" t="s">
        <v>64</v>
      </c>
      <c r="C74" s="12">
        <v>2330.0</v>
      </c>
      <c r="D74" s="12" t="s">
        <v>62</v>
      </c>
      <c r="E74" s="2">
        <v>86.5</v>
      </c>
      <c r="F74" s="3"/>
      <c r="G74" s="4">
        <v>12.0</v>
      </c>
      <c r="H74" s="31"/>
      <c r="I74" s="31"/>
      <c r="K74" s="31"/>
      <c r="L74" s="5"/>
      <c r="M74" s="3"/>
      <c r="N74" s="32"/>
      <c r="O74" s="32"/>
      <c r="P74" s="12" t="s">
        <v>95</v>
      </c>
      <c r="U74" s="10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 t="str">
        <f t="shared" si="4"/>
        <v>#DIV/0!</v>
      </c>
      <c r="AL74" s="11"/>
      <c r="AM74" s="9"/>
      <c r="AN74" s="9"/>
      <c r="AO74" s="10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</row>
    <row r="75" ht="15.75" customHeight="1">
      <c r="A75" s="12" t="s">
        <v>90</v>
      </c>
      <c r="B75" s="12" t="s">
        <v>58</v>
      </c>
      <c r="C75" s="12">
        <v>2331.0</v>
      </c>
      <c r="D75" s="12" t="s">
        <v>59</v>
      </c>
      <c r="E75" s="2">
        <v>103.2</v>
      </c>
      <c r="F75" s="3">
        <f t="shared" ref="F75:F77" si="8">E75/3.281</f>
        <v>31.45382505</v>
      </c>
      <c r="G75" s="4">
        <v>36.2</v>
      </c>
      <c r="H75" s="31">
        <v>0.0</v>
      </c>
      <c r="I75" s="31">
        <v>0.0</v>
      </c>
      <c r="K75" s="31">
        <v>1029.22</v>
      </c>
      <c r="L75" s="5" t="s">
        <v>60</v>
      </c>
      <c r="M75" s="3">
        <v>8.34</v>
      </c>
      <c r="N75" s="32">
        <v>0.1</v>
      </c>
      <c r="O75" s="32">
        <v>0.5</v>
      </c>
      <c r="Q75" s="33">
        <v>3.2</v>
      </c>
      <c r="T75" s="33" t="s">
        <v>75</v>
      </c>
      <c r="U75" s="10"/>
      <c r="V75" s="9"/>
      <c r="W75" s="15">
        <v>0.45</v>
      </c>
      <c r="X75" s="15">
        <v>0.48</v>
      </c>
      <c r="Y75" s="15">
        <v>0.56</v>
      </c>
      <c r="Z75" s="9"/>
      <c r="AA75" s="9"/>
      <c r="AB75" s="9"/>
      <c r="AC75" s="9"/>
      <c r="AD75" s="15">
        <v>2.51</v>
      </c>
      <c r="AE75" s="15">
        <v>2.3</v>
      </c>
      <c r="AF75" s="15">
        <v>2.7</v>
      </c>
      <c r="AG75" s="15">
        <v>2.83</v>
      </c>
      <c r="AH75" s="15">
        <v>2.72</v>
      </c>
      <c r="AI75" s="9"/>
      <c r="AJ75" s="9"/>
      <c r="AK75" s="9">
        <f t="shared" si="4"/>
        <v>2.612</v>
      </c>
      <c r="AL75" s="11"/>
      <c r="AM75" s="9"/>
      <c r="AN75" s="9"/>
      <c r="AO75" s="10"/>
      <c r="AP75" s="9"/>
      <c r="AQ75" s="9"/>
      <c r="AR75" s="9"/>
      <c r="AS75" s="9"/>
      <c r="AT75" s="9"/>
      <c r="AU75" s="9"/>
      <c r="AV75" s="15">
        <v>2.14</v>
      </c>
      <c r="AW75" s="15">
        <v>0.3022</v>
      </c>
      <c r="AX75" s="15">
        <v>2.342</v>
      </c>
      <c r="AY75" s="15">
        <v>0.2509</v>
      </c>
      <c r="AZ75" s="15">
        <v>2.206</v>
      </c>
      <c r="BA75" s="15">
        <v>0.1918</v>
      </c>
      <c r="BB75" s="9"/>
      <c r="BC75" s="9"/>
      <c r="BD75" s="9"/>
      <c r="BE75" s="9"/>
      <c r="BF75" s="9"/>
      <c r="BG75" s="9"/>
      <c r="BH75" s="9"/>
      <c r="BI75" s="9"/>
      <c r="BJ75" s="9"/>
      <c r="BK75" s="15">
        <v>1.1844</v>
      </c>
      <c r="BL75" s="9"/>
    </row>
    <row r="76" ht="15.75" customHeight="1">
      <c r="A76" s="12" t="s">
        <v>90</v>
      </c>
      <c r="B76" s="12" t="s">
        <v>64</v>
      </c>
      <c r="C76" s="12">
        <v>2332.0</v>
      </c>
      <c r="D76" s="12" t="s">
        <v>62</v>
      </c>
      <c r="E76" s="2">
        <v>123.0</v>
      </c>
      <c r="F76" s="3">
        <f t="shared" si="8"/>
        <v>37.48857056</v>
      </c>
      <c r="G76" s="4">
        <v>85.5</v>
      </c>
      <c r="H76" s="31">
        <v>0.0</v>
      </c>
      <c r="I76" s="31">
        <v>0.0</v>
      </c>
      <c r="K76" s="31">
        <v>5741.46</v>
      </c>
      <c r="L76" s="5" t="s">
        <v>60</v>
      </c>
      <c r="M76" s="3">
        <v>12.609</v>
      </c>
      <c r="N76" s="32">
        <v>0.7</v>
      </c>
      <c r="O76" s="32">
        <v>0.4</v>
      </c>
      <c r="P76" s="12" t="s">
        <v>96</v>
      </c>
      <c r="T76" s="33" t="s">
        <v>75</v>
      </c>
      <c r="U76" s="14">
        <v>1.0</v>
      </c>
      <c r="V76" s="15">
        <v>1.0</v>
      </c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 t="str">
        <f t="shared" si="4"/>
        <v>#DIV/0!</v>
      </c>
      <c r="AL76" s="11"/>
      <c r="AM76" s="9"/>
      <c r="AN76" s="9"/>
      <c r="AO76" s="10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</row>
    <row r="77" ht="15.75" customHeight="1">
      <c r="A77" s="12" t="s">
        <v>90</v>
      </c>
      <c r="B77" s="12" t="s">
        <v>64</v>
      </c>
      <c r="C77" s="12">
        <v>2333.0</v>
      </c>
      <c r="D77" s="12" t="s">
        <v>59</v>
      </c>
      <c r="E77" s="2">
        <v>125.6</v>
      </c>
      <c r="F77" s="3">
        <f t="shared" si="8"/>
        <v>38.28101189</v>
      </c>
      <c r="G77" s="4">
        <v>14.4</v>
      </c>
      <c r="H77" s="31">
        <v>0.0</v>
      </c>
      <c r="I77" s="31">
        <v>0.0</v>
      </c>
      <c r="K77" s="31">
        <v>162.86</v>
      </c>
      <c r="L77" s="5" t="s">
        <v>60</v>
      </c>
      <c r="M77" s="3">
        <v>5.688</v>
      </c>
      <c r="N77" s="32">
        <v>0.7</v>
      </c>
      <c r="O77" s="32">
        <v>0.6</v>
      </c>
      <c r="T77" s="33" t="s">
        <v>75</v>
      </c>
      <c r="U77" s="14">
        <v>1.0</v>
      </c>
      <c r="V77" s="15">
        <v>0.0</v>
      </c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 t="str">
        <f t="shared" si="4"/>
        <v>#DIV/0!</v>
      </c>
      <c r="AL77" s="11"/>
      <c r="AM77" s="9"/>
      <c r="AN77" s="9"/>
      <c r="AO77" s="10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</row>
    <row r="78" ht="15.75" customHeight="1">
      <c r="A78" s="2" t="s">
        <v>90</v>
      </c>
      <c r="B78" s="3" t="s">
        <v>64</v>
      </c>
      <c r="C78" s="12">
        <v>2334.0</v>
      </c>
      <c r="D78" s="3" t="s">
        <v>62</v>
      </c>
      <c r="E78" s="12">
        <v>159.0</v>
      </c>
      <c r="F78" s="4">
        <v>48.46083511124657</v>
      </c>
      <c r="G78" s="12">
        <v>11.8</v>
      </c>
      <c r="H78" s="51">
        <v>0.0</v>
      </c>
      <c r="I78" s="51">
        <v>0.0</v>
      </c>
      <c r="K78" s="51">
        <v>109.36</v>
      </c>
      <c r="L78" s="5" t="s">
        <v>60</v>
      </c>
      <c r="M78" s="3">
        <v>7.331</v>
      </c>
      <c r="N78" s="32">
        <v>0.5</v>
      </c>
      <c r="O78" s="32">
        <v>0.5</v>
      </c>
      <c r="P78" s="9" t="s">
        <v>97</v>
      </c>
      <c r="Q78" s="33">
        <v>4.9</v>
      </c>
      <c r="R78" s="33">
        <v>5.0</v>
      </c>
      <c r="S78" s="33">
        <v>4.95</v>
      </c>
      <c r="T78" s="33" t="s">
        <v>75</v>
      </c>
      <c r="U78" s="14">
        <v>1.0</v>
      </c>
      <c r="V78" s="15">
        <v>0.0</v>
      </c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 t="str">
        <f t="shared" si="4"/>
        <v>#DIV/0!</v>
      </c>
      <c r="AL78" s="11"/>
      <c r="AM78" s="9"/>
      <c r="AN78" s="9"/>
      <c r="AO78" s="10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</row>
    <row r="79" ht="15.75" customHeight="1">
      <c r="A79" s="12" t="s">
        <v>90</v>
      </c>
      <c r="B79" s="12" t="s">
        <v>64</v>
      </c>
      <c r="C79" s="12">
        <v>2336.0</v>
      </c>
      <c r="D79" s="12" t="s">
        <v>62</v>
      </c>
      <c r="E79" s="2">
        <v>159.0</v>
      </c>
      <c r="F79" s="3">
        <f>E79/3.281</f>
        <v>48.46083511</v>
      </c>
      <c r="G79" s="4">
        <v>11.8</v>
      </c>
      <c r="H79" s="31">
        <v>0.0</v>
      </c>
      <c r="I79" s="31">
        <v>0.0</v>
      </c>
      <c r="K79" s="31">
        <v>109.36</v>
      </c>
      <c r="L79" s="5" t="s">
        <v>60</v>
      </c>
      <c r="M79" s="3">
        <v>7.331</v>
      </c>
      <c r="N79" s="32">
        <v>0.5</v>
      </c>
      <c r="O79" s="32">
        <v>0.5</v>
      </c>
      <c r="P79" s="9" t="s">
        <v>98</v>
      </c>
      <c r="T79" s="33" t="s">
        <v>75</v>
      </c>
      <c r="U79" s="14">
        <v>0.0</v>
      </c>
      <c r="V79" s="15">
        <v>0.0</v>
      </c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 t="str">
        <f t="shared" si="4"/>
        <v>#DIV/0!</v>
      </c>
      <c r="AL79" s="11"/>
      <c r="AM79" s="9"/>
      <c r="AN79" s="9"/>
      <c r="AO79" s="10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</row>
    <row r="80" ht="15.75" customHeight="1">
      <c r="A80" s="12" t="s">
        <v>90</v>
      </c>
      <c r="B80" s="12" t="s">
        <v>64</v>
      </c>
      <c r="C80" s="12">
        <v>2335.0</v>
      </c>
      <c r="D80" s="12" t="s">
        <v>62</v>
      </c>
      <c r="E80" s="2">
        <f>F80*3.281</f>
        <v>160.1</v>
      </c>
      <c r="F80" s="3">
        <v>48.79609875038098</v>
      </c>
      <c r="G80" s="4">
        <v>25.6</v>
      </c>
      <c r="H80" s="31">
        <v>0.0</v>
      </c>
      <c r="I80" s="31">
        <v>0.0</v>
      </c>
      <c r="K80" s="31">
        <v>514.72</v>
      </c>
      <c r="L80" s="5" t="s">
        <v>60</v>
      </c>
      <c r="M80" s="3">
        <v>15.12</v>
      </c>
      <c r="N80" s="32">
        <v>0.4</v>
      </c>
      <c r="O80" s="32">
        <v>0.5</v>
      </c>
      <c r="P80" s="9" t="s">
        <v>99</v>
      </c>
      <c r="T80" s="33" t="s">
        <v>75</v>
      </c>
      <c r="U80" s="14">
        <v>1.0</v>
      </c>
      <c r="V80" s="15">
        <v>0.0</v>
      </c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 t="str">
        <f t="shared" si="4"/>
        <v>#DIV/0!</v>
      </c>
      <c r="AL80" s="11"/>
      <c r="AM80" s="9"/>
      <c r="AN80" s="9"/>
      <c r="AO80" s="10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</row>
    <row r="81" ht="15.75" customHeight="1">
      <c r="A81" s="38" t="s">
        <v>100</v>
      </c>
      <c r="B81" s="38" t="s">
        <v>64</v>
      </c>
      <c r="C81" s="38">
        <v>2374.0</v>
      </c>
      <c r="D81" s="12"/>
      <c r="E81" s="2"/>
      <c r="F81" s="3"/>
      <c r="G81" s="39">
        <v>36.2</v>
      </c>
      <c r="H81" s="40">
        <v>32.8</v>
      </c>
      <c r="I81" s="40">
        <v>0.0</v>
      </c>
      <c r="K81" s="31"/>
      <c r="L81" s="5"/>
      <c r="M81" s="3"/>
      <c r="N81" s="32"/>
      <c r="O81" s="32"/>
      <c r="P81" s="12"/>
      <c r="U81" s="14">
        <v>2.0</v>
      </c>
      <c r="V81" s="15">
        <v>2.0</v>
      </c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 t="str">
        <f t="shared" si="4"/>
        <v>#DIV/0!</v>
      </c>
      <c r="AL81" s="11"/>
      <c r="AM81" s="9"/>
      <c r="AN81" s="9"/>
      <c r="AO81" s="10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</row>
    <row r="82" ht="15.75" customHeight="1">
      <c r="A82" s="12" t="s">
        <v>101</v>
      </c>
      <c r="B82" s="12" t="s">
        <v>58</v>
      </c>
      <c r="C82" s="34">
        <v>2301.0</v>
      </c>
      <c r="D82" s="12" t="s">
        <v>62</v>
      </c>
      <c r="E82" s="2">
        <v>7.0</v>
      </c>
      <c r="F82" s="3">
        <f>E82/3.281</f>
        <v>2.133495885</v>
      </c>
      <c r="G82" s="4">
        <v>48.5</v>
      </c>
      <c r="H82" s="31">
        <v>32.6</v>
      </c>
      <c r="I82" s="31">
        <v>0.0</v>
      </c>
      <c r="K82" s="31">
        <v>2682.14</v>
      </c>
      <c r="L82" s="5" t="s">
        <v>60</v>
      </c>
      <c r="M82" s="3">
        <v>14.621</v>
      </c>
      <c r="N82" s="32">
        <v>0.05</v>
      </c>
      <c r="O82" s="32">
        <v>0.05</v>
      </c>
      <c r="P82" s="12" t="s">
        <v>102</v>
      </c>
      <c r="Q82" s="33">
        <v>3.0</v>
      </c>
      <c r="R82" s="33">
        <v>2.9</v>
      </c>
      <c r="T82" s="33" t="s">
        <v>75</v>
      </c>
      <c r="U82" s="10"/>
      <c r="V82" s="9"/>
      <c r="W82" s="15">
        <v>1.12</v>
      </c>
      <c r="X82" s="15">
        <v>0.74</v>
      </c>
      <c r="Y82" s="15">
        <v>1.23</v>
      </c>
      <c r="Z82" s="15">
        <v>0.81</v>
      </c>
      <c r="AA82" s="9"/>
      <c r="AB82" s="9"/>
      <c r="AC82" s="9"/>
      <c r="AD82" s="15">
        <v>1.7</v>
      </c>
      <c r="AE82" s="15">
        <v>1.42</v>
      </c>
      <c r="AF82" s="15">
        <v>1.7</v>
      </c>
      <c r="AG82" s="15">
        <v>2.25</v>
      </c>
      <c r="AH82" s="15">
        <v>1.96</v>
      </c>
      <c r="AI82" s="9"/>
      <c r="AJ82" s="9"/>
      <c r="AK82" s="9">
        <f t="shared" si="4"/>
        <v>1.806</v>
      </c>
      <c r="AL82" s="11"/>
      <c r="AM82" s="9"/>
      <c r="AN82" s="9"/>
      <c r="AO82" s="10"/>
      <c r="AP82" s="9"/>
      <c r="AQ82" s="9"/>
      <c r="AR82" s="9"/>
      <c r="AS82" s="9"/>
      <c r="AT82" s="9"/>
      <c r="AU82" s="9"/>
      <c r="AV82" s="15">
        <v>2.26</v>
      </c>
      <c r="AW82" s="15">
        <v>0.516</v>
      </c>
      <c r="AX82" s="15">
        <v>2.61</v>
      </c>
      <c r="AY82" s="15">
        <v>0.2882</v>
      </c>
      <c r="AZ82" s="15">
        <v>2.112</v>
      </c>
      <c r="BA82" s="15">
        <v>0.3896</v>
      </c>
      <c r="BB82" s="15">
        <v>2.19</v>
      </c>
      <c r="BC82" s="15">
        <v>0.3978</v>
      </c>
      <c r="BD82" s="9"/>
      <c r="BE82" s="9"/>
      <c r="BF82" s="9"/>
      <c r="BG82" s="9"/>
      <c r="BH82" s="9"/>
      <c r="BI82" s="9"/>
      <c r="BJ82" s="9"/>
      <c r="BK82" s="15">
        <v>1.7593</v>
      </c>
      <c r="BL82" s="9"/>
    </row>
    <row r="83" ht="15.75" customHeight="1">
      <c r="A83" s="12" t="s">
        <v>101</v>
      </c>
      <c r="B83" s="12" t="s">
        <v>64</v>
      </c>
      <c r="C83" s="12">
        <v>2302.0</v>
      </c>
      <c r="D83" s="12" t="s">
        <v>59</v>
      </c>
      <c r="E83" s="2">
        <f t="shared" ref="E83:E84" si="9">F83*3.281</f>
        <v>13.4</v>
      </c>
      <c r="F83" s="3">
        <v>4.084120694910088</v>
      </c>
      <c r="G83" s="4">
        <v>35.9</v>
      </c>
      <c r="H83" s="31">
        <v>0.0</v>
      </c>
      <c r="I83" s="31">
        <v>0.0</v>
      </c>
      <c r="K83" s="31">
        <v>1012.23</v>
      </c>
      <c r="L83" s="5" t="s">
        <v>60</v>
      </c>
      <c r="M83" s="3">
        <v>10.842</v>
      </c>
      <c r="N83" s="32">
        <v>0.4</v>
      </c>
      <c r="O83" s="32">
        <v>0.5</v>
      </c>
      <c r="Q83" s="33">
        <v>3.2</v>
      </c>
      <c r="R83" s="33">
        <v>3.1</v>
      </c>
      <c r="T83" s="33" t="s">
        <v>75</v>
      </c>
      <c r="U83" s="14">
        <v>0.0</v>
      </c>
      <c r="V83" s="15">
        <v>1.0</v>
      </c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 t="str">
        <f t="shared" si="4"/>
        <v>#DIV/0!</v>
      </c>
      <c r="AL83" s="11"/>
      <c r="AM83" s="9"/>
      <c r="AN83" s="9"/>
      <c r="AO83" s="10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</row>
    <row r="84" ht="15.75" customHeight="1">
      <c r="A84" s="12" t="s">
        <v>101</v>
      </c>
      <c r="B84" s="12" t="s">
        <v>64</v>
      </c>
      <c r="C84" s="12">
        <v>2303.0</v>
      </c>
      <c r="D84" s="12" t="s">
        <v>62</v>
      </c>
      <c r="E84" s="2">
        <f t="shared" si="9"/>
        <v>18.6</v>
      </c>
      <c r="F84" s="3">
        <v>5.669003352636391</v>
      </c>
      <c r="G84" s="4">
        <v>27.7</v>
      </c>
      <c r="H84" s="31">
        <v>0.0</v>
      </c>
      <c r="I84" s="31">
        <v>0.0</v>
      </c>
      <c r="K84" s="31">
        <v>602.63</v>
      </c>
      <c r="L84" s="5" t="s">
        <v>60</v>
      </c>
      <c r="M84" s="3">
        <v>11.76</v>
      </c>
      <c r="N84" s="32">
        <v>0.7</v>
      </c>
      <c r="O84" s="32">
        <v>0.6</v>
      </c>
      <c r="T84" s="33" t="s">
        <v>75</v>
      </c>
      <c r="U84" s="14">
        <v>0.0</v>
      </c>
      <c r="V84" s="15">
        <v>0.0</v>
      </c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 t="str">
        <f t="shared" si="4"/>
        <v>#DIV/0!</v>
      </c>
      <c r="AL84" s="11"/>
      <c r="AM84" s="9"/>
      <c r="AN84" s="9"/>
      <c r="AO84" s="10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</row>
    <row r="85" ht="17.25" customHeight="1">
      <c r="A85" s="12" t="s">
        <v>101</v>
      </c>
      <c r="B85" s="12" t="s">
        <v>64</v>
      </c>
      <c r="C85" s="12">
        <v>2304.0</v>
      </c>
      <c r="D85" s="12" t="s">
        <v>59</v>
      </c>
      <c r="E85" s="2">
        <v>39.0</v>
      </c>
      <c r="F85" s="3">
        <f>E85/3.281</f>
        <v>11.88661993</v>
      </c>
      <c r="G85" s="4">
        <v>34.0</v>
      </c>
      <c r="H85" s="31">
        <v>0.0</v>
      </c>
      <c r="I85" s="31">
        <v>0.0</v>
      </c>
      <c r="K85" s="31">
        <v>907.92</v>
      </c>
      <c r="L85" s="5" t="s">
        <v>60</v>
      </c>
      <c r="M85" s="3">
        <v>24.339</v>
      </c>
      <c r="N85" s="32">
        <v>0.4</v>
      </c>
      <c r="O85" s="32">
        <v>0.4</v>
      </c>
      <c r="T85" s="33" t="s">
        <v>75</v>
      </c>
      <c r="U85" s="14">
        <v>0.0</v>
      </c>
      <c r="V85" s="15">
        <v>0.0</v>
      </c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 t="str">
        <f t="shared" si="4"/>
        <v>#DIV/0!</v>
      </c>
      <c r="AL85" s="11"/>
      <c r="AM85" s="9"/>
      <c r="AN85" s="9"/>
      <c r="AO85" s="10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</row>
    <row r="86" ht="17.25" customHeight="1">
      <c r="A86" s="12" t="s">
        <v>101</v>
      </c>
      <c r="B86" s="12" t="s">
        <v>64</v>
      </c>
      <c r="C86" s="12">
        <v>2305.0</v>
      </c>
      <c r="D86" s="36" t="s">
        <v>59</v>
      </c>
      <c r="E86" s="12">
        <v>50.5</v>
      </c>
      <c r="F86" s="3">
        <f>G86/3.281</f>
        <v>10.6065224</v>
      </c>
      <c r="G86" s="2">
        <v>34.8</v>
      </c>
      <c r="H86" s="52">
        <v>0.0</v>
      </c>
      <c r="I86" s="52">
        <v>0.0</v>
      </c>
      <c r="K86" s="52">
        <v>1165.13</v>
      </c>
      <c r="L86" s="5" t="s">
        <v>60</v>
      </c>
      <c r="M86" s="3">
        <v>14.07</v>
      </c>
      <c r="N86" s="32">
        <v>0.5</v>
      </c>
      <c r="O86" s="32">
        <v>0.4</v>
      </c>
      <c r="P86" s="9" t="s">
        <v>103</v>
      </c>
      <c r="Q86" s="33">
        <v>3.5</v>
      </c>
      <c r="R86" s="33">
        <v>3.3</v>
      </c>
      <c r="T86" s="33" t="s">
        <v>75</v>
      </c>
      <c r="U86" s="14">
        <v>0.0</v>
      </c>
      <c r="V86" s="15">
        <v>1.0</v>
      </c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 t="str">
        <f t="shared" si="4"/>
        <v>#DIV/0!</v>
      </c>
      <c r="AL86" s="11"/>
      <c r="AM86" s="9"/>
      <c r="AN86" s="9"/>
      <c r="AO86" s="10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</row>
    <row r="87" ht="17.25" customHeight="1">
      <c r="A87" s="12" t="s">
        <v>101</v>
      </c>
      <c r="B87" s="12" t="s">
        <v>64</v>
      </c>
      <c r="C87" s="12">
        <v>2306.0</v>
      </c>
      <c r="D87" s="12" t="s">
        <v>62</v>
      </c>
      <c r="E87" s="2">
        <v>71.0</v>
      </c>
      <c r="F87" s="3">
        <f>E87/3.281</f>
        <v>21.63974398</v>
      </c>
      <c r="G87" s="4">
        <v>33.8</v>
      </c>
      <c r="H87" s="31">
        <v>0.0</v>
      </c>
      <c r="I87" s="31">
        <v>0.0</v>
      </c>
      <c r="K87" s="31">
        <v>897.27</v>
      </c>
      <c r="L87" s="5" t="s">
        <v>60</v>
      </c>
      <c r="M87" s="3">
        <v>14.06</v>
      </c>
      <c r="N87" s="32">
        <v>0.5</v>
      </c>
      <c r="O87" s="32">
        <v>0.4</v>
      </c>
      <c r="P87" s="12" t="s">
        <v>104</v>
      </c>
      <c r="Q87" s="33">
        <v>4.0</v>
      </c>
      <c r="R87" s="33">
        <v>3.55</v>
      </c>
      <c r="S87" s="33">
        <v>3.4</v>
      </c>
      <c r="T87" s="33" t="s">
        <v>75</v>
      </c>
      <c r="U87" s="14">
        <v>1.0</v>
      </c>
      <c r="V87" s="15">
        <v>0.0</v>
      </c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 t="str">
        <f t="shared" si="4"/>
        <v>#DIV/0!</v>
      </c>
      <c r="AL87" s="11"/>
      <c r="AM87" s="9"/>
      <c r="AN87" s="9"/>
      <c r="AO87" s="10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</row>
    <row r="88" ht="17.25" customHeight="1">
      <c r="A88" s="12" t="s">
        <v>101</v>
      </c>
      <c r="B88" s="12" t="s">
        <v>64</v>
      </c>
      <c r="C88" s="12">
        <v>2307.0</v>
      </c>
      <c r="D88" s="12" t="s">
        <v>59</v>
      </c>
      <c r="E88" s="2">
        <f>F88*3.281</f>
        <v>81.4</v>
      </c>
      <c r="F88" s="3">
        <v>24.80950929594636</v>
      </c>
      <c r="G88" s="4">
        <v>44.5</v>
      </c>
      <c r="H88" s="31">
        <v>0.0</v>
      </c>
      <c r="I88" s="31">
        <v>0.0</v>
      </c>
      <c r="K88" s="31">
        <v>1555.28</v>
      </c>
      <c r="L88" s="5" t="s">
        <v>60</v>
      </c>
      <c r="M88" s="3">
        <v>9.422</v>
      </c>
      <c r="N88" s="32">
        <v>0.6</v>
      </c>
      <c r="O88" s="32">
        <v>0.5</v>
      </c>
      <c r="Q88" s="33">
        <v>3.4</v>
      </c>
      <c r="R88" s="33">
        <v>3.0</v>
      </c>
      <c r="T88" s="33" t="s">
        <v>75</v>
      </c>
      <c r="U88" s="14">
        <v>0.0</v>
      </c>
      <c r="V88" s="15">
        <v>0.0</v>
      </c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 t="str">
        <f t="shared" si="4"/>
        <v>#DIV/0!</v>
      </c>
      <c r="AL88" s="11"/>
      <c r="AM88" s="9"/>
      <c r="AN88" s="9"/>
      <c r="AO88" s="10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</row>
    <row r="89" ht="17.25" customHeight="1">
      <c r="A89" s="12" t="s">
        <v>101</v>
      </c>
      <c r="B89" s="12" t="s">
        <v>64</v>
      </c>
      <c r="C89" s="12">
        <v>2308.0</v>
      </c>
      <c r="D89" s="36" t="s">
        <v>59</v>
      </c>
      <c r="E89" s="2">
        <v>94.5</v>
      </c>
      <c r="F89" s="3">
        <v>29.594635781773846</v>
      </c>
      <c r="G89" s="4">
        <v>25.8</v>
      </c>
      <c r="H89" s="31">
        <v>0.0</v>
      </c>
      <c r="I89" s="31">
        <v>0.0</v>
      </c>
      <c r="K89" s="31">
        <v>235.06</v>
      </c>
      <c r="L89" s="5" t="s">
        <v>60</v>
      </c>
      <c r="M89" s="3">
        <v>6.62</v>
      </c>
      <c r="N89" s="32">
        <v>0.7</v>
      </c>
      <c r="O89" s="32">
        <v>0.7</v>
      </c>
      <c r="T89" s="33" t="s">
        <v>75</v>
      </c>
      <c r="U89" s="14">
        <v>3.0</v>
      </c>
      <c r="V89" s="15">
        <v>0.0</v>
      </c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 t="str">
        <f t="shared" si="4"/>
        <v>#DIV/0!</v>
      </c>
      <c r="AL89" s="11"/>
      <c r="AM89" s="9"/>
      <c r="AN89" s="9"/>
      <c r="AO89" s="10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</row>
    <row r="90" ht="17.25" customHeight="1">
      <c r="A90" s="12" t="s">
        <v>101</v>
      </c>
      <c r="B90" s="12" t="s">
        <v>64</v>
      </c>
      <c r="C90" s="12">
        <v>2309.0</v>
      </c>
      <c r="D90" s="12" t="s">
        <v>59</v>
      </c>
      <c r="E90" s="2">
        <f>F90*3.281</f>
        <v>97.1</v>
      </c>
      <c r="F90" s="3">
        <v>29.594635781773846</v>
      </c>
      <c r="G90" s="4">
        <v>17.3</v>
      </c>
      <c r="H90" s="31">
        <v>0.0</v>
      </c>
      <c r="I90" s="31">
        <v>0.0</v>
      </c>
      <c r="K90" s="31">
        <v>522.79</v>
      </c>
      <c r="L90" s="5" t="s">
        <v>60</v>
      </c>
      <c r="M90" s="3">
        <v>12.92</v>
      </c>
      <c r="N90" s="32">
        <v>0.7</v>
      </c>
      <c r="O90" s="32">
        <v>0.5</v>
      </c>
      <c r="T90" s="33" t="s">
        <v>75</v>
      </c>
      <c r="U90" s="14">
        <v>0.0</v>
      </c>
      <c r="V90" s="15">
        <v>0.0</v>
      </c>
      <c r="W90" s="15">
        <v>1.05</v>
      </c>
      <c r="X90" s="15">
        <v>1.21</v>
      </c>
      <c r="Y90" s="15">
        <v>1.46</v>
      </c>
      <c r="Z90" s="15">
        <v>1.92</v>
      </c>
      <c r="AA90" s="15">
        <v>2.1</v>
      </c>
      <c r="AB90" s="9"/>
      <c r="AC90" s="9"/>
      <c r="AD90" s="9"/>
      <c r="AE90" s="9"/>
      <c r="AF90" s="9"/>
      <c r="AG90" s="9"/>
      <c r="AH90" s="9"/>
      <c r="AI90" s="9"/>
      <c r="AJ90" s="9"/>
      <c r="AK90" s="9" t="str">
        <f t="shared" si="4"/>
        <v>#DIV/0!</v>
      </c>
      <c r="AL90" s="16" t="s">
        <v>105</v>
      </c>
      <c r="AM90" s="15"/>
      <c r="AN90" s="15"/>
      <c r="AO90" s="14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</row>
    <row r="91" ht="15.75" customHeight="1">
      <c r="A91" s="53" t="s">
        <v>106</v>
      </c>
      <c r="B91" s="54" t="s">
        <v>64</v>
      </c>
      <c r="C91" s="55">
        <v>2370.0</v>
      </c>
      <c r="D91" s="3"/>
      <c r="E91" s="12"/>
      <c r="F91" s="4"/>
      <c r="G91" s="38">
        <v>47.0</v>
      </c>
      <c r="H91" s="56">
        <v>0.0</v>
      </c>
      <c r="I91" s="56">
        <v>0.0</v>
      </c>
      <c r="J91" s="57">
        <v>0.6</v>
      </c>
      <c r="K91" s="51"/>
      <c r="L91" s="5"/>
      <c r="M91" s="3"/>
      <c r="N91" s="32"/>
      <c r="O91" s="32"/>
      <c r="U91" s="14">
        <v>1.0</v>
      </c>
      <c r="V91" s="15">
        <v>0.0</v>
      </c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16" t="s">
        <v>105</v>
      </c>
      <c r="AM91" s="15"/>
      <c r="AN91" s="15"/>
      <c r="AO91" s="14">
        <v>1.562</v>
      </c>
      <c r="AP91" s="15">
        <v>1.388</v>
      </c>
      <c r="AQ91" s="15">
        <v>1.401</v>
      </c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 t="s">
        <v>86</v>
      </c>
    </row>
    <row r="92" ht="15.75" customHeight="1">
      <c r="A92" s="53" t="s">
        <v>107</v>
      </c>
      <c r="B92" s="54" t="s">
        <v>64</v>
      </c>
      <c r="C92" s="55">
        <v>2371.0</v>
      </c>
      <c r="D92" s="3"/>
      <c r="E92" s="12"/>
      <c r="F92" s="4"/>
      <c r="G92" s="38">
        <v>97.8</v>
      </c>
      <c r="H92" s="56">
        <v>0.0</v>
      </c>
      <c r="I92" s="56">
        <v>0.0</v>
      </c>
      <c r="K92" s="51"/>
      <c r="L92" s="5"/>
      <c r="M92" s="3"/>
      <c r="N92" s="32"/>
      <c r="O92" s="32"/>
      <c r="U92" s="14">
        <v>0.0</v>
      </c>
      <c r="V92" s="15">
        <v>0.0</v>
      </c>
      <c r="W92" s="15">
        <v>1.26</v>
      </c>
      <c r="X92" s="15">
        <v>2.2</v>
      </c>
      <c r="Y92" s="15">
        <v>1.89</v>
      </c>
      <c r="Z92" s="15">
        <v>1.09</v>
      </c>
      <c r="AA92" s="15">
        <v>1.77</v>
      </c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16" t="s">
        <v>105</v>
      </c>
      <c r="AM92" s="15"/>
      <c r="AN92" s="15"/>
      <c r="AO92" s="14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</row>
    <row r="93" ht="15.75" customHeight="1">
      <c r="A93" s="53" t="s">
        <v>108</v>
      </c>
      <c r="B93" s="54" t="s">
        <v>64</v>
      </c>
      <c r="C93" s="55">
        <v>2372.0</v>
      </c>
      <c r="D93" s="3"/>
      <c r="E93" s="12"/>
      <c r="F93" s="4"/>
      <c r="G93" s="38">
        <v>47.0</v>
      </c>
      <c r="H93" s="56">
        <v>0.0</v>
      </c>
      <c r="I93" s="56">
        <v>0.0</v>
      </c>
      <c r="K93" s="51"/>
      <c r="L93" s="5"/>
      <c r="M93" s="3"/>
      <c r="N93" s="32"/>
      <c r="O93" s="32"/>
      <c r="U93" s="14">
        <v>1.0</v>
      </c>
      <c r="V93" s="15">
        <v>0.0</v>
      </c>
      <c r="W93" s="15">
        <v>1.31</v>
      </c>
      <c r="X93" s="15">
        <v>1.37</v>
      </c>
      <c r="Y93" s="15">
        <v>1.57</v>
      </c>
      <c r="Z93" s="15">
        <v>1.18</v>
      </c>
      <c r="AA93" s="15">
        <v>1.08</v>
      </c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16" t="s">
        <v>109</v>
      </c>
      <c r="AM93" s="15"/>
      <c r="AN93" s="15"/>
      <c r="AO93" s="14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</row>
    <row r="94" ht="15.75" customHeight="1">
      <c r="A94" s="53" t="s">
        <v>110</v>
      </c>
      <c r="B94" s="54" t="s">
        <v>64</v>
      </c>
      <c r="C94" s="55">
        <v>2373.0</v>
      </c>
      <c r="D94" s="3"/>
      <c r="E94" s="12"/>
      <c r="F94" s="4"/>
      <c r="G94" s="38">
        <v>46.8</v>
      </c>
      <c r="H94" s="56">
        <v>0.0</v>
      </c>
      <c r="I94" s="56">
        <v>0.0</v>
      </c>
      <c r="K94" s="51"/>
      <c r="L94" s="5"/>
      <c r="M94" s="3"/>
      <c r="N94" s="32"/>
      <c r="O94" s="32"/>
      <c r="U94" s="14">
        <v>0.0</v>
      </c>
      <c r="V94" s="15">
        <v>1.0</v>
      </c>
      <c r="W94" s="15">
        <v>1.24</v>
      </c>
      <c r="X94" s="15">
        <v>1.35</v>
      </c>
      <c r="Y94" s="15">
        <v>1.46</v>
      </c>
      <c r="Z94" s="15">
        <v>1.56</v>
      </c>
      <c r="AA94" s="15">
        <v>1.25</v>
      </c>
      <c r="AB94" s="15">
        <v>1.0</v>
      </c>
      <c r="AC94" s="9"/>
      <c r="AD94" s="9"/>
      <c r="AE94" s="9"/>
      <c r="AF94" s="9"/>
      <c r="AG94" s="9"/>
      <c r="AH94" s="9"/>
      <c r="AI94" s="9"/>
      <c r="AJ94" s="9"/>
      <c r="AK94" s="9"/>
      <c r="AL94" s="16" t="s">
        <v>111</v>
      </c>
      <c r="AM94" s="15"/>
      <c r="AN94" s="15"/>
      <c r="AO94" s="14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</row>
    <row r="95" ht="15.75" customHeight="1">
      <c r="A95" s="2" t="s">
        <v>112</v>
      </c>
      <c r="B95" s="3" t="s">
        <v>64</v>
      </c>
      <c r="C95" s="3"/>
      <c r="D95" s="3" t="s">
        <v>62</v>
      </c>
      <c r="E95" s="12">
        <v>1.6405</v>
      </c>
      <c r="F95" s="4">
        <v>0.5</v>
      </c>
      <c r="G95" s="12">
        <v>55.1</v>
      </c>
      <c r="H95" s="51">
        <v>0.0</v>
      </c>
      <c r="I95" s="51">
        <v>0.0</v>
      </c>
      <c r="K95" s="51">
        <v>637.94</v>
      </c>
      <c r="L95" s="5">
        <v>61.9</v>
      </c>
      <c r="M95" s="3">
        <v>11.28</v>
      </c>
      <c r="N95" s="32">
        <v>0.3</v>
      </c>
      <c r="O95" s="32">
        <v>0.4</v>
      </c>
      <c r="U95" s="10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 t="str">
        <f t="shared" ref="AK95:AK110" si="10">AVERAGE(AD95:AJ95)</f>
        <v>#DIV/0!</v>
      </c>
      <c r="AL95" s="11"/>
      <c r="AM95" s="9"/>
      <c r="AN95" s="9"/>
      <c r="AO95" s="10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</row>
    <row r="96" ht="15.75" customHeight="1">
      <c r="A96" s="2" t="s">
        <v>112</v>
      </c>
      <c r="B96" s="3" t="s">
        <v>64</v>
      </c>
      <c r="C96" s="3"/>
      <c r="D96" s="3" t="s">
        <v>62</v>
      </c>
      <c r="E96" s="12">
        <v>91.86800000000001</v>
      </c>
      <c r="F96" s="4">
        <v>28.0</v>
      </c>
      <c r="G96" s="12">
        <v>17.6</v>
      </c>
      <c r="H96" s="51">
        <v>0.0</v>
      </c>
      <c r="I96" s="51">
        <v>0.0</v>
      </c>
      <c r="K96" s="51">
        <v>2384.48</v>
      </c>
      <c r="L96" s="5">
        <v>72.0</v>
      </c>
      <c r="M96" s="3">
        <v>11.2</v>
      </c>
      <c r="N96" s="32">
        <v>0.2</v>
      </c>
      <c r="O96" s="32">
        <v>0.25</v>
      </c>
      <c r="U96" s="10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 t="str">
        <f t="shared" si="10"/>
        <v>#DIV/0!</v>
      </c>
      <c r="AL96" s="11"/>
      <c r="AM96" s="9"/>
      <c r="AN96" s="9"/>
      <c r="AO96" s="10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</row>
    <row r="97" ht="15.75" customHeight="1">
      <c r="A97" s="2" t="s">
        <v>112</v>
      </c>
      <c r="B97" s="3" t="s">
        <v>64</v>
      </c>
      <c r="C97" s="3"/>
      <c r="D97" s="3" t="s">
        <v>59</v>
      </c>
      <c r="E97" s="12">
        <v>98.43</v>
      </c>
      <c r="F97" s="4">
        <v>30.0</v>
      </c>
      <c r="G97" s="12">
        <v>15.2</v>
      </c>
      <c r="H97" s="51">
        <v>0.0</v>
      </c>
      <c r="I97" s="51">
        <v>0.0</v>
      </c>
      <c r="K97" s="51">
        <v>611.36</v>
      </c>
      <c r="L97" s="5" t="s">
        <v>60</v>
      </c>
      <c r="M97" s="3">
        <v>12.8</v>
      </c>
      <c r="N97" s="32">
        <v>0.3</v>
      </c>
      <c r="O97" s="32">
        <v>0.25</v>
      </c>
      <c r="U97" s="10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 t="str">
        <f t="shared" si="10"/>
        <v>#DIV/0!</v>
      </c>
      <c r="AL97" s="11"/>
      <c r="AM97" s="9"/>
      <c r="AN97" s="9"/>
      <c r="AO97" s="10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</row>
    <row r="98" ht="15.75" customHeight="1">
      <c r="A98" s="2" t="s">
        <v>112</v>
      </c>
      <c r="B98" s="3" t="s">
        <v>64</v>
      </c>
      <c r="C98" s="3"/>
      <c r="D98" s="3" t="s">
        <v>62</v>
      </c>
      <c r="E98" s="12">
        <v>118.116</v>
      </c>
      <c r="F98" s="4">
        <v>36.0</v>
      </c>
      <c r="G98" s="12">
        <v>27.9</v>
      </c>
      <c r="H98" s="51">
        <v>0.0</v>
      </c>
      <c r="I98" s="51">
        <v>0.0</v>
      </c>
      <c r="K98" s="51">
        <v>181.46</v>
      </c>
      <c r="L98" s="5">
        <v>21.5</v>
      </c>
      <c r="M98" s="3">
        <v>7.5</v>
      </c>
      <c r="N98" s="32">
        <v>0.75</v>
      </c>
      <c r="O98" s="32">
        <v>0.6</v>
      </c>
      <c r="U98" s="10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 t="str">
        <f t="shared" si="10"/>
        <v>#DIV/0!</v>
      </c>
      <c r="AL98" s="11"/>
      <c r="AM98" s="9"/>
      <c r="AN98" s="9"/>
      <c r="AO98" s="10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</row>
    <row r="99" ht="15.75" customHeight="1">
      <c r="A99" s="2" t="s">
        <v>112</v>
      </c>
      <c r="B99" s="3" t="s">
        <v>64</v>
      </c>
      <c r="C99" s="3"/>
      <c r="D99" s="3" t="s">
        <v>59</v>
      </c>
      <c r="E99" s="12">
        <v>134.52100000000002</v>
      </c>
      <c r="F99" s="4">
        <v>41.0</v>
      </c>
      <c r="G99" s="12">
        <v>28.5</v>
      </c>
      <c r="H99" s="51">
        <v>0.0</v>
      </c>
      <c r="I99" s="51">
        <v>0.0</v>
      </c>
      <c r="K99" s="51">
        <v>243.28</v>
      </c>
      <c r="L99" s="5">
        <v>18.3</v>
      </c>
      <c r="M99" s="3">
        <v>4.6</v>
      </c>
      <c r="N99" s="32">
        <v>0.7</v>
      </c>
      <c r="O99" s="32">
        <v>0.5</v>
      </c>
      <c r="U99" s="10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 t="str">
        <f t="shared" si="10"/>
        <v>#DIV/0!</v>
      </c>
      <c r="AL99" s="11"/>
      <c r="AM99" s="9"/>
      <c r="AN99" s="9"/>
      <c r="AO99" s="10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</row>
    <row r="100" ht="15.75" customHeight="1">
      <c r="A100" s="2" t="s">
        <v>113</v>
      </c>
      <c r="B100" s="3" t="s">
        <v>64</v>
      </c>
      <c r="C100" s="3"/>
      <c r="D100" s="3" t="s">
        <v>62</v>
      </c>
      <c r="E100" s="12">
        <v>4.9215</v>
      </c>
      <c r="F100" s="4">
        <v>1.5</v>
      </c>
      <c r="G100" s="12">
        <v>58.0</v>
      </c>
      <c r="H100" s="51">
        <v>0.0</v>
      </c>
      <c r="I100" s="51">
        <v>0.0</v>
      </c>
      <c r="K100" s="51">
        <v>891.97</v>
      </c>
      <c r="L100" s="5">
        <v>42.0</v>
      </c>
      <c r="M100" s="3">
        <v>5.9</v>
      </c>
      <c r="N100" s="32">
        <v>0.5</v>
      </c>
      <c r="O100" s="32">
        <v>0.2</v>
      </c>
      <c r="U100" s="10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 t="str">
        <f t="shared" si="10"/>
        <v>#DIV/0!</v>
      </c>
      <c r="AL100" s="11"/>
      <c r="AM100" s="9"/>
      <c r="AN100" s="9"/>
      <c r="AO100" s="10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</row>
    <row r="101" ht="15.75" customHeight="1">
      <c r="A101" s="2" t="s">
        <v>113</v>
      </c>
      <c r="B101" s="3" t="s">
        <v>64</v>
      </c>
      <c r="C101" s="3"/>
      <c r="D101" s="3" t="s">
        <v>59</v>
      </c>
      <c r="E101" s="12">
        <v>21.3265</v>
      </c>
      <c r="F101" s="4">
        <v>6.5</v>
      </c>
      <c r="G101" s="12">
        <v>36.0</v>
      </c>
      <c r="H101" s="51">
        <v>0.0</v>
      </c>
      <c r="I101" s="51">
        <v>0.0</v>
      </c>
      <c r="K101" s="51">
        <v>907.92</v>
      </c>
      <c r="L101" s="5">
        <v>39.0</v>
      </c>
      <c r="M101" s="3">
        <v>7.1</v>
      </c>
      <c r="N101" s="32">
        <v>0.2</v>
      </c>
      <c r="O101" s="32">
        <v>0.2</v>
      </c>
      <c r="U101" s="10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 t="str">
        <f t="shared" si="10"/>
        <v>#DIV/0!</v>
      </c>
      <c r="AL101" s="11"/>
      <c r="AM101" s="9"/>
      <c r="AN101" s="9"/>
      <c r="AO101" s="10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</row>
    <row r="102" ht="15.75" customHeight="1">
      <c r="A102" s="2" t="s">
        <v>113</v>
      </c>
      <c r="B102" s="3" t="s">
        <v>64</v>
      </c>
      <c r="C102" s="3"/>
      <c r="D102" s="3" t="s">
        <v>62</v>
      </c>
      <c r="E102" s="12">
        <v>104.992</v>
      </c>
      <c r="F102" s="4">
        <v>32.0</v>
      </c>
      <c r="G102" s="12">
        <v>70.2</v>
      </c>
      <c r="H102" s="51">
        <v>0.0</v>
      </c>
      <c r="I102" s="51">
        <v>0.0</v>
      </c>
      <c r="K102" s="51">
        <v>3870.47</v>
      </c>
      <c r="L102" s="5">
        <v>88.0</v>
      </c>
      <c r="M102" s="3">
        <v>18.0</v>
      </c>
      <c r="N102" s="32">
        <v>0.3</v>
      </c>
      <c r="O102" s="32">
        <v>0.35</v>
      </c>
      <c r="U102" s="10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 t="str">
        <f t="shared" si="10"/>
        <v>#DIV/0!</v>
      </c>
      <c r="AL102" s="11"/>
      <c r="AM102" s="9"/>
      <c r="AN102" s="9"/>
      <c r="AO102" s="10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</row>
    <row r="103" ht="15.75" customHeight="1">
      <c r="A103" s="2" t="s">
        <v>113</v>
      </c>
      <c r="B103" s="3" t="s">
        <v>64</v>
      </c>
      <c r="C103" s="3"/>
      <c r="D103" s="3" t="s">
        <v>62</v>
      </c>
      <c r="E103" s="12">
        <v>113.1945</v>
      </c>
      <c r="F103" s="4">
        <v>34.5</v>
      </c>
      <c r="G103" s="12">
        <v>34.0</v>
      </c>
      <c r="H103" s="51">
        <v>0.0</v>
      </c>
      <c r="I103" s="51">
        <v>0.0</v>
      </c>
      <c r="K103" s="51">
        <v>1017.88</v>
      </c>
      <c r="L103" s="5">
        <v>52.2</v>
      </c>
      <c r="M103" s="3">
        <v>7.8</v>
      </c>
      <c r="N103" s="32">
        <v>0.15</v>
      </c>
      <c r="O103" s="32">
        <v>0.25</v>
      </c>
      <c r="U103" s="10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 t="str">
        <f t="shared" si="10"/>
        <v>#DIV/0!</v>
      </c>
      <c r="AL103" s="11"/>
      <c r="AM103" s="9"/>
      <c r="AN103" s="9"/>
      <c r="AO103" s="10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</row>
    <row r="104" ht="15.75" customHeight="1">
      <c r="A104" s="2" t="s">
        <v>113</v>
      </c>
      <c r="B104" s="3" t="s">
        <v>64</v>
      </c>
      <c r="C104" s="3"/>
      <c r="D104" s="3" t="s">
        <v>62</v>
      </c>
      <c r="E104" s="12">
        <v>203.422</v>
      </c>
      <c r="F104" s="4">
        <v>62.0</v>
      </c>
      <c r="G104" s="12">
        <v>33.7</v>
      </c>
      <c r="H104" s="51">
        <v>0.0</v>
      </c>
      <c r="I104" s="51">
        <v>0.0</v>
      </c>
      <c r="K104" s="51">
        <v>2642.08</v>
      </c>
      <c r="L104" s="5">
        <v>70.0</v>
      </c>
      <c r="M104" s="3">
        <v>17.0</v>
      </c>
      <c r="N104" s="32">
        <v>0.1</v>
      </c>
      <c r="O104" s="32">
        <v>0.4</v>
      </c>
      <c r="U104" s="10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 t="str">
        <f t="shared" si="10"/>
        <v>#DIV/0!</v>
      </c>
      <c r="AL104" s="11"/>
      <c r="AM104" s="9"/>
      <c r="AN104" s="9"/>
      <c r="AO104" s="10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</row>
    <row r="105" ht="15.75" customHeight="1">
      <c r="A105" s="12" t="s">
        <v>114</v>
      </c>
      <c r="B105" s="12" t="s">
        <v>58</v>
      </c>
      <c r="C105" s="12"/>
      <c r="D105" s="12" t="s">
        <v>115</v>
      </c>
      <c r="E105" s="2">
        <v>1.0</v>
      </c>
      <c r="F105" s="2" t="s">
        <v>115</v>
      </c>
      <c r="G105" s="4">
        <v>51.3</v>
      </c>
      <c r="H105" s="50">
        <v>32.0</v>
      </c>
      <c r="I105" s="50">
        <v>0.0</v>
      </c>
      <c r="K105" s="51">
        <v>2871.172212</v>
      </c>
      <c r="L105" s="5" t="s">
        <v>60</v>
      </c>
      <c r="M105" s="3">
        <v>12.64</v>
      </c>
      <c r="N105" s="32">
        <v>0.05</v>
      </c>
      <c r="O105" s="32">
        <v>0.05</v>
      </c>
      <c r="U105" s="10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 t="str">
        <f t="shared" si="10"/>
        <v>#DIV/0!</v>
      </c>
      <c r="AL105" s="11"/>
      <c r="AM105" s="9"/>
      <c r="AN105" s="9"/>
      <c r="AO105" s="10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</row>
    <row r="106" ht="15.75" customHeight="1">
      <c r="A106" s="12" t="s">
        <v>114</v>
      </c>
      <c r="B106" s="12" t="s">
        <v>58</v>
      </c>
      <c r="C106" s="12"/>
      <c r="D106" s="12" t="s">
        <v>115</v>
      </c>
      <c r="E106" s="2">
        <v>2.0</v>
      </c>
      <c r="F106" s="2" t="s">
        <v>115</v>
      </c>
      <c r="G106" s="4">
        <v>77.9</v>
      </c>
      <c r="H106" s="50">
        <v>0.0</v>
      </c>
      <c r="I106" s="50">
        <v>0.0</v>
      </c>
      <c r="K106" s="51">
        <v>4766.118069</v>
      </c>
      <c r="L106" s="5" t="s">
        <v>60</v>
      </c>
      <c r="M106" s="3">
        <v>8.31</v>
      </c>
      <c r="N106" s="32">
        <v>0.2</v>
      </c>
      <c r="O106" s="32">
        <v>0.05</v>
      </c>
      <c r="P106" s="12" t="s">
        <v>116</v>
      </c>
      <c r="U106" s="10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 t="str">
        <f t="shared" si="10"/>
        <v>#DIV/0!</v>
      </c>
      <c r="AL106" s="11"/>
      <c r="AM106" s="9"/>
      <c r="AN106" s="9"/>
      <c r="AO106" s="10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</row>
    <row r="107" ht="15.75" customHeight="1">
      <c r="A107" s="2" t="s">
        <v>117</v>
      </c>
      <c r="B107" s="3" t="s">
        <v>64</v>
      </c>
      <c r="C107" s="58">
        <v>2381.0</v>
      </c>
      <c r="D107" s="3" t="s">
        <v>115</v>
      </c>
      <c r="E107" s="2"/>
      <c r="F107" s="3"/>
      <c r="G107" s="38">
        <v>36.6</v>
      </c>
      <c r="H107" s="59">
        <v>32.3</v>
      </c>
      <c r="I107" s="59">
        <v>31.8</v>
      </c>
      <c r="K107" s="51"/>
      <c r="L107" s="5"/>
      <c r="M107" s="3"/>
      <c r="N107" s="32"/>
      <c r="O107" s="32"/>
      <c r="P107" s="33" t="s">
        <v>118</v>
      </c>
      <c r="Q107" s="33">
        <v>3.8</v>
      </c>
      <c r="U107" s="14">
        <v>0.0</v>
      </c>
      <c r="V107" s="15">
        <v>3.0</v>
      </c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 t="str">
        <f t="shared" si="10"/>
        <v>#DIV/0!</v>
      </c>
      <c r="AL107" s="16" t="s">
        <v>119</v>
      </c>
      <c r="AM107" s="15"/>
      <c r="AN107" s="15"/>
      <c r="AO107" s="14">
        <v>1.316</v>
      </c>
      <c r="AP107" s="15">
        <v>1.334</v>
      </c>
      <c r="AQ107" s="15"/>
      <c r="AR107" s="15"/>
      <c r="AS107" s="15"/>
      <c r="AT107" s="15"/>
      <c r="AU107" s="15"/>
      <c r="AV107" s="15">
        <v>1.856</v>
      </c>
      <c r="AW107" s="15">
        <v>0.1124</v>
      </c>
      <c r="AX107" s="15">
        <v>1.829</v>
      </c>
      <c r="AY107" s="15">
        <v>0.0657</v>
      </c>
      <c r="AZ107" s="15">
        <v>1.818</v>
      </c>
      <c r="BA107" s="15">
        <v>0.1414</v>
      </c>
      <c r="BB107" s="15"/>
      <c r="BC107" s="15"/>
      <c r="BD107" s="15"/>
      <c r="BE107" s="15"/>
      <c r="BF107" s="15"/>
      <c r="BG107" s="15"/>
      <c r="BH107" s="15"/>
      <c r="BI107" s="15"/>
      <c r="BJ107" s="15"/>
      <c r="BK107" s="15">
        <v>0.7962</v>
      </c>
      <c r="BL107" s="15"/>
    </row>
    <row r="108" ht="15.75" customHeight="1">
      <c r="A108" s="2" t="s">
        <v>117</v>
      </c>
      <c r="B108" s="3" t="s">
        <v>64</v>
      </c>
      <c r="C108" s="58"/>
      <c r="D108" s="3" t="s">
        <v>115</v>
      </c>
      <c r="E108" s="2"/>
      <c r="F108" s="3"/>
      <c r="G108" s="4">
        <v>52.1</v>
      </c>
      <c r="H108" s="50"/>
      <c r="I108" s="50"/>
      <c r="K108" s="50"/>
      <c r="L108" s="5"/>
      <c r="M108" s="3"/>
      <c r="N108" s="32"/>
      <c r="O108" s="32"/>
      <c r="P108" s="33" t="s">
        <v>120</v>
      </c>
      <c r="Q108" s="33">
        <v>3.95</v>
      </c>
      <c r="U108" s="10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 t="str">
        <f t="shared" si="10"/>
        <v>#DIV/0!</v>
      </c>
      <c r="AL108" s="11"/>
      <c r="AM108" s="9"/>
      <c r="AN108" s="9"/>
      <c r="AO108" s="10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</row>
    <row r="109" ht="15.75" customHeight="1">
      <c r="A109" s="2" t="s">
        <v>117</v>
      </c>
      <c r="B109" s="3" t="s">
        <v>64</v>
      </c>
      <c r="C109" s="58"/>
      <c r="D109" s="3" t="s">
        <v>115</v>
      </c>
      <c r="E109" s="2"/>
      <c r="F109" s="3"/>
      <c r="G109" s="4">
        <v>23.7</v>
      </c>
      <c r="H109" s="50"/>
      <c r="I109" s="50"/>
      <c r="K109" s="50"/>
      <c r="L109" s="5"/>
      <c r="M109" s="3"/>
      <c r="N109" s="32"/>
      <c r="O109" s="32"/>
      <c r="P109" s="33" t="s">
        <v>121</v>
      </c>
      <c r="Q109" s="33">
        <v>4.27</v>
      </c>
      <c r="U109" s="10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 t="str">
        <f t="shared" si="10"/>
        <v>#DIV/0!</v>
      </c>
      <c r="AL109" s="11"/>
      <c r="AM109" s="9"/>
      <c r="AN109" s="9"/>
      <c r="AO109" s="10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</row>
    <row r="110" ht="15.75" customHeight="1">
      <c r="A110" s="2" t="s">
        <v>117</v>
      </c>
      <c r="B110" s="3" t="s">
        <v>64</v>
      </c>
      <c r="C110" s="58">
        <v>2382.0</v>
      </c>
      <c r="D110" s="3" t="s">
        <v>115</v>
      </c>
      <c r="E110" s="2"/>
      <c r="F110" s="3"/>
      <c r="G110" s="4">
        <v>58.5</v>
      </c>
      <c r="H110" s="50"/>
      <c r="I110" s="50"/>
      <c r="K110" s="50"/>
      <c r="L110" s="5"/>
      <c r="M110" s="3"/>
      <c r="N110" s="32"/>
      <c r="O110" s="32"/>
      <c r="P110" s="33" t="s">
        <v>122</v>
      </c>
      <c r="Q110" s="33">
        <v>3.4</v>
      </c>
      <c r="U110" s="14">
        <v>0.0</v>
      </c>
      <c r="V110" s="15">
        <v>6.0</v>
      </c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 t="str">
        <f t="shared" si="10"/>
        <v>#DIV/0!</v>
      </c>
      <c r="AL110" s="16" t="s">
        <v>123</v>
      </c>
      <c r="AM110" s="15"/>
      <c r="AN110" s="15"/>
      <c r="AO110" s="14">
        <v>0.798</v>
      </c>
      <c r="AP110" s="15">
        <v>0.791</v>
      </c>
      <c r="AQ110" s="15">
        <v>0.821</v>
      </c>
      <c r="AR110" s="15"/>
      <c r="AS110" s="15"/>
      <c r="AT110" s="15"/>
      <c r="AU110" s="15"/>
      <c r="AV110" s="15">
        <v>2.006</v>
      </c>
      <c r="AW110" s="15">
        <v>0.238</v>
      </c>
      <c r="AX110" s="15">
        <v>2.23</v>
      </c>
      <c r="AY110" s="15">
        <v>0.1203</v>
      </c>
      <c r="AZ110" s="15">
        <v>1.967</v>
      </c>
      <c r="BA110" s="15">
        <v>0.1832</v>
      </c>
      <c r="BB110" s="15">
        <v>2.096</v>
      </c>
      <c r="BC110" s="15">
        <v>0.1672</v>
      </c>
      <c r="BD110" s="15"/>
      <c r="BE110" s="15"/>
      <c r="BF110" s="15"/>
      <c r="BG110" s="15"/>
      <c r="BH110" s="15"/>
      <c r="BI110" s="15"/>
      <c r="BJ110" s="15"/>
      <c r="BK110" s="15">
        <v>0.8632</v>
      </c>
      <c r="BL110" s="15" t="s">
        <v>124</v>
      </c>
    </row>
    <row r="111" ht="15.75" customHeight="1">
      <c r="A111" s="57" t="s">
        <v>125</v>
      </c>
      <c r="B111" s="54" t="s">
        <v>64</v>
      </c>
      <c r="C111" s="60">
        <v>2383.0</v>
      </c>
      <c r="D111" s="57" t="s">
        <v>115</v>
      </c>
      <c r="F111" s="2"/>
      <c r="G111" s="57">
        <v>42.7</v>
      </c>
      <c r="J111" s="4"/>
      <c r="K111" s="50"/>
      <c r="L111" s="50"/>
      <c r="M111" s="5"/>
      <c r="N111" s="3"/>
      <c r="O111" s="32"/>
      <c r="P111" s="32"/>
      <c r="U111" s="14">
        <v>0.0</v>
      </c>
      <c r="V111" s="15">
        <v>7.0</v>
      </c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11"/>
      <c r="AM111" s="9"/>
      <c r="AN111" s="9"/>
      <c r="AO111" s="10"/>
      <c r="AP111" s="9"/>
      <c r="AQ111" s="9"/>
      <c r="AR111" s="9"/>
      <c r="AS111" s="9"/>
      <c r="AT111" s="9"/>
      <c r="AU111" s="9"/>
      <c r="AV111" s="15">
        <v>2.48</v>
      </c>
      <c r="AW111" s="15">
        <v>0.1117</v>
      </c>
      <c r="AX111" s="15">
        <v>2.16</v>
      </c>
      <c r="AY111" s="15">
        <v>0.101</v>
      </c>
      <c r="AZ111" s="15">
        <v>2.441</v>
      </c>
      <c r="BA111" s="15">
        <v>0.089</v>
      </c>
      <c r="BB111" s="9"/>
      <c r="BC111" s="9"/>
      <c r="BD111" s="9"/>
      <c r="BE111" s="9"/>
      <c r="BF111" s="9"/>
      <c r="BG111" s="9"/>
      <c r="BH111" s="9"/>
      <c r="BI111" s="9"/>
      <c r="BJ111" s="9"/>
      <c r="BK111" s="15">
        <v>0.5538</v>
      </c>
      <c r="BL111" s="9"/>
    </row>
    <row r="112" ht="15.75" customHeight="1">
      <c r="A112" s="57" t="s">
        <v>126</v>
      </c>
      <c r="B112" s="54" t="s">
        <v>64</v>
      </c>
      <c r="C112" s="57">
        <v>2384.0</v>
      </c>
      <c r="F112" s="2"/>
      <c r="J112" s="4"/>
      <c r="K112" s="50"/>
      <c r="L112" s="50"/>
      <c r="M112" s="5"/>
      <c r="N112" s="3"/>
      <c r="O112" s="32"/>
      <c r="P112" s="32"/>
      <c r="U112" s="10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11"/>
      <c r="AM112" s="9"/>
      <c r="AN112" s="9"/>
      <c r="AO112" s="14">
        <v>1.409</v>
      </c>
      <c r="AP112" s="15">
        <v>1.49</v>
      </c>
      <c r="AQ112" s="9"/>
      <c r="AR112" s="9"/>
      <c r="AS112" s="9"/>
      <c r="AT112" s="9"/>
      <c r="AU112" s="9"/>
      <c r="AV112" s="15">
        <v>2.197</v>
      </c>
      <c r="AW112" s="15">
        <v>0.0337</v>
      </c>
      <c r="AX112" s="15">
        <v>2.23</v>
      </c>
      <c r="AY112" s="15">
        <v>0.0482</v>
      </c>
      <c r="AZ112" s="15">
        <v>2.16</v>
      </c>
      <c r="BA112" s="15">
        <v>0.0637</v>
      </c>
      <c r="BB112" s="9"/>
      <c r="BC112" s="9"/>
      <c r="BD112" s="9"/>
      <c r="BE112" s="9"/>
      <c r="BF112" s="9"/>
      <c r="BG112" s="9"/>
      <c r="BH112" s="9"/>
      <c r="BI112" s="9"/>
      <c r="BJ112" s="9"/>
      <c r="BK112" s="15">
        <v>0.2961</v>
      </c>
      <c r="BL112" s="9"/>
    </row>
    <row r="113" ht="15.75" customHeight="1">
      <c r="A113" s="57" t="s">
        <v>114</v>
      </c>
      <c r="B113" s="54" t="s">
        <v>127</v>
      </c>
      <c r="F113" s="2"/>
      <c r="J113" s="4"/>
      <c r="K113" s="50"/>
      <c r="L113" s="50"/>
      <c r="M113" s="5"/>
      <c r="N113" s="3"/>
      <c r="U113" s="10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11"/>
      <c r="AM113" s="9"/>
      <c r="AN113" s="9"/>
      <c r="AO113" s="10"/>
      <c r="AP113" s="9"/>
      <c r="AQ113" s="9"/>
      <c r="AR113" s="9"/>
      <c r="AS113" s="9"/>
      <c r="AT113" s="9"/>
      <c r="AU113" s="9"/>
      <c r="AV113" s="15">
        <v>2.131</v>
      </c>
      <c r="AW113" s="15">
        <v>0.4783</v>
      </c>
      <c r="AX113" s="15">
        <v>2.442</v>
      </c>
      <c r="AY113" s="15">
        <v>0.7536</v>
      </c>
      <c r="AZ113" s="15">
        <v>2.289</v>
      </c>
      <c r="BA113" s="15">
        <v>0.7049</v>
      </c>
      <c r="BB113" s="15">
        <v>2.436</v>
      </c>
      <c r="BC113" s="15">
        <v>0.7593</v>
      </c>
      <c r="BD113" s="15">
        <v>2.629</v>
      </c>
      <c r="BE113" s="15">
        <v>0.3663</v>
      </c>
      <c r="BF113" s="15">
        <v>2.142</v>
      </c>
      <c r="BG113" s="15">
        <v>0.56</v>
      </c>
      <c r="BH113" s="15">
        <v>2.138</v>
      </c>
      <c r="BI113" s="15">
        <v>0.4725</v>
      </c>
      <c r="BJ113" s="9"/>
      <c r="BK113" s="9"/>
      <c r="BL113" s="9"/>
    </row>
    <row r="114" ht="15.75" customHeight="1">
      <c r="A114" s="57" t="s">
        <v>114</v>
      </c>
      <c r="B114" s="54" t="s">
        <v>128</v>
      </c>
      <c r="F114" s="2"/>
      <c r="J114" s="4"/>
      <c r="K114" s="50"/>
      <c r="L114" s="50"/>
      <c r="M114" s="5"/>
      <c r="N114" s="3"/>
      <c r="U114" s="10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11"/>
      <c r="AM114" s="9"/>
      <c r="AN114" s="9"/>
      <c r="AO114" s="10"/>
      <c r="AP114" s="9"/>
      <c r="AQ114" s="9"/>
      <c r="AR114" s="9"/>
      <c r="AS114" s="9"/>
      <c r="AT114" s="9"/>
      <c r="AU114" s="9"/>
      <c r="AV114" s="15">
        <v>1.58</v>
      </c>
      <c r="AW114" s="15">
        <v>0.1919</v>
      </c>
      <c r="AX114" s="15">
        <v>1.76</v>
      </c>
      <c r="AY114" s="15">
        <v>0.2642</v>
      </c>
      <c r="AZ114" s="15">
        <v>1.74</v>
      </c>
      <c r="BA114" s="15">
        <v>0.2412</v>
      </c>
      <c r="BB114" s="15">
        <v>1.723</v>
      </c>
      <c r="BC114" s="15">
        <v>0.2448</v>
      </c>
      <c r="BD114" s="15">
        <v>1.95</v>
      </c>
      <c r="BE114" s="15">
        <v>0.2199</v>
      </c>
      <c r="BF114" s="15">
        <v>1.438</v>
      </c>
      <c r="BG114" s="15">
        <v>0.2008</v>
      </c>
      <c r="BH114" s="15">
        <v>1.41</v>
      </c>
      <c r="BI114" s="15">
        <v>0.3537</v>
      </c>
      <c r="BJ114" s="9"/>
      <c r="BK114" s="9"/>
      <c r="BL114" s="9"/>
    </row>
    <row r="115" ht="15.75" customHeight="1">
      <c r="A115" s="57" t="s">
        <v>129</v>
      </c>
      <c r="B115" s="54" t="s">
        <v>58</v>
      </c>
      <c r="C115" s="57">
        <v>2093.0</v>
      </c>
      <c r="F115" s="2"/>
      <c r="G115" s="57">
        <v>99.7</v>
      </c>
      <c r="J115" s="39">
        <v>0.9</v>
      </c>
      <c r="K115" s="50"/>
      <c r="L115" s="50"/>
      <c r="M115" s="5"/>
      <c r="N115" s="3"/>
      <c r="U115" s="10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11"/>
      <c r="AM115" s="9"/>
      <c r="AN115" s="9"/>
      <c r="AO115" s="10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</row>
    <row r="116" ht="15.75" customHeight="1">
      <c r="A116" s="57" t="s">
        <v>129</v>
      </c>
      <c r="B116" s="54" t="s">
        <v>58</v>
      </c>
      <c r="C116" s="57">
        <v>2092.0</v>
      </c>
      <c r="F116" s="2"/>
      <c r="G116" s="57">
        <v>146.0</v>
      </c>
      <c r="J116" s="39">
        <v>0.9</v>
      </c>
      <c r="K116" s="50"/>
      <c r="L116" s="50"/>
      <c r="M116" s="5"/>
      <c r="N116" s="3"/>
      <c r="U116" s="10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11"/>
      <c r="AM116" s="9"/>
      <c r="AN116" s="9"/>
      <c r="AO116" s="10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</row>
    <row r="117" ht="15.75" customHeight="1">
      <c r="A117" s="57" t="s">
        <v>129</v>
      </c>
      <c r="B117" s="54" t="s">
        <v>58</v>
      </c>
      <c r="C117" s="57">
        <v>2091.0</v>
      </c>
      <c r="F117" s="2"/>
      <c r="G117" s="57">
        <v>120.1</v>
      </c>
      <c r="J117" s="4"/>
      <c r="K117" s="50"/>
      <c r="L117" s="50"/>
      <c r="M117" s="5"/>
      <c r="N117" s="3"/>
      <c r="U117" s="10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11"/>
      <c r="AM117" s="9"/>
      <c r="AN117" s="9"/>
      <c r="AO117" s="10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</row>
    <row r="118" ht="15.75" customHeight="1">
      <c r="A118" s="57" t="s">
        <v>129</v>
      </c>
      <c r="B118" s="54" t="s">
        <v>64</v>
      </c>
      <c r="C118" s="57">
        <v>2090.0</v>
      </c>
      <c r="F118" s="2"/>
      <c r="G118" s="57">
        <v>86.5</v>
      </c>
      <c r="J118" s="4"/>
      <c r="K118" s="50"/>
      <c r="L118" s="50"/>
      <c r="M118" s="5"/>
      <c r="N118" s="3"/>
      <c r="U118" s="10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11"/>
      <c r="AM118" s="9"/>
      <c r="AN118" s="9"/>
      <c r="AO118" s="10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</row>
    <row r="119" ht="15.75" customHeight="1">
      <c r="A119" s="57" t="s">
        <v>129</v>
      </c>
      <c r="B119" s="54" t="s">
        <v>58</v>
      </c>
      <c r="C119" s="57">
        <v>2089.0</v>
      </c>
      <c r="F119" s="2"/>
      <c r="G119" s="57">
        <v>167.0</v>
      </c>
      <c r="J119" s="39">
        <v>0.8</v>
      </c>
      <c r="K119" s="50"/>
      <c r="L119" s="50"/>
      <c r="M119" s="5"/>
      <c r="N119" s="3"/>
      <c r="U119" s="10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11"/>
      <c r="AM119" s="9"/>
      <c r="AN119" s="9"/>
      <c r="AO119" s="10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</row>
    <row r="120" ht="15.75" customHeight="1">
      <c r="A120" s="57" t="s">
        <v>129</v>
      </c>
      <c r="B120" s="54" t="s">
        <v>64</v>
      </c>
      <c r="C120" s="57">
        <v>2088.0</v>
      </c>
      <c r="F120" s="2"/>
      <c r="G120" s="57">
        <v>67.0</v>
      </c>
      <c r="J120" s="39">
        <v>1.0</v>
      </c>
      <c r="K120" s="50"/>
      <c r="L120" s="50"/>
      <c r="M120" s="5"/>
      <c r="N120" s="3"/>
      <c r="U120" s="10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11"/>
      <c r="AM120" s="9"/>
      <c r="AN120" s="9"/>
      <c r="AO120" s="10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</row>
    <row r="121" ht="15.75" customHeight="1">
      <c r="A121" s="57" t="s">
        <v>129</v>
      </c>
      <c r="B121" s="54" t="s">
        <v>64</v>
      </c>
      <c r="C121" s="57">
        <v>2087.0</v>
      </c>
      <c r="F121" s="2"/>
      <c r="G121" s="57">
        <v>73.2</v>
      </c>
      <c r="J121" s="39">
        <v>1.0</v>
      </c>
      <c r="K121" s="50"/>
      <c r="L121" s="50"/>
      <c r="M121" s="5"/>
      <c r="N121" s="3"/>
      <c r="U121" s="10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11"/>
      <c r="AM121" s="9"/>
      <c r="AN121" s="9"/>
      <c r="AO121" s="10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</row>
    <row r="122" ht="15.75" customHeight="1">
      <c r="A122" s="57" t="s">
        <v>129</v>
      </c>
      <c r="B122" s="54" t="s">
        <v>64</v>
      </c>
      <c r="C122" s="57">
        <v>2086.0</v>
      </c>
      <c r="F122" s="2"/>
      <c r="G122" s="57">
        <v>62.4</v>
      </c>
      <c r="J122" s="39">
        <v>0.8</v>
      </c>
      <c r="K122" s="50"/>
      <c r="L122" s="50"/>
      <c r="M122" s="5"/>
      <c r="N122" s="3"/>
      <c r="U122" s="10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11"/>
      <c r="AM122" s="9"/>
      <c r="AN122" s="9"/>
      <c r="AO122" s="10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</row>
    <row r="123" ht="15.75" customHeight="1">
      <c r="A123" s="57" t="s">
        <v>129</v>
      </c>
      <c r="B123" s="54" t="s">
        <v>64</v>
      </c>
      <c r="C123" s="57">
        <v>2085.0</v>
      </c>
      <c r="F123" s="2"/>
      <c r="G123" s="57">
        <v>86.3</v>
      </c>
      <c r="J123" s="4"/>
      <c r="K123" s="50"/>
      <c r="L123" s="50"/>
      <c r="M123" s="5"/>
      <c r="N123" s="3"/>
      <c r="U123" s="10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11"/>
      <c r="AM123" s="9"/>
      <c r="AN123" s="9"/>
      <c r="AO123" s="10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</row>
    <row r="124" ht="15.75" customHeight="1">
      <c r="B124" s="3"/>
      <c r="F124" s="2"/>
      <c r="J124" s="4"/>
      <c r="K124" s="50"/>
      <c r="L124" s="50"/>
      <c r="M124" s="5"/>
      <c r="N124" s="3"/>
      <c r="U124" s="10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11"/>
      <c r="AM124" s="9"/>
      <c r="AN124" s="9"/>
      <c r="AO124" s="10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</row>
    <row r="125" ht="15.75" customHeight="1">
      <c r="B125" s="3"/>
      <c r="F125" s="2"/>
      <c r="J125" s="4"/>
      <c r="K125" s="50"/>
      <c r="L125" s="50"/>
      <c r="M125" s="5"/>
      <c r="N125" s="3"/>
      <c r="U125" s="10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11"/>
      <c r="AM125" s="9"/>
      <c r="AN125" s="9"/>
      <c r="AO125" s="10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</row>
    <row r="126" ht="15.75" customHeight="1">
      <c r="B126" s="3"/>
      <c r="F126" s="2"/>
      <c r="J126" s="4"/>
      <c r="K126" s="50"/>
      <c r="L126" s="50"/>
      <c r="M126" s="5"/>
      <c r="N126" s="3"/>
      <c r="U126" s="10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11"/>
      <c r="AM126" s="9"/>
      <c r="AN126" s="9"/>
      <c r="AO126" s="10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</row>
    <row r="127" ht="15.75" customHeight="1">
      <c r="B127" s="3"/>
      <c r="F127" s="2"/>
      <c r="J127" s="4"/>
      <c r="K127" s="50"/>
      <c r="L127" s="50"/>
      <c r="M127" s="5"/>
      <c r="N127" s="3"/>
      <c r="U127" s="10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11"/>
      <c r="AM127" s="9"/>
      <c r="AN127" s="9"/>
      <c r="AO127" s="10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</row>
    <row r="128" ht="15.75" customHeight="1">
      <c r="B128" s="3"/>
      <c r="F128" s="2"/>
      <c r="J128" s="4"/>
      <c r="K128" s="50"/>
      <c r="L128" s="50"/>
      <c r="M128" s="5"/>
      <c r="N128" s="3"/>
      <c r="U128" s="10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11"/>
      <c r="AM128" s="9"/>
      <c r="AN128" s="9"/>
      <c r="AO128" s="10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</row>
    <row r="129" ht="15.75" customHeight="1">
      <c r="B129" s="3"/>
      <c r="F129" s="2"/>
      <c r="J129" s="4"/>
      <c r="K129" s="50"/>
      <c r="L129" s="50"/>
      <c r="M129" s="5"/>
      <c r="N129" s="3"/>
      <c r="U129" s="10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11"/>
      <c r="AM129" s="9"/>
      <c r="AN129" s="9"/>
      <c r="AO129" s="10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</row>
    <row r="130" ht="15.75" customHeight="1">
      <c r="B130" s="3"/>
      <c r="F130" s="2"/>
      <c r="J130" s="4"/>
      <c r="K130" s="50"/>
      <c r="L130" s="50"/>
      <c r="M130" s="5"/>
      <c r="N130" s="3"/>
      <c r="U130" s="10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11"/>
      <c r="AM130" s="9"/>
      <c r="AN130" s="9"/>
      <c r="AO130" s="10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</row>
    <row r="131" ht="15.75" customHeight="1">
      <c r="B131" s="3"/>
      <c r="F131" s="2"/>
      <c r="J131" s="4"/>
      <c r="K131" s="50"/>
      <c r="L131" s="50"/>
      <c r="M131" s="5"/>
      <c r="N131" s="3"/>
      <c r="U131" s="10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11"/>
      <c r="AM131" s="9"/>
      <c r="AN131" s="9"/>
      <c r="AO131" s="10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</row>
    <row r="132" ht="15.75" customHeight="1">
      <c r="B132" s="3"/>
      <c r="F132" s="2"/>
      <c r="J132" s="4"/>
      <c r="K132" s="50"/>
      <c r="L132" s="50"/>
      <c r="M132" s="5"/>
      <c r="N132" s="3"/>
      <c r="U132" s="10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11"/>
      <c r="AM132" s="9"/>
      <c r="AN132" s="9"/>
      <c r="AO132" s="10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</row>
    <row r="133" ht="15.75" customHeight="1">
      <c r="B133" s="3"/>
      <c r="F133" s="2"/>
      <c r="J133" s="4"/>
      <c r="K133" s="50"/>
      <c r="L133" s="50"/>
      <c r="M133" s="5"/>
      <c r="N133" s="3"/>
      <c r="U133" s="10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11"/>
      <c r="AM133" s="9"/>
      <c r="AN133" s="9"/>
      <c r="AO133" s="10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</row>
    <row r="134" ht="15.75" customHeight="1">
      <c r="B134" s="3"/>
      <c r="F134" s="2"/>
      <c r="J134" s="4"/>
      <c r="K134" s="50"/>
      <c r="L134" s="50"/>
      <c r="M134" s="5"/>
      <c r="N134" s="3"/>
      <c r="U134" s="10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11"/>
      <c r="AM134" s="9"/>
      <c r="AN134" s="9"/>
      <c r="AO134" s="10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</row>
    <row r="135" ht="15.75" customHeight="1">
      <c r="B135" s="3"/>
      <c r="F135" s="2"/>
      <c r="J135" s="4"/>
      <c r="K135" s="50"/>
      <c r="L135" s="50"/>
      <c r="M135" s="5"/>
      <c r="N135" s="3"/>
      <c r="U135" s="10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11"/>
      <c r="AM135" s="9"/>
      <c r="AN135" s="9"/>
      <c r="AO135" s="10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</row>
    <row r="136" ht="15.75" customHeight="1">
      <c r="B136" s="3"/>
      <c r="F136" s="2"/>
      <c r="J136" s="4"/>
      <c r="K136" s="50"/>
      <c r="L136" s="50"/>
      <c r="M136" s="5"/>
      <c r="N136" s="3"/>
      <c r="U136" s="10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11"/>
      <c r="AM136" s="9"/>
      <c r="AN136" s="9"/>
      <c r="AO136" s="10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</row>
    <row r="137" ht="15.75" customHeight="1">
      <c r="B137" s="3"/>
      <c r="F137" s="2"/>
      <c r="J137" s="4"/>
      <c r="K137" s="50"/>
      <c r="L137" s="50"/>
      <c r="M137" s="5"/>
      <c r="N137" s="3"/>
      <c r="U137" s="10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11"/>
      <c r="AM137" s="9"/>
      <c r="AN137" s="9"/>
      <c r="AO137" s="10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</row>
    <row r="138" ht="15.75" customHeight="1">
      <c r="B138" s="3"/>
      <c r="F138" s="2"/>
      <c r="J138" s="4"/>
      <c r="K138" s="50"/>
      <c r="L138" s="50"/>
      <c r="M138" s="5"/>
      <c r="N138" s="3"/>
      <c r="U138" s="10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11"/>
      <c r="AM138" s="9"/>
      <c r="AN138" s="9"/>
      <c r="AO138" s="10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</row>
    <row r="139" ht="15.75" customHeight="1">
      <c r="B139" s="3"/>
      <c r="F139" s="2"/>
      <c r="J139" s="4"/>
      <c r="K139" s="50"/>
      <c r="L139" s="50"/>
      <c r="M139" s="5"/>
      <c r="N139" s="3"/>
      <c r="U139" s="10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11"/>
      <c r="AM139" s="9"/>
      <c r="AN139" s="9"/>
      <c r="AO139" s="10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</row>
    <row r="140" ht="15.75" customHeight="1">
      <c r="B140" s="3"/>
      <c r="F140" s="2"/>
      <c r="J140" s="4"/>
      <c r="K140" s="50"/>
      <c r="L140" s="50"/>
      <c r="M140" s="5"/>
      <c r="N140" s="3"/>
      <c r="U140" s="10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11"/>
      <c r="AM140" s="9"/>
      <c r="AN140" s="9"/>
      <c r="AO140" s="10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</row>
    <row r="141" ht="15.75" customHeight="1">
      <c r="B141" s="3"/>
      <c r="F141" s="2"/>
      <c r="J141" s="4"/>
      <c r="K141" s="50"/>
      <c r="L141" s="50"/>
      <c r="M141" s="5"/>
      <c r="N141" s="3"/>
      <c r="U141" s="10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11"/>
      <c r="AM141" s="9"/>
      <c r="AN141" s="9"/>
      <c r="AO141" s="10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</row>
    <row r="142" ht="15.75" customHeight="1">
      <c r="B142" s="3"/>
      <c r="F142" s="2"/>
      <c r="J142" s="4"/>
      <c r="K142" s="50"/>
      <c r="L142" s="50"/>
      <c r="M142" s="5"/>
      <c r="N142" s="3"/>
      <c r="U142" s="10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11"/>
      <c r="AM142" s="9"/>
      <c r="AN142" s="9"/>
      <c r="AO142" s="10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</row>
    <row r="143" ht="15.75" customHeight="1">
      <c r="B143" s="3"/>
      <c r="F143" s="2"/>
      <c r="J143" s="4"/>
      <c r="K143" s="50"/>
      <c r="L143" s="50"/>
      <c r="M143" s="5"/>
      <c r="N143" s="3"/>
      <c r="U143" s="10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11"/>
      <c r="AM143" s="9"/>
      <c r="AN143" s="9"/>
      <c r="AO143" s="10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</row>
    <row r="144" ht="15.75" customHeight="1">
      <c r="B144" s="3"/>
      <c r="F144" s="2"/>
      <c r="J144" s="4"/>
      <c r="K144" s="50"/>
      <c r="L144" s="50"/>
      <c r="M144" s="5"/>
      <c r="N144" s="3"/>
      <c r="U144" s="10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11"/>
      <c r="AM144" s="9"/>
      <c r="AN144" s="9"/>
      <c r="AO144" s="10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</row>
    <row r="145" ht="15.75" customHeight="1">
      <c r="B145" s="3"/>
      <c r="F145" s="2"/>
      <c r="J145" s="4"/>
      <c r="K145" s="50"/>
      <c r="L145" s="50"/>
      <c r="M145" s="5"/>
      <c r="N145" s="3"/>
      <c r="U145" s="10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11"/>
      <c r="AM145" s="9"/>
      <c r="AN145" s="9"/>
      <c r="AO145" s="10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</row>
    <row r="146" ht="15.75" customHeight="1">
      <c r="B146" s="3"/>
      <c r="F146" s="2"/>
      <c r="J146" s="4"/>
      <c r="K146" s="50"/>
      <c r="L146" s="50"/>
      <c r="M146" s="5"/>
      <c r="N146" s="3"/>
      <c r="U146" s="10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11"/>
      <c r="AM146" s="9"/>
      <c r="AN146" s="9"/>
      <c r="AO146" s="10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</row>
    <row r="147" ht="15.75" customHeight="1">
      <c r="B147" s="3"/>
      <c r="F147" s="2"/>
      <c r="J147" s="4"/>
      <c r="K147" s="50"/>
      <c r="L147" s="50"/>
      <c r="M147" s="5"/>
      <c r="N147" s="3"/>
      <c r="U147" s="10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11"/>
      <c r="AM147" s="9"/>
      <c r="AN147" s="9"/>
      <c r="AO147" s="10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</row>
    <row r="148" ht="15.75" customHeight="1">
      <c r="B148" s="3"/>
      <c r="F148" s="2"/>
      <c r="J148" s="4"/>
      <c r="K148" s="50"/>
      <c r="L148" s="50"/>
      <c r="M148" s="5"/>
      <c r="N148" s="3"/>
      <c r="U148" s="10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11"/>
      <c r="AM148" s="9"/>
      <c r="AN148" s="9"/>
      <c r="AO148" s="10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</row>
    <row r="149" ht="15.75" customHeight="1">
      <c r="B149" s="3"/>
      <c r="F149" s="2"/>
      <c r="J149" s="4"/>
      <c r="K149" s="50"/>
      <c r="L149" s="50"/>
      <c r="M149" s="5"/>
      <c r="N149" s="3"/>
      <c r="U149" s="10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11"/>
      <c r="AM149" s="9"/>
      <c r="AN149" s="9"/>
      <c r="AO149" s="10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</row>
    <row r="150" ht="15.75" customHeight="1">
      <c r="B150" s="3"/>
      <c r="F150" s="2"/>
      <c r="J150" s="4"/>
      <c r="K150" s="50"/>
      <c r="L150" s="50"/>
      <c r="M150" s="5"/>
      <c r="N150" s="3"/>
      <c r="U150" s="10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11"/>
      <c r="AM150" s="9"/>
      <c r="AN150" s="9"/>
      <c r="AO150" s="10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</row>
    <row r="151" ht="15.75" customHeight="1">
      <c r="B151" s="3"/>
      <c r="F151" s="2"/>
      <c r="J151" s="4"/>
      <c r="K151" s="50"/>
      <c r="L151" s="50"/>
      <c r="M151" s="5"/>
      <c r="N151" s="3"/>
      <c r="U151" s="10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11"/>
      <c r="AM151" s="9"/>
      <c r="AN151" s="9"/>
      <c r="AO151" s="10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</row>
    <row r="152" ht="15.75" customHeight="1">
      <c r="B152" s="3"/>
      <c r="F152" s="2"/>
      <c r="J152" s="4"/>
      <c r="K152" s="50"/>
      <c r="L152" s="50"/>
      <c r="M152" s="5"/>
      <c r="N152" s="3"/>
      <c r="U152" s="10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11"/>
      <c r="AM152" s="9"/>
      <c r="AN152" s="9"/>
      <c r="AO152" s="10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</row>
    <row r="153" ht="15.75" customHeight="1">
      <c r="B153" s="3"/>
      <c r="F153" s="2"/>
      <c r="J153" s="4"/>
      <c r="K153" s="50"/>
      <c r="L153" s="50"/>
      <c r="M153" s="5"/>
      <c r="N153" s="3"/>
      <c r="U153" s="10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11"/>
      <c r="AM153" s="9"/>
      <c r="AN153" s="9"/>
      <c r="AO153" s="10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</row>
    <row r="154" ht="15.75" customHeight="1">
      <c r="B154" s="3"/>
      <c r="F154" s="2"/>
      <c r="J154" s="4"/>
      <c r="K154" s="50"/>
      <c r="L154" s="50"/>
      <c r="M154" s="5"/>
      <c r="N154" s="3"/>
      <c r="U154" s="10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11"/>
      <c r="AM154" s="9"/>
      <c r="AN154" s="9"/>
      <c r="AO154" s="10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</row>
    <row r="155" ht="15.75" customHeight="1">
      <c r="B155" s="3"/>
      <c r="F155" s="2"/>
      <c r="J155" s="4"/>
      <c r="K155" s="50"/>
      <c r="L155" s="50"/>
      <c r="M155" s="5"/>
      <c r="N155" s="3"/>
      <c r="U155" s="10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11"/>
      <c r="AM155" s="9"/>
      <c r="AN155" s="9"/>
      <c r="AO155" s="10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</row>
    <row r="156" ht="15.75" customHeight="1">
      <c r="B156" s="3"/>
      <c r="F156" s="2"/>
      <c r="J156" s="4"/>
      <c r="K156" s="50"/>
      <c r="L156" s="50"/>
      <c r="M156" s="5"/>
      <c r="N156" s="3"/>
      <c r="U156" s="10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11"/>
      <c r="AM156" s="9"/>
      <c r="AN156" s="9"/>
      <c r="AO156" s="10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</row>
    <row r="157" ht="15.75" customHeight="1">
      <c r="B157" s="3"/>
      <c r="F157" s="2"/>
      <c r="J157" s="4"/>
      <c r="K157" s="50"/>
      <c r="L157" s="50"/>
      <c r="M157" s="5"/>
      <c r="N157" s="3"/>
      <c r="U157" s="10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11"/>
      <c r="AM157" s="9"/>
      <c r="AN157" s="9"/>
      <c r="AO157" s="10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</row>
    <row r="158" ht="15.75" customHeight="1">
      <c r="B158" s="3"/>
      <c r="F158" s="2"/>
      <c r="J158" s="4"/>
      <c r="K158" s="50"/>
      <c r="L158" s="50"/>
      <c r="M158" s="5"/>
      <c r="N158" s="3"/>
      <c r="U158" s="10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11"/>
      <c r="AM158" s="9"/>
      <c r="AN158" s="9"/>
      <c r="AO158" s="10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</row>
    <row r="159" ht="15.75" customHeight="1">
      <c r="B159" s="3"/>
      <c r="F159" s="2"/>
      <c r="J159" s="4"/>
      <c r="K159" s="50"/>
      <c r="L159" s="50"/>
      <c r="M159" s="5"/>
      <c r="N159" s="3"/>
      <c r="U159" s="10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11"/>
      <c r="AM159" s="9"/>
      <c r="AN159" s="9"/>
      <c r="AO159" s="10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</row>
    <row r="160" ht="15.75" customHeight="1">
      <c r="B160" s="3"/>
      <c r="F160" s="2"/>
      <c r="J160" s="4"/>
      <c r="K160" s="50"/>
      <c r="L160" s="50"/>
      <c r="M160" s="5"/>
      <c r="N160" s="3"/>
      <c r="U160" s="10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11"/>
      <c r="AM160" s="9"/>
      <c r="AN160" s="9"/>
      <c r="AO160" s="10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</row>
    <row r="161" ht="15.75" customHeight="1">
      <c r="B161" s="3"/>
      <c r="F161" s="2"/>
      <c r="J161" s="4"/>
      <c r="K161" s="50"/>
      <c r="L161" s="50"/>
      <c r="M161" s="5"/>
      <c r="N161" s="3"/>
      <c r="U161" s="10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11"/>
      <c r="AM161" s="9"/>
      <c r="AN161" s="9"/>
      <c r="AO161" s="10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</row>
    <row r="162" ht="15.75" customHeight="1">
      <c r="B162" s="3"/>
      <c r="F162" s="2"/>
      <c r="J162" s="4"/>
      <c r="K162" s="50"/>
      <c r="L162" s="50"/>
      <c r="M162" s="5"/>
      <c r="N162" s="3"/>
      <c r="U162" s="10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11"/>
      <c r="AM162" s="9"/>
      <c r="AN162" s="9"/>
      <c r="AO162" s="10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</row>
    <row r="163" ht="15.75" customHeight="1">
      <c r="B163" s="3"/>
      <c r="F163" s="2"/>
      <c r="J163" s="4"/>
      <c r="K163" s="50"/>
      <c r="L163" s="50"/>
      <c r="M163" s="5"/>
      <c r="N163" s="3"/>
      <c r="U163" s="10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11"/>
      <c r="AM163" s="9"/>
      <c r="AN163" s="9"/>
      <c r="AO163" s="10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</row>
    <row r="164" ht="15.75" customHeight="1">
      <c r="B164" s="3"/>
      <c r="F164" s="2"/>
      <c r="J164" s="4"/>
      <c r="K164" s="50"/>
      <c r="L164" s="50"/>
      <c r="M164" s="5"/>
      <c r="N164" s="3"/>
      <c r="U164" s="10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11"/>
      <c r="AM164" s="9"/>
      <c r="AN164" s="9"/>
      <c r="AO164" s="10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</row>
    <row r="165" ht="15.75" customHeight="1">
      <c r="B165" s="3"/>
      <c r="F165" s="2"/>
      <c r="J165" s="4"/>
      <c r="K165" s="50"/>
      <c r="L165" s="50"/>
      <c r="M165" s="5"/>
      <c r="N165" s="3"/>
      <c r="U165" s="10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11"/>
      <c r="AM165" s="9"/>
      <c r="AN165" s="9"/>
      <c r="AO165" s="10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</row>
    <row r="166" ht="15.75" customHeight="1">
      <c r="B166" s="3"/>
      <c r="F166" s="2"/>
      <c r="J166" s="4"/>
      <c r="K166" s="50"/>
      <c r="L166" s="50"/>
      <c r="M166" s="5"/>
      <c r="N166" s="3"/>
      <c r="U166" s="10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11"/>
      <c r="AM166" s="9"/>
      <c r="AN166" s="9"/>
      <c r="AO166" s="10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</row>
    <row r="167" ht="15.75" customHeight="1">
      <c r="B167" s="3"/>
      <c r="F167" s="2"/>
      <c r="J167" s="4"/>
      <c r="K167" s="50"/>
      <c r="L167" s="50"/>
      <c r="M167" s="5"/>
      <c r="N167" s="3"/>
      <c r="U167" s="10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11"/>
      <c r="AM167" s="9"/>
      <c r="AN167" s="9"/>
      <c r="AO167" s="10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</row>
    <row r="168" ht="15.75" customHeight="1">
      <c r="B168" s="3"/>
      <c r="F168" s="2"/>
      <c r="J168" s="4"/>
      <c r="K168" s="50"/>
      <c r="L168" s="50"/>
      <c r="M168" s="5"/>
      <c r="N168" s="3"/>
      <c r="U168" s="10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11"/>
      <c r="AM168" s="9"/>
      <c r="AN168" s="9"/>
      <c r="AO168" s="10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</row>
    <row r="169" ht="15.75" customHeight="1">
      <c r="B169" s="3"/>
      <c r="F169" s="2"/>
      <c r="J169" s="4"/>
      <c r="K169" s="50"/>
      <c r="L169" s="50"/>
      <c r="M169" s="5"/>
      <c r="N169" s="3"/>
      <c r="U169" s="10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11"/>
      <c r="AM169" s="9"/>
      <c r="AN169" s="9"/>
      <c r="AO169" s="10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</row>
    <row r="170" ht="15.75" customHeight="1">
      <c r="B170" s="3"/>
      <c r="F170" s="2"/>
      <c r="J170" s="4"/>
      <c r="K170" s="50"/>
      <c r="L170" s="50"/>
      <c r="M170" s="5"/>
      <c r="N170" s="3"/>
      <c r="U170" s="10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11"/>
      <c r="AM170" s="9"/>
      <c r="AN170" s="9"/>
      <c r="AO170" s="10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</row>
    <row r="171" ht="15.75" customHeight="1">
      <c r="B171" s="3"/>
      <c r="F171" s="2"/>
      <c r="J171" s="4"/>
      <c r="K171" s="50"/>
      <c r="L171" s="50"/>
      <c r="M171" s="5"/>
      <c r="N171" s="3"/>
      <c r="U171" s="10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11"/>
      <c r="AM171" s="9"/>
      <c r="AN171" s="9"/>
      <c r="AO171" s="10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</row>
    <row r="172" ht="15.75" customHeight="1">
      <c r="B172" s="3"/>
      <c r="F172" s="2"/>
      <c r="J172" s="4"/>
      <c r="K172" s="50"/>
      <c r="L172" s="50"/>
      <c r="M172" s="5"/>
      <c r="N172" s="3"/>
      <c r="U172" s="10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11"/>
      <c r="AM172" s="9"/>
      <c r="AN172" s="9"/>
      <c r="AO172" s="10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</row>
    <row r="173" ht="15.75" customHeight="1">
      <c r="B173" s="3"/>
      <c r="F173" s="2"/>
      <c r="J173" s="4"/>
      <c r="K173" s="50"/>
      <c r="L173" s="50"/>
      <c r="M173" s="5"/>
      <c r="N173" s="3"/>
      <c r="U173" s="10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11"/>
      <c r="AM173" s="9"/>
      <c r="AN173" s="9"/>
      <c r="AO173" s="10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</row>
    <row r="174" ht="15.75" customHeight="1">
      <c r="B174" s="3"/>
      <c r="F174" s="2"/>
      <c r="J174" s="4"/>
      <c r="K174" s="50"/>
      <c r="L174" s="50"/>
      <c r="M174" s="5"/>
      <c r="N174" s="3"/>
      <c r="U174" s="10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11"/>
      <c r="AM174" s="9"/>
      <c r="AN174" s="9"/>
      <c r="AO174" s="10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</row>
    <row r="175" ht="15.75" customHeight="1">
      <c r="B175" s="3"/>
      <c r="F175" s="2"/>
      <c r="J175" s="4"/>
      <c r="K175" s="50"/>
      <c r="L175" s="50"/>
      <c r="M175" s="5"/>
      <c r="N175" s="3"/>
      <c r="U175" s="10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11"/>
      <c r="AM175" s="9"/>
      <c r="AN175" s="9"/>
      <c r="AO175" s="10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</row>
    <row r="176" ht="15.75" customHeight="1">
      <c r="B176" s="3"/>
      <c r="F176" s="2"/>
      <c r="J176" s="4"/>
      <c r="K176" s="50"/>
      <c r="L176" s="50"/>
      <c r="M176" s="5"/>
      <c r="N176" s="3"/>
      <c r="U176" s="10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11"/>
      <c r="AM176" s="9"/>
      <c r="AN176" s="9"/>
      <c r="AO176" s="10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</row>
    <row r="177" ht="15.75" customHeight="1">
      <c r="B177" s="3"/>
      <c r="F177" s="2"/>
      <c r="J177" s="4"/>
      <c r="K177" s="50"/>
      <c r="L177" s="50"/>
      <c r="M177" s="5"/>
      <c r="N177" s="3"/>
      <c r="U177" s="10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11"/>
      <c r="AM177" s="9"/>
      <c r="AN177" s="9"/>
      <c r="AO177" s="10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</row>
    <row r="178" ht="15.75" customHeight="1">
      <c r="B178" s="3"/>
      <c r="F178" s="2"/>
      <c r="J178" s="4"/>
      <c r="K178" s="50"/>
      <c r="L178" s="50"/>
      <c r="M178" s="5"/>
      <c r="N178" s="3"/>
      <c r="U178" s="10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11"/>
      <c r="AM178" s="9"/>
      <c r="AN178" s="9"/>
      <c r="AO178" s="10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</row>
    <row r="179" ht="15.75" customHeight="1">
      <c r="B179" s="3"/>
      <c r="F179" s="2"/>
      <c r="J179" s="4"/>
      <c r="K179" s="50"/>
      <c r="L179" s="50"/>
      <c r="M179" s="5"/>
      <c r="N179" s="3"/>
      <c r="U179" s="10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11"/>
      <c r="AM179" s="9"/>
      <c r="AN179" s="9"/>
      <c r="AO179" s="10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</row>
    <row r="180" ht="15.75" customHeight="1">
      <c r="B180" s="3"/>
      <c r="F180" s="2"/>
      <c r="J180" s="4"/>
      <c r="K180" s="50"/>
      <c r="L180" s="50"/>
      <c r="M180" s="5"/>
      <c r="N180" s="3"/>
      <c r="U180" s="10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11"/>
      <c r="AM180" s="9"/>
      <c r="AN180" s="9"/>
      <c r="AO180" s="10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</row>
    <row r="181" ht="15.75" customHeight="1">
      <c r="B181" s="3"/>
      <c r="F181" s="2"/>
      <c r="J181" s="4"/>
      <c r="K181" s="50"/>
      <c r="L181" s="50"/>
      <c r="M181" s="5"/>
      <c r="N181" s="3"/>
      <c r="U181" s="10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11"/>
      <c r="AM181" s="9"/>
      <c r="AN181" s="9"/>
      <c r="AO181" s="10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</row>
    <row r="182" ht="15.75" customHeight="1">
      <c r="B182" s="3"/>
      <c r="F182" s="2"/>
      <c r="J182" s="4"/>
      <c r="K182" s="50"/>
      <c r="L182" s="50"/>
      <c r="M182" s="5"/>
      <c r="N182" s="3"/>
      <c r="U182" s="10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11"/>
      <c r="AM182" s="9"/>
      <c r="AN182" s="9"/>
      <c r="AO182" s="10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</row>
    <row r="183" ht="15.75" customHeight="1">
      <c r="B183" s="3"/>
      <c r="F183" s="2"/>
      <c r="J183" s="4"/>
      <c r="K183" s="50"/>
      <c r="L183" s="50"/>
      <c r="M183" s="5"/>
      <c r="N183" s="3"/>
      <c r="U183" s="10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11"/>
      <c r="AM183" s="9"/>
      <c r="AN183" s="9"/>
      <c r="AO183" s="10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</row>
    <row r="184" ht="15.75" customHeight="1">
      <c r="B184" s="3"/>
      <c r="F184" s="2"/>
      <c r="J184" s="4"/>
      <c r="K184" s="50"/>
      <c r="L184" s="50"/>
      <c r="M184" s="5"/>
      <c r="N184" s="3"/>
      <c r="U184" s="10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11"/>
      <c r="AM184" s="9"/>
      <c r="AN184" s="9"/>
      <c r="AO184" s="10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</row>
    <row r="185" ht="15.75" customHeight="1">
      <c r="B185" s="3"/>
      <c r="F185" s="2"/>
      <c r="J185" s="4"/>
      <c r="K185" s="50"/>
      <c r="L185" s="50"/>
      <c r="M185" s="5"/>
      <c r="N185" s="3"/>
      <c r="U185" s="10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11"/>
      <c r="AM185" s="9"/>
      <c r="AN185" s="9"/>
      <c r="AO185" s="10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</row>
    <row r="186" ht="15.75" customHeight="1">
      <c r="B186" s="3"/>
      <c r="F186" s="2"/>
      <c r="J186" s="4"/>
      <c r="K186" s="50"/>
      <c r="L186" s="50"/>
      <c r="M186" s="5"/>
      <c r="N186" s="3"/>
      <c r="U186" s="10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11"/>
      <c r="AM186" s="9"/>
      <c r="AN186" s="9"/>
      <c r="AO186" s="10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</row>
    <row r="187" ht="15.75" customHeight="1">
      <c r="B187" s="3"/>
      <c r="F187" s="2"/>
      <c r="J187" s="4"/>
      <c r="K187" s="50"/>
      <c r="L187" s="50"/>
      <c r="M187" s="5"/>
      <c r="N187" s="3"/>
      <c r="U187" s="10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11"/>
      <c r="AM187" s="9"/>
      <c r="AN187" s="9"/>
      <c r="AO187" s="10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</row>
    <row r="188" ht="15.75" customHeight="1">
      <c r="B188" s="3"/>
      <c r="F188" s="2"/>
      <c r="J188" s="4"/>
      <c r="K188" s="50"/>
      <c r="L188" s="50"/>
      <c r="M188" s="5"/>
      <c r="N188" s="3"/>
      <c r="U188" s="10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11"/>
      <c r="AM188" s="9"/>
      <c r="AN188" s="9"/>
      <c r="AO188" s="10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</row>
    <row r="189" ht="15.75" customHeight="1">
      <c r="B189" s="3"/>
      <c r="F189" s="2"/>
      <c r="J189" s="4"/>
      <c r="K189" s="50"/>
      <c r="L189" s="50"/>
      <c r="M189" s="5"/>
      <c r="N189" s="3"/>
      <c r="U189" s="10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11"/>
      <c r="AM189" s="9"/>
      <c r="AN189" s="9"/>
      <c r="AO189" s="10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</row>
    <row r="190" ht="15.75" customHeight="1">
      <c r="B190" s="3"/>
      <c r="F190" s="2"/>
      <c r="J190" s="4"/>
      <c r="K190" s="50"/>
      <c r="L190" s="50"/>
      <c r="M190" s="5"/>
      <c r="N190" s="3"/>
      <c r="U190" s="10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11"/>
      <c r="AM190" s="9"/>
      <c r="AN190" s="9"/>
      <c r="AO190" s="10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</row>
    <row r="191" ht="15.75" customHeight="1">
      <c r="B191" s="3"/>
      <c r="F191" s="2"/>
      <c r="J191" s="4"/>
      <c r="K191" s="50"/>
      <c r="L191" s="50"/>
      <c r="M191" s="5"/>
      <c r="N191" s="3"/>
      <c r="U191" s="10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11"/>
      <c r="AM191" s="9"/>
      <c r="AN191" s="9"/>
      <c r="AO191" s="10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</row>
    <row r="192" ht="15.75" customHeight="1">
      <c r="B192" s="3"/>
      <c r="F192" s="2"/>
      <c r="J192" s="4"/>
      <c r="K192" s="50"/>
      <c r="L192" s="50"/>
      <c r="M192" s="5"/>
      <c r="N192" s="3"/>
      <c r="U192" s="10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11"/>
      <c r="AM192" s="9"/>
      <c r="AN192" s="9"/>
      <c r="AO192" s="10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</row>
    <row r="193" ht="15.75" customHeight="1">
      <c r="B193" s="3"/>
      <c r="F193" s="2"/>
      <c r="J193" s="4"/>
      <c r="K193" s="50"/>
      <c r="L193" s="50"/>
      <c r="M193" s="5"/>
      <c r="N193" s="3"/>
      <c r="U193" s="10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11"/>
      <c r="AM193" s="9"/>
      <c r="AN193" s="9"/>
      <c r="AO193" s="10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</row>
    <row r="194" ht="15.75" customHeight="1">
      <c r="B194" s="3"/>
      <c r="F194" s="2"/>
      <c r="J194" s="4"/>
      <c r="K194" s="50"/>
      <c r="L194" s="50"/>
      <c r="M194" s="5"/>
      <c r="N194" s="3"/>
      <c r="U194" s="10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11"/>
      <c r="AM194" s="9"/>
      <c r="AN194" s="9"/>
      <c r="AO194" s="10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</row>
    <row r="195" ht="15.75" customHeight="1">
      <c r="B195" s="3"/>
      <c r="F195" s="2"/>
      <c r="J195" s="4"/>
      <c r="K195" s="50"/>
      <c r="L195" s="50"/>
      <c r="M195" s="5"/>
      <c r="N195" s="3"/>
      <c r="U195" s="10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11"/>
      <c r="AM195" s="9"/>
      <c r="AN195" s="9"/>
      <c r="AO195" s="10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</row>
    <row r="196" ht="15.75" customHeight="1">
      <c r="B196" s="3"/>
      <c r="F196" s="2"/>
      <c r="J196" s="4"/>
      <c r="K196" s="50"/>
      <c r="L196" s="50"/>
      <c r="M196" s="5"/>
      <c r="N196" s="3"/>
      <c r="U196" s="10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11"/>
      <c r="AM196" s="9"/>
      <c r="AN196" s="9"/>
      <c r="AO196" s="10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</row>
    <row r="197" ht="15.75" customHeight="1">
      <c r="B197" s="3"/>
      <c r="F197" s="2"/>
      <c r="J197" s="4"/>
      <c r="K197" s="50"/>
      <c r="L197" s="50"/>
      <c r="M197" s="5"/>
      <c r="N197" s="3"/>
      <c r="U197" s="10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11"/>
      <c r="AM197" s="9"/>
      <c r="AN197" s="9"/>
      <c r="AO197" s="10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</row>
    <row r="198" ht="15.75" customHeight="1">
      <c r="B198" s="3"/>
      <c r="F198" s="2"/>
      <c r="J198" s="4"/>
      <c r="K198" s="50"/>
      <c r="L198" s="50"/>
      <c r="M198" s="5"/>
      <c r="N198" s="3"/>
      <c r="U198" s="10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11"/>
      <c r="AM198" s="9"/>
      <c r="AN198" s="9"/>
      <c r="AO198" s="10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</row>
    <row r="199" ht="15.75" customHeight="1">
      <c r="B199" s="3"/>
      <c r="F199" s="2"/>
      <c r="J199" s="4"/>
      <c r="K199" s="50"/>
      <c r="L199" s="50"/>
      <c r="M199" s="5"/>
      <c r="N199" s="3"/>
      <c r="U199" s="10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11"/>
      <c r="AM199" s="9"/>
      <c r="AN199" s="9"/>
      <c r="AO199" s="10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</row>
    <row r="200" ht="15.75" customHeight="1">
      <c r="B200" s="3"/>
      <c r="F200" s="2"/>
      <c r="J200" s="4"/>
      <c r="K200" s="50"/>
      <c r="L200" s="50"/>
      <c r="M200" s="5"/>
      <c r="N200" s="3"/>
      <c r="U200" s="10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11"/>
      <c r="AM200" s="9"/>
      <c r="AN200" s="9"/>
      <c r="AO200" s="10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</row>
    <row r="201" ht="15.75" customHeight="1">
      <c r="B201" s="3"/>
      <c r="F201" s="2"/>
      <c r="J201" s="4"/>
      <c r="K201" s="50"/>
      <c r="L201" s="50"/>
      <c r="M201" s="5"/>
      <c r="N201" s="3"/>
      <c r="U201" s="10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11"/>
      <c r="AM201" s="9"/>
      <c r="AN201" s="9"/>
      <c r="AO201" s="10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</row>
    <row r="202" ht="15.75" customHeight="1">
      <c r="B202" s="3"/>
      <c r="F202" s="2"/>
      <c r="J202" s="4"/>
      <c r="K202" s="50"/>
      <c r="L202" s="50"/>
      <c r="M202" s="5"/>
      <c r="N202" s="3"/>
      <c r="U202" s="10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11"/>
      <c r="AM202" s="9"/>
      <c r="AN202" s="9"/>
      <c r="AO202" s="10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</row>
    <row r="203" ht="15.75" customHeight="1">
      <c r="B203" s="3"/>
      <c r="F203" s="2"/>
      <c r="J203" s="4"/>
      <c r="K203" s="50"/>
      <c r="L203" s="50"/>
      <c r="M203" s="5"/>
      <c r="N203" s="3"/>
      <c r="U203" s="10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11"/>
      <c r="AM203" s="9"/>
      <c r="AN203" s="9"/>
      <c r="AO203" s="10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</row>
    <row r="204" ht="15.75" customHeight="1">
      <c r="B204" s="3"/>
      <c r="F204" s="2"/>
      <c r="J204" s="4"/>
      <c r="K204" s="50"/>
      <c r="L204" s="50"/>
      <c r="M204" s="5"/>
      <c r="N204" s="3"/>
      <c r="U204" s="10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11"/>
      <c r="AM204" s="9"/>
      <c r="AN204" s="9"/>
      <c r="AO204" s="10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</row>
    <row r="205" ht="15.75" customHeight="1">
      <c r="B205" s="3"/>
      <c r="F205" s="2"/>
      <c r="J205" s="4"/>
      <c r="K205" s="50"/>
      <c r="L205" s="50"/>
      <c r="M205" s="5"/>
      <c r="N205" s="3"/>
      <c r="U205" s="10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11"/>
      <c r="AM205" s="9"/>
      <c r="AN205" s="9"/>
      <c r="AO205" s="10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</row>
    <row r="206" ht="15.75" customHeight="1">
      <c r="B206" s="3"/>
      <c r="F206" s="2"/>
      <c r="J206" s="4"/>
      <c r="K206" s="50"/>
      <c r="L206" s="50"/>
      <c r="M206" s="5"/>
      <c r="N206" s="3"/>
      <c r="U206" s="10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11"/>
      <c r="AM206" s="9"/>
      <c r="AN206" s="9"/>
      <c r="AO206" s="10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</row>
    <row r="207" ht="15.75" customHeight="1">
      <c r="B207" s="3"/>
      <c r="F207" s="2"/>
      <c r="J207" s="4"/>
      <c r="K207" s="50"/>
      <c r="L207" s="50"/>
      <c r="M207" s="5"/>
      <c r="N207" s="3"/>
      <c r="U207" s="10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11"/>
      <c r="AM207" s="9"/>
      <c r="AN207" s="9"/>
      <c r="AO207" s="10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</row>
    <row r="208" ht="15.75" customHeight="1">
      <c r="B208" s="3"/>
      <c r="F208" s="2"/>
      <c r="J208" s="4"/>
      <c r="K208" s="50"/>
      <c r="L208" s="50"/>
      <c r="M208" s="5"/>
      <c r="N208" s="3"/>
      <c r="U208" s="10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11"/>
      <c r="AM208" s="9"/>
      <c r="AN208" s="9"/>
      <c r="AO208" s="10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</row>
    <row r="209" ht="15.75" customHeight="1">
      <c r="B209" s="3"/>
      <c r="F209" s="2"/>
      <c r="J209" s="4"/>
      <c r="K209" s="50"/>
      <c r="L209" s="50"/>
      <c r="M209" s="5"/>
      <c r="N209" s="3"/>
      <c r="U209" s="10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11"/>
      <c r="AM209" s="9"/>
      <c r="AN209" s="9"/>
      <c r="AO209" s="10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</row>
    <row r="210" ht="15.75" customHeight="1">
      <c r="B210" s="3"/>
      <c r="F210" s="2"/>
      <c r="J210" s="4"/>
      <c r="K210" s="50"/>
      <c r="L210" s="50"/>
      <c r="M210" s="5"/>
      <c r="N210" s="3"/>
      <c r="U210" s="10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11"/>
      <c r="AM210" s="9"/>
      <c r="AN210" s="9"/>
      <c r="AO210" s="10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</row>
    <row r="211" ht="15.75" customHeight="1">
      <c r="B211" s="3"/>
      <c r="F211" s="2"/>
      <c r="J211" s="4"/>
      <c r="K211" s="50"/>
      <c r="L211" s="50"/>
      <c r="M211" s="5"/>
      <c r="N211" s="3"/>
      <c r="U211" s="10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11"/>
      <c r="AM211" s="9"/>
      <c r="AN211" s="9"/>
      <c r="AO211" s="10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</row>
    <row r="212" ht="15.75" customHeight="1">
      <c r="B212" s="3"/>
      <c r="F212" s="2"/>
      <c r="J212" s="4"/>
      <c r="K212" s="50"/>
      <c r="L212" s="50"/>
      <c r="M212" s="5"/>
      <c r="N212" s="3"/>
      <c r="U212" s="10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11"/>
      <c r="AM212" s="9"/>
      <c r="AN212" s="9"/>
      <c r="AO212" s="10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</row>
    <row r="213" ht="15.75" customHeight="1">
      <c r="B213" s="3"/>
      <c r="F213" s="2"/>
      <c r="J213" s="4"/>
      <c r="K213" s="50"/>
      <c r="L213" s="50"/>
      <c r="M213" s="5"/>
      <c r="N213" s="3"/>
      <c r="U213" s="10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11"/>
      <c r="AM213" s="9"/>
      <c r="AN213" s="9"/>
      <c r="AO213" s="10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</row>
    <row r="214" ht="15.75" customHeight="1">
      <c r="B214" s="3"/>
      <c r="F214" s="2"/>
      <c r="J214" s="4"/>
      <c r="K214" s="50"/>
      <c r="L214" s="50"/>
      <c r="M214" s="5"/>
      <c r="N214" s="3"/>
      <c r="U214" s="10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11"/>
      <c r="AM214" s="9"/>
      <c r="AN214" s="9"/>
      <c r="AO214" s="10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</row>
    <row r="215" ht="15.75" customHeight="1">
      <c r="B215" s="3"/>
      <c r="F215" s="2"/>
      <c r="J215" s="4"/>
      <c r="K215" s="50"/>
      <c r="L215" s="50"/>
      <c r="M215" s="5"/>
      <c r="N215" s="3"/>
      <c r="U215" s="10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11"/>
      <c r="AM215" s="9"/>
      <c r="AN215" s="9"/>
      <c r="AO215" s="10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</row>
    <row r="216" ht="15.75" customHeight="1">
      <c r="B216" s="3"/>
      <c r="F216" s="2"/>
      <c r="J216" s="4"/>
      <c r="K216" s="50"/>
      <c r="L216" s="50"/>
      <c r="M216" s="5"/>
      <c r="N216" s="3"/>
      <c r="U216" s="10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11"/>
      <c r="AM216" s="9"/>
      <c r="AN216" s="9"/>
      <c r="AO216" s="10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</row>
    <row r="217" ht="15.75" customHeight="1">
      <c r="B217" s="3"/>
      <c r="F217" s="2"/>
      <c r="J217" s="4"/>
      <c r="K217" s="50"/>
      <c r="L217" s="50"/>
      <c r="M217" s="5"/>
      <c r="N217" s="3"/>
      <c r="U217" s="10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11"/>
      <c r="AM217" s="9"/>
      <c r="AN217" s="9"/>
      <c r="AO217" s="10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</row>
    <row r="218" ht="15.75" customHeight="1">
      <c r="B218" s="3"/>
      <c r="F218" s="2"/>
      <c r="J218" s="4"/>
      <c r="K218" s="50"/>
      <c r="L218" s="50"/>
      <c r="M218" s="5"/>
      <c r="N218" s="3"/>
      <c r="U218" s="10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11"/>
      <c r="AM218" s="9"/>
      <c r="AN218" s="9"/>
      <c r="AO218" s="10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</row>
    <row r="219" ht="15.75" customHeight="1">
      <c r="B219" s="3"/>
      <c r="F219" s="2"/>
      <c r="J219" s="4"/>
      <c r="K219" s="50"/>
      <c r="L219" s="50"/>
      <c r="M219" s="5"/>
      <c r="N219" s="3"/>
      <c r="U219" s="10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11"/>
      <c r="AM219" s="9"/>
      <c r="AN219" s="9"/>
      <c r="AO219" s="10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</row>
    <row r="220" ht="15.75" customHeight="1">
      <c r="B220" s="3"/>
      <c r="F220" s="2"/>
      <c r="J220" s="4"/>
      <c r="K220" s="50"/>
      <c r="L220" s="50"/>
      <c r="M220" s="5"/>
      <c r="N220" s="3"/>
      <c r="U220" s="10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11"/>
      <c r="AM220" s="9"/>
      <c r="AN220" s="9"/>
      <c r="AO220" s="10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</row>
    <row r="221" ht="15.75" customHeight="1">
      <c r="B221" s="3"/>
      <c r="F221" s="2"/>
      <c r="J221" s="4"/>
      <c r="K221" s="50"/>
      <c r="L221" s="50"/>
      <c r="M221" s="5"/>
      <c r="N221" s="3"/>
      <c r="U221" s="10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11"/>
      <c r="AM221" s="9"/>
      <c r="AN221" s="9"/>
      <c r="AO221" s="10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</row>
    <row r="222" ht="15.75" customHeight="1">
      <c r="B222" s="3"/>
      <c r="F222" s="2"/>
      <c r="J222" s="4"/>
      <c r="K222" s="50"/>
      <c r="L222" s="50"/>
      <c r="M222" s="5"/>
      <c r="N222" s="3"/>
      <c r="U222" s="10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11"/>
      <c r="AM222" s="9"/>
      <c r="AN222" s="9"/>
      <c r="AO222" s="10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</row>
    <row r="223" ht="15.75" customHeight="1">
      <c r="B223" s="3"/>
      <c r="F223" s="2"/>
      <c r="J223" s="4"/>
      <c r="K223" s="50"/>
      <c r="L223" s="50"/>
      <c r="M223" s="5"/>
      <c r="N223" s="3"/>
      <c r="U223" s="10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11"/>
      <c r="AM223" s="9"/>
      <c r="AN223" s="9"/>
      <c r="AO223" s="10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</row>
    <row r="224" ht="15.75" customHeight="1">
      <c r="B224" s="3"/>
      <c r="F224" s="2"/>
      <c r="J224" s="4"/>
      <c r="K224" s="50"/>
      <c r="L224" s="50"/>
      <c r="M224" s="5"/>
      <c r="N224" s="3"/>
      <c r="U224" s="10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11"/>
      <c r="AM224" s="9"/>
      <c r="AN224" s="9"/>
      <c r="AO224" s="10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</row>
    <row r="225" ht="15.75" customHeight="1">
      <c r="B225" s="3"/>
      <c r="F225" s="2"/>
      <c r="J225" s="4"/>
      <c r="K225" s="50"/>
      <c r="L225" s="50"/>
      <c r="M225" s="5"/>
      <c r="N225" s="3"/>
      <c r="U225" s="10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11"/>
      <c r="AM225" s="9"/>
      <c r="AN225" s="9"/>
      <c r="AO225" s="10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</row>
    <row r="226" ht="15.75" customHeight="1">
      <c r="B226" s="3"/>
      <c r="F226" s="2"/>
      <c r="J226" s="4"/>
      <c r="K226" s="50"/>
      <c r="L226" s="50"/>
      <c r="M226" s="5"/>
      <c r="N226" s="3"/>
      <c r="U226" s="10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11"/>
      <c r="AM226" s="9"/>
      <c r="AN226" s="9"/>
      <c r="AO226" s="10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</row>
    <row r="227" ht="15.75" customHeight="1">
      <c r="B227" s="3"/>
      <c r="F227" s="2"/>
      <c r="J227" s="4"/>
      <c r="K227" s="50"/>
      <c r="L227" s="50"/>
      <c r="M227" s="5"/>
      <c r="N227" s="3"/>
      <c r="U227" s="10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11"/>
      <c r="AM227" s="9"/>
      <c r="AN227" s="9"/>
      <c r="AO227" s="10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</row>
    <row r="228" ht="15.75" customHeight="1">
      <c r="B228" s="3"/>
      <c r="F228" s="2"/>
      <c r="J228" s="4"/>
      <c r="K228" s="50"/>
      <c r="L228" s="50"/>
      <c r="M228" s="5"/>
      <c r="N228" s="3"/>
      <c r="U228" s="10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11"/>
      <c r="AM228" s="9"/>
      <c r="AN228" s="9"/>
      <c r="AO228" s="10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</row>
    <row r="229" ht="15.75" customHeight="1">
      <c r="B229" s="3"/>
      <c r="F229" s="2"/>
      <c r="J229" s="4"/>
      <c r="K229" s="50"/>
      <c r="L229" s="50"/>
      <c r="M229" s="5"/>
      <c r="N229" s="3"/>
      <c r="U229" s="10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11"/>
      <c r="AM229" s="9"/>
      <c r="AN229" s="9"/>
      <c r="AO229" s="10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</row>
    <row r="230" ht="15.75" customHeight="1">
      <c r="B230" s="3"/>
      <c r="F230" s="2"/>
      <c r="J230" s="4"/>
      <c r="K230" s="50"/>
      <c r="L230" s="50"/>
      <c r="M230" s="5"/>
      <c r="N230" s="3"/>
      <c r="U230" s="10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11"/>
      <c r="AM230" s="9"/>
      <c r="AN230" s="9"/>
      <c r="AO230" s="10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</row>
    <row r="231" ht="15.75" customHeight="1">
      <c r="B231" s="3"/>
      <c r="F231" s="2"/>
      <c r="J231" s="4"/>
      <c r="K231" s="50"/>
      <c r="L231" s="50"/>
      <c r="M231" s="5"/>
      <c r="N231" s="3"/>
      <c r="U231" s="10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11"/>
      <c r="AM231" s="9"/>
      <c r="AN231" s="9"/>
      <c r="AO231" s="10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</row>
    <row r="232" ht="15.75" customHeight="1">
      <c r="B232" s="3"/>
      <c r="F232" s="2"/>
      <c r="J232" s="4"/>
      <c r="K232" s="50"/>
      <c r="L232" s="50"/>
      <c r="M232" s="5"/>
      <c r="N232" s="3"/>
      <c r="U232" s="10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11"/>
      <c r="AM232" s="9"/>
      <c r="AN232" s="9"/>
      <c r="AO232" s="10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</row>
    <row r="233" ht="15.75" customHeight="1">
      <c r="B233" s="3"/>
      <c r="F233" s="2"/>
      <c r="J233" s="4"/>
      <c r="K233" s="50"/>
      <c r="L233" s="50"/>
      <c r="M233" s="5"/>
      <c r="N233" s="3"/>
      <c r="U233" s="10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11"/>
      <c r="AM233" s="9"/>
      <c r="AN233" s="9"/>
      <c r="AO233" s="10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</row>
    <row r="234" ht="15.75" customHeight="1">
      <c r="B234" s="3"/>
      <c r="F234" s="2"/>
      <c r="J234" s="4"/>
      <c r="K234" s="50"/>
      <c r="L234" s="50"/>
      <c r="M234" s="5"/>
      <c r="N234" s="3"/>
      <c r="U234" s="10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11"/>
      <c r="AM234" s="9"/>
      <c r="AN234" s="9"/>
      <c r="AO234" s="10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</row>
    <row r="235" ht="15.75" customHeight="1">
      <c r="B235" s="3"/>
      <c r="F235" s="2"/>
      <c r="J235" s="4"/>
      <c r="K235" s="50"/>
      <c r="L235" s="50"/>
      <c r="M235" s="5"/>
      <c r="N235" s="3"/>
      <c r="U235" s="10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11"/>
      <c r="AM235" s="9"/>
      <c r="AN235" s="9"/>
      <c r="AO235" s="10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</row>
    <row r="236" ht="15.75" customHeight="1">
      <c r="B236" s="3"/>
      <c r="F236" s="2"/>
      <c r="J236" s="4"/>
      <c r="K236" s="50"/>
      <c r="L236" s="50"/>
      <c r="M236" s="5"/>
      <c r="N236" s="3"/>
      <c r="U236" s="10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11"/>
      <c r="AM236" s="9"/>
      <c r="AN236" s="9"/>
      <c r="AO236" s="10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</row>
    <row r="237" ht="15.75" customHeight="1">
      <c r="B237" s="3"/>
      <c r="F237" s="2"/>
      <c r="J237" s="4"/>
      <c r="K237" s="50"/>
      <c r="L237" s="50"/>
      <c r="M237" s="5"/>
      <c r="N237" s="3"/>
      <c r="U237" s="10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11"/>
      <c r="AM237" s="9"/>
      <c r="AN237" s="9"/>
      <c r="AO237" s="10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</row>
    <row r="238" ht="15.75" customHeight="1">
      <c r="B238" s="3"/>
      <c r="F238" s="2"/>
      <c r="J238" s="4"/>
      <c r="K238" s="50"/>
      <c r="L238" s="50"/>
      <c r="M238" s="5"/>
      <c r="N238" s="3"/>
      <c r="U238" s="10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11"/>
      <c r="AM238" s="9"/>
      <c r="AN238" s="9"/>
      <c r="AO238" s="10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</row>
    <row r="239" ht="15.75" customHeight="1">
      <c r="B239" s="3"/>
      <c r="F239" s="2"/>
      <c r="J239" s="4"/>
      <c r="K239" s="50"/>
      <c r="L239" s="50"/>
      <c r="M239" s="5"/>
      <c r="N239" s="3"/>
      <c r="U239" s="10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11"/>
      <c r="AM239" s="9"/>
      <c r="AN239" s="9"/>
      <c r="AO239" s="10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</row>
    <row r="240" ht="15.75" customHeight="1">
      <c r="B240" s="3"/>
      <c r="F240" s="2"/>
      <c r="J240" s="4"/>
      <c r="K240" s="50"/>
      <c r="L240" s="50"/>
      <c r="M240" s="5"/>
      <c r="N240" s="3"/>
      <c r="U240" s="10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11"/>
      <c r="AM240" s="9"/>
      <c r="AN240" s="9"/>
      <c r="AO240" s="10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</row>
    <row r="241" ht="15.75" customHeight="1">
      <c r="B241" s="3"/>
      <c r="F241" s="2"/>
      <c r="J241" s="4"/>
      <c r="K241" s="50"/>
      <c r="L241" s="50"/>
      <c r="M241" s="5"/>
      <c r="N241" s="3"/>
      <c r="U241" s="10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11"/>
      <c r="AM241" s="9"/>
      <c r="AN241" s="9"/>
      <c r="AO241" s="10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</row>
    <row r="242" ht="15.75" customHeight="1">
      <c r="B242" s="3"/>
      <c r="F242" s="2"/>
      <c r="J242" s="4"/>
      <c r="K242" s="50"/>
      <c r="L242" s="50"/>
      <c r="M242" s="5"/>
      <c r="N242" s="3"/>
      <c r="U242" s="10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11"/>
      <c r="AM242" s="9"/>
      <c r="AN242" s="9"/>
      <c r="AO242" s="10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</row>
    <row r="243" ht="15.75" customHeight="1">
      <c r="B243" s="3"/>
      <c r="F243" s="2"/>
      <c r="J243" s="4"/>
      <c r="K243" s="50"/>
      <c r="L243" s="50"/>
      <c r="M243" s="5"/>
      <c r="N243" s="3"/>
      <c r="U243" s="10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11"/>
      <c r="AM243" s="9"/>
      <c r="AN243" s="9"/>
      <c r="AO243" s="10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</row>
    <row r="244" ht="15.75" customHeight="1">
      <c r="B244" s="3"/>
      <c r="F244" s="2"/>
      <c r="J244" s="4"/>
      <c r="K244" s="50"/>
      <c r="L244" s="50"/>
      <c r="M244" s="5"/>
      <c r="N244" s="3"/>
      <c r="U244" s="10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11"/>
      <c r="AM244" s="9"/>
      <c r="AN244" s="9"/>
      <c r="AO244" s="10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</row>
    <row r="245" ht="15.75" customHeight="1">
      <c r="B245" s="3"/>
      <c r="F245" s="2"/>
      <c r="J245" s="4"/>
      <c r="K245" s="50"/>
      <c r="L245" s="50"/>
      <c r="M245" s="5"/>
      <c r="N245" s="3"/>
      <c r="U245" s="10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11"/>
      <c r="AM245" s="9"/>
      <c r="AN245" s="9"/>
      <c r="AO245" s="10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</row>
    <row r="246" ht="15.75" customHeight="1">
      <c r="B246" s="3"/>
      <c r="F246" s="2"/>
      <c r="J246" s="4"/>
      <c r="K246" s="50"/>
      <c r="L246" s="50"/>
      <c r="M246" s="5"/>
      <c r="N246" s="3"/>
      <c r="U246" s="10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11"/>
      <c r="AM246" s="9"/>
      <c r="AN246" s="9"/>
      <c r="AO246" s="10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</row>
    <row r="247" ht="15.75" customHeight="1">
      <c r="B247" s="3"/>
      <c r="F247" s="2"/>
      <c r="J247" s="4"/>
      <c r="K247" s="50"/>
      <c r="L247" s="50"/>
      <c r="M247" s="5"/>
      <c r="N247" s="3"/>
      <c r="U247" s="10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11"/>
      <c r="AM247" s="9"/>
      <c r="AN247" s="9"/>
      <c r="AO247" s="10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</row>
    <row r="248" ht="15.75" customHeight="1">
      <c r="B248" s="3"/>
      <c r="F248" s="2"/>
      <c r="J248" s="4"/>
      <c r="K248" s="50"/>
      <c r="L248" s="50"/>
      <c r="M248" s="5"/>
      <c r="N248" s="3"/>
      <c r="U248" s="10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11"/>
      <c r="AM248" s="9"/>
      <c r="AN248" s="9"/>
      <c r="AO248" s="10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</row>
    <row r="249" ht="15.75" customHeight="1">
      <c r="B249" s="3"/>
      <c r="F249" s="2"/>
      <c r="J249" s="4"/>
      <c r="K249" s="50"/>
      <c r="L249" s="50"/>
      <c r="M249" s="5"/>
      <c r="N249" s="3"/>
      <c r="U249" s="10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11"/>
      <c r="AM249" s="9"/>
      <c r="AN249" s="9"/>
      <c r="AO249" s="10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</row>
    <row r="250" ht="15.75" customHeight="1">
      <c r="B250" s="3"/>
      <c r="F250" s="2"/>
      <c r="J250" s="4"/>
      <c r="K250" s="50"/>
      <c r="L250" s="50"/>
      <c r="M250" s="5"/>
      <c r="N250" s="3"/>
      <c r="U250" s="10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11"/>
      <c r="AM250" s="9"/>
      <c r="AN250" s="9"/>
      <c r="AO250" s="10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</row>
    <row r="251" ht="15.75" customHeight="1">
      <c r="B251" s="3"/>
      <c r="F251" s="2"/>
      <c r="J251" s="4"/>
      <c r="K251" s="50"/>
      <c r="L251" s="50"/>
      <c r="M251" s="5"/>
      <c r="N251" s="3"/>
      <c r="U251" s="10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11"/>
      <c r="AM251" s="9"/>
      <c r="AN251" s="9"/>
      <c r="AO251" s="10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</row>
    <row r="252" ht="15.75" customHeight="1">
      <c r="B252" s="3"/>
      <c r="F252" s="2"/>
      <c r="J252" s="4"/>
      <c r="K252" s="50"/>
      <c r="L252" s="50"/>
      <c r="M252" s="5"/>
      <c r="N252" s="3"/>
      <c r="U252" s="10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11"/>
      <c r="AM252" s="9"/>
      <c r="AN252" s="9"/>
      <c r="AO252" s="10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</row>
    <row r="253" ht="15.75" customHeight="1">
      <c r="B253" s="3"/>
      <c r="F253" s="2"/>
      <c r="J253" s="4"/>
      <c r="K253" s="50"/>
      <c r="L253" s="50"/>
      <c r="M253" s="5"/>
      <c r="N253" s="3"/>
      <c r="U253" s="10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11"/>
      <c r="AM253" s="9"/>
      <c r="AN253" s="9"/>
      <c r="AO253" s="10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</row>
    <row r="254" ht="15.75" customHeight="1">
      <c r="B254" s="3"/>
      <c r="F254" s="2"/>
      <c r="J254" s="4"/>
      <c r="K254" s="50"/>
      <c r="L254" s="50"/>
      <c r="M254" s="5"/>
      <c r="N254" s="3"/>
      <c r="U254" s="10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11"/>
      <c r="AM254" s="9"/>
      <c r="AN254" s="9"/>
      <c r="AO254" s="10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</row>
    <row r="255" ht="15.75" customHeight="1">
      <c r="B255" s="3"/>
      <c r="F255" s="2"/>
      <c r="J255" s="4"/>
      <c r="K255" s="50"/>
      <c r="L255" s="50"/>
      <c r="M255" s="5"/>
      <c r="N255" s="3"/>
      <c r="U255" s="10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11"/>
      <c r="AM255" s="9"/>
      <c r="AN255" s="9"/>
      <c r="AO255" s="10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</row>
    <row r="256" ht="15.75" customHeight="1">
      <c r="B256" s="3"/>
      <c r="F256" s="2"/>
      <c r="J256" s="4"/>
      <c r="K256" s="50"/>
      <c r="L256" s="50"/>
      <c r="M256" s="5"/>
      <c r="N256" s="3"/>
      <c r="U256" s="10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11"/>
      <c r="AM256" s="9"/>
      <c r="AN256" s="9"/>
      <c r="AO256" s="10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</row>
    <row r="257" ht="15.75" customHeight="1">
      <c r="B257" s="3"/>
      <c r="F257" s="2"/>
      <c r="J257" s="4"/>
      <c r="K257" s="50"/>
      <c r="L257" s="50"/>
      <c r="M257" s="5"/>
      <c r="N257" s="3"/>
      <c r="U257" s="10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11"/>
      <c r="AM257" s="9"/>
      <c r="AN257" s="9"/>
      <c r="AO257" s="10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</row>
    <row r="258" ht="15.75" customHeight="1">
      <c r="B258" s="3"/>
      <c r="F258" s="2"/>
      <c r="J258" s="4"/>
      <c r="K258" s="50"/>
      <c r="L258" s="50"/>
      <c r="M258" s="5"/>
      <c r="N258" s="3"/>
      <c r="U258" s="10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11"/>
      <c r="AM258" s="9"/>
      <c r="AN258" s="9"/>
      <c r="AO258" s="10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</row>
    <row r="259" ht="15.75" customHeight="1">
      <c r="B259" s="3"/>
      <c r="F259" s="2"/>
      <c r="J259" s="4"/>
      <c r="K259" s="50"/>
      <c r="L259" s="50"/>
      <c r="M259" s="5"/>
      <c r="N259" s="3"/>
      <c r="U259" s="10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11"/>
      <c r="AM259" s="9"/>
      <c r="AN259" s="9"/>
      <c r="AO259" s="10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</row>
    <row r="260" ht="15.75" customHeight="1">
      <c r="B260" s="3"/>
      <c r="F260" s="2"/>
      <c r="J260" s="4"/>
      <c r="K260" s="50"/>
      <c r="L260" s="50"/>
      <c r="M260" s="5"/>
      <c r="N260" s="3"/>
      <c r="U260" s="10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11"/>
      <c r="AM260" s="9"/>
      <c r="AN260" s="9"/>
      <c r="AO260" s="10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</row>
    <row r="261" ht="15.75" customHeight="1">
      <c r="B261" s="3"/>
      <c r="F261" s="2"/>
      <c r="J261" s="4"/>
      <c r="K261" s="50"/>
      <c r="L261" s="50"/>
      <c r="M261" s="5"/>
      <c r="N261" s="3"/>
      <c r="U261" s="10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11"/>
      <c r="AM261" s="9"/>
      <c r="AN261" s="9"/>
      <c r="AO261" s="10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</row>
    <row r="262" ht="15.75" customHeight="1">
      <c r="B262" s="3"/>
      <c r="F262" s="2"/>
      <c r="J262" s="4"/>
      <c r="K262" s="50"/>
      <c r="L262" s="50"/>
      <c r="M262" s="5"/>
      <c r="N262" s="3"/>
      <c r="U262" s="10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11"/>
      <c r="AM262" s="9"/>
      <c r="AN262" s="9"/>
      <c r="AO262" s="10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</row>
    <row r="263" ht="15.75" customHeight="1">
      <c r="B263" s="3"/>
      <c r="F263" s="2"/>
      <c r="J263" s="4"/>
      <c r="K263" s="50"/>
      <c r="L263" s="50"/>
      <c r="M263" s="5"/>
      <c r="N263" s="3"/>
      <c r="U263" s="10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11"/>
      <c r="AM263" s="9"/>
      <c r="AN263" s="9"/>
      <c r="AO263" s="10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</row>
    <row r="264" ht="15.75" customHeight="1">
      <c r="B264" s="3"/>
      <c r="F264" s="2"/>
      <c r="J264" s="4"/>
      <c r="K264" s="50"/>
      <c r="L264" s="50"/>
      <c r="M264" s="5"/>
      <c r="N264" s="3"/>
      <c r="U264" s="10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11"/>
      <c r="AM264" s="9"/>
      <c r="AN264" s="9"/>
      <c r="AO264" s="10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</row>
    <row r="265" ht="15.75" customHeight="1">
      <c r="B265" s="3"/>
      <c r="F265" s="2"/>
      <c r="J265" s="4"/>
      <c r="K265" s="50"/>
      <c r="L265" s="50"/>
      <c r="M265" s="5"/>
      <c r="N265" s="3"/>
      <c r="U265" s="10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11"/>
      <c r="AM265" s="9"/>
      <c r="AN265" s="9"/>
      <c r="AO265" s="10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</row>
    <row r="266" ht="15.75" customHeight="1">
      <c r="B266" s="3"/>
      <c r="F266" s="2"/>
      <c r="J266" s="4"/>
      <c r="K266" s="50"/>
      <c r="L266" s="50"/>
      <c r="M266" s="5"/>
      <c r="N266" s="3"/>
      <c r="U266" s="10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11"/>
      <c r="AM266" s="9"/>
      <c r="AN266" s="9"/>
      <c r="AO266" s="10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</row>
    <row r="267" ht="15.75" customHeight="1">
      <c r="B267" s="3"/>
      <c r="F267" s="2"/>
      <c r="J267" s="4"/>
      <c r="K267" s="50"/>
      <c r="L267" s="50"/>
      <c r="M267" s="5"/>
      <c r="N267" s="3"/>
      <c r="U267" s="10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11"/>
      <c r="AM267" s="9"/>
      <c r="AN267" s="9"/>
      <c r="AO267" s="10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</row>
    <row r="268" ht="15.75" customHeight="1">
      <c r="B268" s="3"/>
      <c r="F268" s="2"/>
      <c r="J268" s="4"/>
      <c r="K268" s="50"/>
      <c r="L268" s="50"/>
      <c r="M268" s="5"/>
      <c r="N268" s="3"/>
      <c r="U268" s="10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11"/>
      <c r="AM268" s="9"/>
      <c r="AN268" s="9"/>
      <c r="AO268" s="10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</row>
    <row r="269" ht="15.75" customHeight="1">
      <c r="B269" s="3"/>
      <c r="F269" s="2"/>
      <c r="J269" s="4"/>
      <c r="K269" s="50"/>
      <c r="L269" s="50"/>
      <c r="M269" s="5"/>
      <c r="N269" s="3"/>
      <c r="U269" s="10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11"/>
      <c r="AM269" s="9"/>
      <c r="AN269" s="9"/>
      <c r="AO269" s="10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</row>
    <row r="270" ht="15.75" customHeight="1">
      <c r="B270" s="3"/>
      <c r="F270" s="2"/>
      <c r="J270" s="4"/>
      <c r="K270" s="50"/>
      <c r="L270" s="50"/>
      <c r="M270" s="5"/>
      <c r="N270" s="3"/>
      <c r="U270" s="10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11"/>
      <c r="AM270" s="9"/>
      <c r="AN270" s="9"/>
      <c r="AO270" s="10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</row>
    <row r="271" ht="15.75" customHeight="1">
      <c r="B271" s="3"/>
      <c r="F271" s="2"/>
      <c r="J271" s="4"/>
      <c r="K271" s="50"/>
      <c r="L271" s="50"/>
      <c r="M271" s="5"/>
      <c r="N271" s="3"/>
      <c r="U271" s="10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11"/>
      <c r="AM271" s="9"/>
      <c r="AN271" s="9"/>
      <c r="AO271" s="10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</row>
    <row r="272" ht="15.75" customHeight="1">
      <c r="B272" s="3"/>
      <c r="F272" s="2"/>
      <c r="J272" s="4"/>
      <c r="K272" s="50"/>
      <c r="L272" s="50"/>
      <c r="M272" s="5"/>
      <c r="N272" s="3"/>
      <c r="U272" s="10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11"/>
      <c r="AM272" s="9"/>
      <c r="AN272" s="9"/>
      <c r="AO272" s="10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</row>
    <row r="273" ht="15.75" customHeight="1">
      <c r="B273" s="3"/>
      <c r="F273" s="2"/>
      <c r="J273" s="4"/>
      <c r="K273" s="50"/>
      <c r="L273" s="50"/>
      <c r="M273" s="5"/>
      <c r="N273" s="3"/>
      <c r="U273" s="10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11"/>
      <c r="AM273" s="9"/>
      <c r="AN273" s="9"/>
      <c r="AO273" s="10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</row>
    <row r="274" ht="15.75" customHeight="1">
      <c r="B274" s="3"/>
      <c r="F274" s="2"/>
      <c r="J274" s="4"/>
      <c r="K274" s="50"/>
      <c r="L274" s="50"/>
      <c r="M274" s="5"/>
      <c r="N274" s="3"/>
      <c r="U274" s="10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11"/>
      <c r="AM274" s="9"/>
      <c r="AN274" s="9"/>
      <c r="AO274" s="10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</row>
    <row r="275" ht="15.75" customHeight="1">
      <c r="B275" s="3"/>
      <c r="F275" s="2"/>
      <c r="J275" s="4"/>
      <c r="K275" s="50"/>
      <c r="L275" s="50"/>
      <c r="M275" s="5"/>
      <c r="N275" s="3"/>
      <c r="U275" s="10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11"/>
      <c r="AM275" s="9"/>
      <c r="AN275" s="9"/>
      <c r="AO275" s="10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</row>
    <row r="276" ht="15.75" customHeight="1">
      <c r="B276" s="3"/>
      <c r="F276" s="2"/>
      <c r="J276" s="4"/>
      <c r="K276" s="50"/>
      <c r="L276" s="50"/>
      <c r="M276" s="5"/>
      <c r="N276" s="3"/>
      <c r="U276" s="10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11"/>
      <c r="AM276" s="9"/>
      <c r="AN276" s="9"/>
      <c r="AO276" s="10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</row>
    <row r="277" ht="15.75" customHeight="1">
      <c r="B277" s="3"/>
      <c r="F277" s="2"/>
      <c r="J277" s="4"/>
      <c r="K277" s="50"/>
      <c r="L277" s="50"/>
      <c r="M277" s="5"/>
      <c r="N277" s="3"/>
      <c r="U277" s="10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11"/>
      <c r="AM277" s="9"/>
      <c r="AN277" s="9"/>
      <c r="AO277" s="10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</row>
    <row r="278" ht="15.75" customHeight="1">
      <c r="B278" s="3"/>
      <c r="F278" s="2"/>
      <c r="J278" s="4"/>
      <c r="K278" s="50"/>
      <c r="L278" s="50"/>
      <c r="M278" s="5"/>
      <c r="N278" s="3"/>
      <c r="U278" s="10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11"/>
      <c r="AM278" s="9"/>
      <c r="AN278" s="9"/>
      <c r="AO278" s="10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</row>
    <row r="279" ht="15.75" customHeight="1">
      <c r="B279" s="3"/>
      <c r="F279" s="2"/>
      <c r="J279" s="4"/>
      <c r="K279" s="50"/>
      <c r="L279" s="50"/>
      <c r="M279" s="5"/>
      <c r="N279" s="3"/>
      <c r="U279" s="10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11"/>
      <c r="AM279" s="9"/>
      <c r="AN279" s="9"/>
      <c r="AO279" s="10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</row>
    <row r="280" ht="15.75" customHeight="1">
      <c r="B280" s="3"/>
      <c r="F280" s="2"/>
      <c r="J280" s="4"/>
      <c r="K280" s="50"/>
      <c r="L280" s="50"/>
      <c r="M280" s="5"/>
      <c r="N280" s="3"/>
      <c r="U280" s="10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11"/>
      <c r="AM280" s="9"/>
      <c r="AN280" s="9"/>
      <c r="AO280" s="10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</row>
    <row r="281" ht="15.75" customHeight="1">
      <c r="B281" s="3"/>
      <c r="F281" s="2"/>
      <c r="J281" s="4"/>
      <c r="K281" s="50"/>
      <c r="L281" s="50"/>
      <c r="M281" s="5"/>
      <c r="N281" s="3"/>
      <c r="U281" s="10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11"/>
      <c r="AM281" s="9"/>
      <c r="AN281" s="9"/>
      <c r="AO281" s="10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</row>
    <row r="282" ht="15.75" customHeight="1">
      <c r="B282" s="3"/>
      <c r="F282" s="2"/>
      <c r="J282" s="4"/>
      <c r="K282" s="50"/>
      <c r="L282" s="50"/>
      <c r="M282" s="5"/>
      <c r="N282" s="3"/>
      <c r="U282" s="10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11"/>
      <c r="AM282" s="9"/>
      <c r="AN282" s="9"/>
      <c r="AO282" s="10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</row>
    <row r="283" ht="15.75" customHeight="1">
      <c r="B283" s="3"/>
      <c r="F283" s="2"/>
      <c r="J283" s="4"/>
      <c r="K283" s="50"/>
      <c r="L283" s="50"/>
      <c r="M283" s="5"/>
      <c r="N283" s="3"/>
      <c r="U283" s="10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11"/>
      <c r="AM283" s="9"/>
      <c r="AN283" s="9"/>
      <c r="AO283" s="10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</row>
    <row r="284" ht="15.75" customHeight="1">
      <c r="B284" s="3"/>
      <c r="F284" s="2"/>
      <c r="J284" s="4"/>
      <c r="K284" s="50"/>
      <c r="L284" s="50"/>
      <c r="M284" s="5"/>
      <c r="N284" s="3"/>
      <c r="U284" s="10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11"/>
      <c r="AM284" s="9"/>
      <c r="AN284" s="9"/>
      <c r="AO284" s="10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</row>
    <row r="285" ht="15.75" customHeight="1">
      <c r="B285" s="3"/>
      <c r="F285" s="2"/>
      <c r="J285" s="4"/>
      <c r="K285" s="50"/>
      <c r="L285" s="50"/>
      <c r="M285" s="5"/>
      <c r="N285" s="3"/>
      <c r="U285" s="10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11"/>
      <c r="AM285" s="9"/>
      <c r="AN285" s="9"/>
      <c r="AO285" s="10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</row>
    <row r="286" ht="15.75" customHeight="1">
      <c r="B286" s="3"/>
      <c r="F286" s="2"/>
      <c r="J286" s="4"/>
      <c r="K286" s="50"/>
      <c r="L286" s="50"/>
      <c r="M286" s="5"/>
      <c r="N286" s="3"/>
      <c r="U286" s="10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11"/>
      <c r="AM286" s="9"/>
      <c r="AN286" s="9"/>
      <c r="AO286" s="10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</row>
    <row r="287" ht="15.75" customHeight="1">
      <c r="B287" s="3"/>
      <c r="F287" s="2"/>
      <c r="J287" s="4"/>
      <c r="K287" s="50"/>
      <c r="L287" s="50"/>
      <c r="M287" s="5"/>
      <c r="N287" s="3"/>
      <c r="U287" s="10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11"/>
      <c r="AM287" s="9"/>
      <c r="AN287" s="9"/>
      <c r="AO287" s="10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</row>
    <row r="288" ht="15.75" customHeight="1">
      <c r="B288" s="3"/>
      <c r="F288" s="2"/>
      <c r="J288" s="4"/>
      <c r="K288" s="50"/>
      <c r="L288" s="50"/>
      <c r="M288" s="5"/>
      <c r="N288" s="3"/>
      <c r="U288" s="10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11"/>
      <c r="AM288" s="9"/>
      <c r="AN288" s="9"/>
      <c r="AO288" s="10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</row>
    <row r="289" ht="15.75" customHeight="1">
      <c r="B289" s="3"/>
      <c r="F289" s="2"/>
      <c r="J289" s="4"/>
      <c r="K289" s="50"/>
      <c r="L289" s="50"/>
      <c r="M289" s="5"/>
      <c r="N289" s="3"/>
      <c r="U289" s="10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11"/>
      <c r="AM289" s="9"/>
      <c r="AN289" s="9"/>
      <c r="AO289" s="10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</row>
    <row r="290" ht="15.75" customHeight="1">
      <c r="B290" s="3"/>
      <c r="F290" s="2"/>
      <c r="J290" s="4"/>
      <c r="K290" s="50"/>
      <c r="L290" s="50"/>
      <c r="M290" s="5"/>
      <c r="N290" s="3"/>
      <c r="U290" s="10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11"/>
      <c r="AM290" s="9"/>
      <c r="AN290" s="9"/>
      <c r="AO290" s="10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</row>
    <row r="291" ht="15.75" customHeight="1">
      <c r="B291" s="3"/>
      <c r="F291" s="2"/>
      <c r="J291" s="4"/>
      <c r="K291" s="50"/>
      <c r="L291" s="50"/>
      <c r="M291" s="5"/>
      <c r="N291" s="3"/>
      <c r="U291" s="10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11"/>
      <c r="AM291" s="9"/>
      <c r="AN291" s="9"/>
      <c r="AO291" s="10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</row>
    <row r="292" ht="15.75" customHeight="1">
      <c r="B292" s="3"/>
      <c r="F292" s="2"/>
      <c r="J292" s="4"/>
      <c r="K292" s="50"/>
      <c r="L292" s="50"/>
      <c r="M292" s="5"/>
      <c r="N292" s="3"/>
      <c r="U292" s="10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11"/>
      <c r="AM292" s="9"/>
      <c r="AN292" s="9"/>
      <c r="AO292" s="10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</row>
    <row r="293" ht="15.75" customHeight="1">
      <c r="B293" s="3"/>
      <c r="F293" s="2"/>
      <c r="J293" s="4"/>
      <c r="K293" s="50"/>
      <c r="L293" s="50"/>
      <c r="M293" s="5"/>
      <c r="N293" s="3"/>
      <c r="U293" s="10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11"/>
      <c r="AM293" s="9"/>
      <c r="AN293" s="9"/>
      <c r="AO293" s="10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</row>
    <row r="294" ht="15.75" customHeight="1">
      <c r="B294" s="3"/>
      <c r="F294" s="2"/>
      <c r="J294" s="4"/>
      <c r="K294" s="50"/>
      <c r="L294" s="50"/>
      <c r="M294" s="5"/>
      <c r="N294" s="3"/>
      <c r="U294" s="10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11"/>
      <c r="AM294" s="9"/>
      <c r="AN294" s="9"/>
      <c r="AO294" s="10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</row>
    <row r="295" ht="15.75" customHeight="1">
      <c r="B295" s="3"/>
      <c r="F295" s="2"/>
      <c r="J295" s="4"/>
      <c r="K295" s="50"/>
      <c r="L295" s="50"/>
      <c r="M295" s="5"/>
      <c r="N295" s="3"/>
      <c r="U295" s="10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11"/>
      <c r="AM295" s="9"/>
      <c r="AN295" s="9"/>
      <c r="AO295" s="10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</row>
    <row r="296" ht="15.75" customHeight="1">
      <c r="B296" s="3"/>
      <c r="F296" s="2"/>
      <c r="J296" s="4"/>
      <c r="K296" s="50"/>
      <c r="L296" s="50"/>
      <c r="M296" s="5"/>
      <c r="N296" s="3"/>
      <c r="U296" s="10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11"/>
      <c r="AM296" s="9"/>
      <c r="AN296" s="9"/>
      <c r="AO296" s="10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</row>
    <row r="297" ht="15.75" customHeight="1">
      <c r="B297" s="3"/>
      <c r="F297" s="2"/>
      <c r="J297" s="4"/>
      <c r="K297" s="50"/>
      <c r="L297" s="50"/>
      <c r="M297" s="5"/>
      <c r="N297" s="3"/>
      <c r="U297" s="10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11"/>
      <c r="AM297" s="9"/>
      <c r="AN297" s="9"/>
      <c r="AO297" s="10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</row>
    <row r="298" ht="15.75" customHeight="1">
      <c r="B298" s="3"/>
      <c r="F298" s="2"/>
      <c r="J298" s="4"/>
      <c r="K298" s="50"/>
      <c r="L298" s="50"/>
      <c r="M298" s="5"/>
      <c r="N298" s="3"/>
      <c r="U298" s="10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11"/>
      <c r="AM298" s="9"/>
      <c r="AN298" s="9"/>
      <c r="AO298" s="10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</row>
    <row r="299" ht="15.75" customHeight="1">
      <c r="B299" s="3"/>
      <c r="F299" s="2"/>
      <c r="J299" s="4"/>
      <c r="K299" s="50"/>
      <c r="L299" s="50"/>
      <c r="M299" s="5"/>
      <c r="N299" s="3"/>
      <c r="U299" s="10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11"/>
      <c r="AM299" s="9"/>
      <c r="AN299" s="9"/>
      <c r="AO299" s="10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</row>
    <row r="300" ht="15.75" customHeight="1">
      <c r="B300" s="3"/>
      <c r="F300" s="2"/>
      <c r="J300" s="4"/>
      <c r="K300" s="50"/>
      <c r="L300" s="50"/>
      <c r="M300" s="5"/>
      <c r="N300" s="3"/>
      <c r="U300" s="10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11"/>
      <c r="AM300" s="9"/>
      <c r="AN300" s="9"/>
      <c r="AO300" s="10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</row>
    <row r="301" ht="15.75" customHeight="1">
      <c r="B301" s="3"/>
      <c r="F301" s="2"/>
      <c r="J301" s="4"/>
      <c r="K301" s="50"/>
      <c r="L301" s="50"/>
      <c r="M301" s="5"/>
      <c r="N301" s="3"/>
      <c r="U301" s="10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11"/>
      <c r="AM301" s="9"/>
      <c r="AN301" s="9"/>
      <c r="AO301" s="10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</row>
    <row r="302" ht="15.75" customHeight="1">
      <c r="B302" s="3"/>
      <c r="F302" s="2"/>
      <c r="J302" s="4"/>
      <c r="K302" s="50"/>
      <c r="L302" s="50"/>
      <c r="M302" s="5"/>
      <c r="N302" s="3"/>
      <c r="U302" s="10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11"/>
      <c r="AM302" s="9"/>
      <c r="AN302" s="9"/>
      <c r="AO302" s="10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</row>
    <row r="303" ht="15.75" customHeight="1">
      <c r="B303" s="3"/>
      <c r="F303" s="2"/>
      <c r="J303" s="4"/>
      <c r="K303" s="50"/>
      <c r="L303" s="50"/>
      <c r="M303" s="5"/>
      <c r="N303" s="3"/>
      <c r="U303" s="10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11"/>
      <c r="AM303" s="9"/>
      <c r="AN303" s="9"/>
      <c r="AO303" s="10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</row>
    <row r="304" ht="15.75" customHeight="1">
      <c r="B304" s="3"/>
      <c r="F304" s="2"/>
      <c r="J304" s="4"/>
      <c r="K304" s="50"/>
      <c r="L304" s="50"/>
      <c r="M304" s="5"/>
      <c r="N304" s="3"/>
      <c r="U304" s="10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11"/>
      <c r="AM304" s="9"/>
      <c r="AN304" s="9"/>
      <c r="AO304" s="10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</row>
    <row r="305" ht="15.75" customHeight="1">
      <c r="B305" s="3"/>
      <c r="F305" s="2"/>
      <c r="J305" s="4"/>
      <c r="K305" s="50"/>
      <c r="L305" s="50"/>
      <c r="M305" s="5"/>
      <c r="N305" s="3"/>
      <c r="U305" s="10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11"/>
      <c r="AM305" s="9"/>
      <c r="AN305" s="9"/>
      <c r="AO305" s="10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</row>
    <row r="306" ht="15.75" customHeight="1">
      <c r="B306" s="3"/>
      <c r="F306" s="2"/>
      <c r="J306" s="4"/>
      <c r="K306" s="50"/>
      <c r="L306" s="50"/>
      <c r="M306" s="5"/>
      <c r="N306" s="3"/>
      <c r="U306" s="10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11"/>
      <c r="AM306" s="9"/>
      <c r="AN306" s="9"/>
      <c r="AO306" s="10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</row>
    <row r="307" ht="15.75" customHeight="1">
      <c r="B307" s="3"/>
      <c r="F307" s="2"/>
      <c r="J307" s="4"/>
      <c r="K307" s="50"/>
      <c r="L307" s="50"/>
      <c r="M307" s="5"/>
      <c r="N307" s="3"/>
      <c r="U307" s="10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11"/>
      <c r="AM307" s="9"/>
      <c r="AN307" s="9"/>
      <c r="AO307" s="10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</row>
    <row r="308" ht="15.75" customHeight="1">
      <c r="B308" s="3"/>
      <c r="F308" s="2"/>
      <c r="J308" s="4"/>
      <c r="K308" s="50"/>
      <c r="L308" s="50"/>
      <c r="M308" s="5"/>
      <c r="N308" s="3"/>
      <c r="U308" s="10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11"/>
      <c r="AM308" s="9"/>
      <c r="AN308" s="9"/>
      <c r="AO308" s="10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</row>
    <row r="309" ht="15.75" customHeight="1">
      <c r="B309" s="3"/>
      <c r="F309" s="2"/>
      <c r="J309" s="4"/>
      <c r="K309" s="50"/>
      <c r="L309" s="50"/>
      <c r="M309" s="5"/>
      <c r="N309" s="3"/>
      <c r="U309" s="10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11"/>
      <c r="AM309" s="9"/>
      <c r="AN309" s="9"/>
      <c r="AO309" s="10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</row>
    <row r="310" ht="15.75" customHeight="1">
      <c r="B310" s="3"/>
      <c r="F310" s="2"/>
      <c r="J310" s="4"/>
      <c r="K310" s="50"/>
      <c r="L310" s="50"/>
      <c r="M310" s="5"/>
      <c r="N310" s="3"/>
      <c r="U310" s="10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11"/>
      <c r="AM310" s="9"/>
      <c r="AN310" s="9"/>
      <c r="AO310" s="10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</row>
    <row r="311" ht="15.75" customHeight="1">
      <c r="U311" s="10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11"/>
      <c r="AM311" s="9"/>
      <c r="AN311" s="9"/>
      <c r="AO311" s="10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</row>
    <row r="312" ht="15.75" customHeight="1">
      <c r="U312" s="10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11"/>
      <c r="AM312" s="9"/>
      <c r="AN312" s="9"/>
      <c r="AO312" s="10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</row>
    <row r="313" ht="15.75" customHeight="1">
      <c r="U313" s="10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11"/>
      <c r="AM313" s="9"/>
      <c r="AN313" s="9"/>
      <c r="AO313" s="10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</row>
    <row r="314" ht="15.75" customHeight="1">
      <c r="U314" s="10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11"/>
      <c r="AM314" s="9"/>
      <c r="AN314" s="9"/>
      <c r="AO314" s="10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</row>
    <row r="315" ht="15.75" customHeight="1">
      <c r="U315" s="10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11"/>
      <c r="AM315" s="9"/>
      <c r="AN315" s="9"/>
      <c r="AO315" s="10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</row>
    <row r="316" ht="15.75" customHeight="1">
      <c r="U316" s="10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11"/>
      <c r="AM316" s="9"/>
      <c r="AN316" s="9"/>
      <c r="AO316" s="10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</row>
    <row r="317" ht="15.75" customHeight="1">
      <c r="U317" s="10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11"/>
      <c r="AM317" s="9"/>
      <c r="AN317" s="9"/>
      <c r="AO317" s="10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</row>
    <row r="318" ht="15.75" customHeight="1">
      <c r="U318" s="10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11"/>
      <c r="AM318" s="9"/>
      <c r="AN318" s="9"/>
      <c r="AO318" s="10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</row>
    <row r="319" ht="15.75" customHeight="1">
      <c r="U319" s="10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11"/>
      <c r="AM319" s="9"/>
      <c r="AN319" s="9"/>
      <c r="AO319" s="10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</row>
    <row r="320" ht="15.75" customHeight="1">
      <c r="U320" s="10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11"/>
      <c r="AM320" s="9"/>
      <c r="AN320" s="9"/>
      <c r="AO320" s="10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</row>
    <row r="321" ht="15.75" customHeight="1">
      <c r="U321" s="10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11"/>
      <c r="AM321" s="9"/>
      <c r="AN321" s="9"/>
      <c r="AO321" s="10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</row>
    <row r="322" ht="15.75" customHeight="1">
      <c r="U322" s="10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11"/>
      <c r="AM322" s="9"/>
      <c r="AN322" s="9"/>
      <c r="AO322" s="10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</row>
    <row r="323" ht="15.75" customHeight="1">
      <c r="U323" s="10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11"/>
      <c r="AM323" s="9"/>
      <c r="AN323" s="9"/>
      <c r="AO323" s="10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</row>
    <row r="324" ht="15.75" customHeight="1">
      <c r="U324" s="10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11"/>
      <c r="AM324" s="9"/>
      <c r="AN324" s="9"/>
      <c r="AO324" s="10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</row>
    <row r="325" ht="15.75" customHeight="1">
      <c r="U325" s="10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11"/>
      <c r="AM325" s="9"/>
      <c r="AN325" s="9"/>
      <c r="AO325" s="10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</row>
    <row r="326" ht="15.75" customHeight="1">
      <c r="U326" s="10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11"/>
      <c r="AM326" s="9"/>
      <c r="AN326" s="9"/>
      <c r="AO326" s="10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</row>
    <row r="327" ht="15.75" customHeight="1">
      <c r="U327" s="10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11"/>
      <c r="AM327" s="9"/>
      <c r="AN327" s="9"/>
      <c r="AO327" s="10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</row>
    <row r="328" ht="15.75" customHeight="1">
      <c r="U328" s="10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11"/>
      <c r="AM328" s="9"/>
      <c r="AN328" s="9"/>
      <c r="AO328" s="10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</row>
    <row r="329" ht="15.75" customHeight="1">
      <c r="U329" s="10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11"/>
      <c r="AM329" s="9"/>
      <c r="AN329" s="9"/>
      <c r="AO329" s="10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</row>
    <row r="330" ht="15.75" customHeight="1">
      <c r="U330" s="10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11"/>
      <c r="AM330" s="9"/>
      <c r="AN330" s="9"/>
      <c r="AO330" s="10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</row>
    <row r="331" ht="15.75" customHeight="1">
      <c r="U331" s="10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11"/>
      <c r="AM331" s="9"/>
      <c r="AN331" s="9"/>
      <c r="AO331" s="10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</row>
    <row r="332" ht="15.75" customHeight="1">
      <c r="U332" s="10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11"/>
      <c r="AM332" s="9"/>
      <c r="AN332" s="9"/>
      <c r="AO332" s="10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</row>
    <row r="333" ht="15.75" customHeight="1">
      <c r="U333" s="10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11"/>
      <c r="AM333" s="9"/>
      <c r="AN333" s="9"/>
      <c r="AO333" s="10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</row>
    <row r="334" ht="15.75" customHeight="1">
      <c r="U334" s="10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11"/>
      <c r="AM334" s="9"/>
      <c r="AN334" s="9"/>
      <c r="AO334" s="10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</row>
    <row r="335" ht="15.75" customHeight="1">
      <c r="U335" s="10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11"/>
      <c r="AM335" s="9"/>
      <c r="AN335" s="9"/>
      <c r="AO335" s="10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</row>
    <row r="336" ht="15.75" customHeight="1">
      <c r="U336" s="10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11"/>
      <c r="AM336" s="9"/>
      <c r="AN336" s="9"/>
      <c r="AO336" s="10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</row>
    <row r="337" ht="15.75" customHeight="1">
      <c r="U337" s="10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11"/>
      <c r="AM337" s="9"/>
      <c r="AN337" s="9"/>
      <c r="AO337" s="10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</row>
    <row r="338" ht="15.75" customHeight="1">
      <c r="U338" s="10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11"/>
      <c r="AM338" s="9"/>
      <c r="AN338" s="9"/>
      <c r="AO338" s="10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</row>
    <row r="339" ht="15.75" customHeight="1">
      <c r="U339" s="10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11"/>
      <c r="AM339" s="9"/>
      <c r="AN339" s="9"/>
      <c r="AO339" s="10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</row>
    <row r="340" ht="15.75" customHeight="1">
      <c r="U340" s="10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11"/>
      <c r="AM340" s="9"/>
      <c r="AN340" s="9"/>
      <c r="AO340" s="10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</row>
    <row r="341" ht="15.75" customHeight="1">
      <c r="U341" s="10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11"/>
      <c r="AM341" s="9"/>
      <c r="AN341" s="9"/>
      <c r="AO341" s="10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</row>
    <row r="342" ht="15.75" customHeight="1">
      <c r="U342" s="10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11"/>
      <c r="AM342" s="9"/>
      <c r="AN342" s="9"/>
      <c r="AO342" s="10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</row>
    <row r="343" ht="15.75" customHeight="1">
      <c r="U343" s="10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11"/>
      <c r="AM343" s="9"/>
      <c r="AN343" s="9"/>
      <c r="AO343" s="10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</row>
    <row r="344" ht="15.75" customHeight="1">
      <c r="U344" s="10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11"/>
      <c r="AM344" s="9"/>
      <c r="AN344" s="9"/>
      <c r="AO344" s="10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</row>
    <row r="345" ht="15.75" customHeight="1">
      <c r="U345" s="10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11"/>
      <c r="AM345" s="9"/>
      <c r="AN345" s="9"/>
      <c r="AO345" s="10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</row>
    <row r="346" ht="15.75" customHeight="1">
      <c r="U346" s="10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11"/>
      <c r="AM346" s="9"/>
      <c r="AN346" s="9"/>
      <c r="AO346" s="10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  <c r="BL346" s="9"/>
    </row>
    <row r="347" ht="15.75" customHeight="1">
      <c r="U347" s="10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11"/>
      <c r="AM347" s="9"/>
      <c r="AN347" s="9"/>
      <c r="AO347" s="10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</row>
    <row r="348" ht="15.75" customHeight="1">
      <c r="U348" s="10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11"/>
      <c r="AM348" s="9"/>
      <c r="AN348" s="9"/>
      <c r="AO348" s="10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</row>
    <row r="349" ht="15.75" customHeight="1">
      <c r="U349" s="10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11"/>
      <c r="AM349" s="9"/>
      <c r="AN349" s="9"/>
      <c r="AO349" s="10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</row>
    <row r="350" ht="15.75" customHeight="1">
      <c r="U350" s="10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11"/>
      <c r="AM350" s="9"/>
      <c r="AN350" s="9"/>
      <c r="AO350" s="10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</row>
    <row r="351" ht="15.75" customHeight="1">
      <c r="U351" s="10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11"/>
      <c r="AM351" s="9"/>
      <c r="AN351" s="9"/>
      <c r="AO351" s="10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</row>
    <row r="352" ht="15.75" customHeight="1">
      <c r="U352" s="10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11"/>
      <c r="AM352" s="9"/>
      <c r="AN352" s="9"/>
      <c r="AO352" s="10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  <c r="BL352" s="9"/>
    </row>
    <row r="353" ht="15.75" customHeight="1">
      <c r="U353" s="10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11"/>
      <c r="AM353" s="9"/>
      <c r="AN353" s="9"/>
      <c r="AO353" s="10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</row>
    <row r="354" ht="15.75" customHeight="1">
      <c r="U354" s="10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11"/>
      <c r="AM354" s="9"/>
      <c r="AN354" s="9"/>
      <c r="AO354" s="10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</row>
    <row r="355" ht="15.75" customHeight="1">
      <c r="U355" s="10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11"/>
      <c r="AM355" s="9"/>
      <c r="AN355" s="9"/>
      <c r="AO355" s="10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9"/>
    </row>
    <row r="356" ht="15.75" customHeight="1">
      <c r="U356" s="10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11"/>
      <c r="AM356" s="9"/>
      <c r="AN356" s="9"/>
      <c r="AO356" s="10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</row>
    <row r="357" ht="15.75" customHeight="1">
      <c r="U357" s="10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11"/>
      <c r="AM357" s="9"/>
      <c r="AN357" s="9"/>
      <c r="AO357" s="10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</row>
    <row r="358" ht="15.75" customHeight="1">
      <c r="U358" s="10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11"/>
      <c r="AM358" s="9"/>
      <c r="AN358" s="9"/>
      <c r="AO358" s="10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9"/>
    </row>
    <row r="359" ht="15.75" customHeight="1">
      <c r="U359" s="10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11"/>
      <c r="AM359" s="9"/>
      <c r="AN359" s="9"/>
      <c r="AO359" s="10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</row>
    <row r="360" ht="15.75" customHeight="1">
      <c r="U360" s="10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11"/>
      <c r="AM360" s="9"/>
      <c r="AN360" s="9"/>
      <c r="AO360" s="10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</row>
    <row r="361" ht="15.75" customHeight="1">
      <c r="U361" s="10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11"/>
      <c r="AM361" s="9"/>
      <c r="AN361" s="9"/>
      <c r="AO361" s="10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</row>
    <row r="362" ht="15.75" customHeight="1">
      <c r="U362" s="10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11"/>
      <c r="AM362" s="9"/>
      <c r="AN362" s="9"/>
      <c r="AO362" s="10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</row>
    <row r="363" ht="15.75" customHeight="1">
      <c r="U363" s="10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11"/>
      <c r="AM363" s="9"/>
      <c r="AN363" s="9"/>
      <c r="AO363" s="10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</row>
    <row r="364" ht="15.75" customHeight="1">
      <c r="U364" s="10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11"/>
      <c r="AM364" s="9"/>
      <c r="AN364" s="9"/>
      <c r="AO364" s="10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</row>
    <row r="365" ht="15.75" customHeight="1">
      <c r="U365" s="10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11"/>
      <c r="AM365" s="9"/>
      <c r="AN365" s="9"/>
      <c r="AO365" s="10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</row>
    <row r="366" ht="15.75" customHeight="1">
      <c r="U366" s="10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11"/>
      <c r="AM366" s="9"/>
      <c r="AN366" s="9"/>
      <c r="AO366" s="10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9"/>
    </row>
    <row r="367" ht="15.75" customHeight="1">
      <c r="U367" s="10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11"/>
      <c r="AM367" s="9"/>
      <c r="AN367" s="9"/>
      <c r="AO367" s="10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</row>
    <row r="368" ht="15.75" customHeight="1">
      <c r="U368" s="10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11"/>
      <c r="AM368" s="9"/>
      <c r="AN368" s="9"/>
      <c r="AO368" s="10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</row>
    <row r="369" ht="15.75" customHeight="1">
      <c r="U369" s="10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11"/>
      <c r="AM369" s="9"/>
      <c r="AN369" s="9"/>
      <c r="AO369" s="10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</row>
    <row r="370" ht="15.75" customHeight="1">
      <c r="U370" s="10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11"/>
      <c r="AM370" s="9"/>
      <c r="AN370" s="9"/>
      <c r="AO370" s="10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</row>
    <row r="371" ht="15.75" customHeight="1">
      <c r="U371" s="10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11"/>
      <c r="AM371" s="9"/>
      <c r="AN371" s="9"/>
      <c r="AO371" s="10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9"/>
    </row>
    <row r="372" ht="15.75" customHeight="1">
      <c r="U372" s="10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11"/>
      <c r="AM372" s="9"/>
      <c r="AN372" s="9"/>
      <c r="AO372" s="10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</row>
    <row r="373" ht="15.75" customHeight="1">
      <c r="U373" s="10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11"/>
      <c r="AM373" s="9"/>
      <c r="AN373" s="9"/>
      <c r="AO373" s="10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</row>
    <row r="374" ht="15.75" customHeight="1">
      <c r="U374" s="10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11"/>
      <c r="AM374" s="9"/>
      <c r="AN374" s="9"/>
      <c r="AO374" s="10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</row>
    <row r="375" ht="15.75" customHeight="1">
      <c r="U375" s="10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11"/>
      <c r="AM375" s="9"/>
      <c r="AN375" s="9"/>
      <c r="AO375" s="10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</row>
    <row r="376" ht="15.75" customHeight="1">
      <c r="U376" s="10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11"/>
      <c r="AM376" s="9"/>
      <c r="AN376" s="9"/>
      <c r="AO376" s="10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</row>
    <row r="377" ht="15.75" customHeight="1">
      <c r="U377" s="10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11"/>
      <c r="AM377" s="9"/>
      <c r="AN377" s="9"/>
      <c r="AO377" s="10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9"/>
    </row>
    <row r="378" ht="15.75" customHeight="1">
      <c r="U378" s="10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11"/>
      <c r="AM378" s="9"/>
      <c r="AN378" s="9"/>
      <c r="AO378" s="10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9"/>
    </row>
    <row r="379" ht="15.75" customHeight="1">
      <c r="U379" s="10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11"/>
      <c r="AM379" s="9"/>
      <c r="AN379" s="9"/>
      <c r="AO379" s="10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</row>
    <row r="380" ht="15.75" customHeight="1">
      <c r="U380" s="10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11"/>
      <c r="AM380" s="9"/>
      <c r="AN380" s="9"/>
      <c r="AO380" s="10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/>
      <c r="BK380" s="9"/>
      <c r="BL380" s="9"/>
    </row>
    <row r="381" ht="15.75" customHeight="1">
      <c r="U381" s="10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11"/>
      <c r="AM381" s="9"/>
      <c r="AN381" s="9"/>
      <c r="AO381" s="10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</row>
    <row r="382" ht="15.75" customHeight="1">
      <c r="U382" s="10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11"/>
      <c r="AM382" s="9"/>
      <c r="AN382" s="9"/>
      <c r="AO382" s="10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  <c r="BL382" s="9"/>
    </row>
    <row r="383" ht="15.75" customHeight="1">
      <c r="U383" s="10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11"/>
      <c r="AM383" s="9"/>
      <c r="AN383" s="9"/>
      <c r="AO383" s="10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</row>
    <row r="384" ht="15.75" customHeight="1">
      <c r="U384" s="10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11"/>
      <c r="AM384" s="9"/>
      <c r="AN384" s="9"/>
      <c r="AO384" s="10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  <c r="BL384" s="9"/>
    </row>
    <row r="385" ht="15.75" customHeight="1">
      <c r="U385" s="10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11"/>
      <c r="AM385" s="9"/>
      <c r="AN385" s="9"/>
      <c r="AO385" s="10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</row>
    <row r="386" ht="15.75" customHeight="1">
      <c r="U386" s="10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11"/>
      <c r="AM386" s="9"/>
      <c r="AN386" s="9"/>
      <c r="AO386" s="10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9"/>
    </row>
    <row r="387" ht="15.75" customHeight="1">
      <c r="U387" s="10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11"/>
      <c r="AM387" s="9"/>
      <c r="AN387" s="9"/>
      <c r="AO387" s="10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9"/>
    </row>
    <row r="388" ht="15.75" customHeight="1">
      <c r="U388" s="10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11"/>
      <c r="AM388" s="9"/>
      <c r="AN388" s="9"/>
      <c r="AO388" s="10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9"/>
      <c r="BL388" s="9"/>
    </row>
    <row r="389" ht="15.75" customHeight="1">
      <c r="U389" s="10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11"/>
      <c r="AM389" s="9"/>
      <c r="AN389" s="9"/>
      <c r="AO389" s="10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  <c r="BL389" s="9"/>
    </row>
    <row r="390" ht="15.75" customHeight="1">
      <c r="U390" s="10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11"/>
      <c r="AM390" s="9"/>
      <c r="AN390" s="9"/>
      <c r="AO390" s="10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9"/>
      <c r="BK390" s="9"/>
      <c r="BL390" s="9"/>
    </row>
    <row r="391" ht="15.75" customHeight="1">
      <c r="U391" s="10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11"/>
      <c r="AM391" s="9"/>
      <c r="AN391" s="9"/>
      <c r="AO391" s="10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  <c r="BJ391" s="9"/>
      <c r="BK391" s="9"/>
      <c r="BL391" s="9"/>
    </row>
    <row r="392" ht="15.75" customHeight="1">
      <c r="U392" s="10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11"/>
      <c r="AM392" s="9"/>
      <c r="AN392" s="9"/>
      <c r="AO392" s="10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  <c r="BJ392" s="9"/>
      <c r="BK392" s="9"/>
      <c r="BL392" s="9"/>
    </row>
    <row r="393" ht="15.75" customHeight="1">
      <c r="U393" s="10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11"/>
      <c r="AM393" s="9"/>
      <c r="AN393" s="9"/>
      <c r="AO393" s="10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  <c r="BJ393" s="9"/>
      <c r="BK393" s="9"/>
      <c r="BL393" s="9"/>
    </row>
    <row r="394" ht="15.75" customHeight="1">
      <c r="U394" s="10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11"/>
      <c r="AM394" s="9"/>
      <c r="AN394" s="9"/>
      <c r="AO394" s="10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  <c r="BL394" s="9"/>
    </row>
    <row r="395" ht="15.75" customHeight="1">
      <c r="U395" s="10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11"/>
      <c r="AM395" s="9"/>
      <c r="AN395" s="9"/>
      <c r="AO395" s="10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9"/>
      <c r="BK395" s="9"/>
      <c r="BL395" s="9"/>
    </row>
    <row r="396" ht="15.75" customHeight="1">
      <c r="U396" s="10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11"/>
      <c r="AM396" s="9"/>
      <c r="AN396" s="9"/>
      <c r="AO396" s="10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  <c r="BJ396" s="9"/>
      <c r="BK396" s="9"/>
      <c r="BL396" s="9"/>
    </row>
    <row r="397" ht="15.75" customHeight="1">
      <c r="U397" s="10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11"/>
      <c r="AM397" s="9"/>
      <c r="AN397" s="9"/>
      <c r="AO397" s="10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  <c r="BJ397" s="9"/>
      <c r="BK397" s="9"/>
      <c r="BL397" s="9"/>
    </row>
    <row r="398" ht="15.75" customHeight="1">
      <c r="U398" s="10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11"/>
      <c r="AM398" s="9"/>
      <c r="AN398" s="9"/>
      <c r="AO398" s="10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9"/>
      <c r="BL398" s="9"/>
    </row>
    <row r="399" ht="15.75" customHeight="1">
      <c r="U399" s="10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11"/>
      <c r="AM399" s="9"/>
      <c r="AN399" s="9"/>
      <c r="AO399" s="10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  <c r="BJ399" s="9"/>
      <c r="BK399" s="9"/>
      <c r="BL399" s="9"/>
    </row>
    <row r="400" ht="15.75" customHeight="1">
      <c r="U400" s="10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11"/>
      <c r="AM400" s="9"/>
      <c r="AN400" s="9"/>
      <c r="AO400" s="10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9"/>
      <c r="BK400" s="9"/>
      <c r="BL400" s="9"/>
    </row>
    <row r="401" ht="15.75" customHeight="1">
      <c r="U401" s="10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11"/>
      <c r="AM401" s="9"/>
      <c r="AN401" s="9"/>
      <c r="AO401" s="10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  <c r="BJ401" s="9"/>
      <c r="BK401" s="9"/>
      <c r="BL401" s="9"/>
    </row>
    <row r="402" ht="15.75" customHeight="1">
      <c r="U402" s="10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11"/>
      <c r="AM402" s="9"/>
      <c r="AN402" s="9"/>
      <c r="AO402" s="10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  <c r="BJ402" s="9"/>
      <c r="BK402" s="9"/>
      <c r="BL402" s="9"/>
    </row>
    <row r="403" ht="15.75" customHeight="1">
      <c r="U403" s="10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11"/>
      <c r="AM403" s="9"/>
      <c r="AN403" s="9"/>
      <c r="AO403" s="10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  <c r="BJ403" s="9"/>
      <c r="BK403" s="9"/>
      <c r="BL403" s="9"/>
    </row>
    <row r="404" ht="15.75" customHeight="1">
      <c r="U404" s="10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11"/>
      <c r="AM404" s="9"/>
      <c r="AN404" s="9"/>
      <c r="AO404" s="10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  <c r="BJ404" s="9"/>
      <c r="BK404" s="9"/>
      <c r="BL404" s="9"/>
    </row>
    <row r="405" ht="15.75" customHeight="1">
      <c r="U405" s="10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11"/>
      <c r="AM405" s="9"/>
      <c r="AN405" s="9"/>
      <c r="AO405" s="10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9"/>
      <c r="BK405" s="9"/>
      <c r="BL405" s="9"/>
    </row>
    <row r="406" ht="15.75" customHeight="1">
      <c r="U406" s="10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11"/>
      <c r="AM406" s="9"/>
      <c r="AN406" s="9"/>
      <c r="AO406" s="10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  <c r="BJ406" s="9"/>
      <c r="BK406" s="9"/>
      <c r="BL406" s="9"/>
    </row>
    <row r="407" ht="15.75" customHeight="1">
      <c r="U407" s="10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11"/>
      <c r="AM407" s="9"/>
      <c r="AN407" s="9"/>
      <c r="AO407" s="10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  <c r="BJ407" s="9"/>
      <c r="BK407" s="9"/>
      <c r="BL407" s="9"/>
    </row>
    <row r="408" ht="15.75" customHeight="1">
      <c r="U408" s="10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11"/>
      <c r="AM408" s="9"/>
      <c r="AN408" s="9"/>
      <c r="AO408" s="10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  <c r="BJ408" s="9"/>
      <c r="BK408" s="9"/>
      <c r="BL408" s="9"/>
    </row>
    <row r="409" ht="15.75" customHeight="1">
      <c r="U409" s="10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11"/>
      <c r="AM409" s="9"/>
      <c r="AN409" s="9"/>
      <c r="AO409" s="10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  <c r="BG409" s="9"/>
      <c r="BH409" s="9"/>
      <c r="BI409" s="9"/>
      <c r="BJ409" s="9"/>
      <c r="BK409" s="9"/>
      <c r="BL409" s="9"/>
    </row>
    <row r="410" ht="15.75" customHeight="1">
      <c r="U410" s="10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11"/>
      <c r="AM410" s="9"/>
      <c r="AN410" s="9"/>
      <c r="AO410" s="10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  <c r="BG410" s="9"/>
      <c r="BH410" s="9"/>
      <c r="BI410" s="9"/>
      <c r="BJ410" s="9"/>
      <c r="BK410" s="9"/>
      <c r="BL410" s="9"/>
    </row>
    <row r="411" ht="15.75" customHeight="1">
      <c r="U411" s="10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11"/>
      <c r="AM411" s="9"/>
      <c r="AN411" s="9"/>
      <c r="AO411" s="10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  <c r="BJ411" s="9"/>
      <c r="BK411" s="9"/>
      <c r="BL411" s="9"/>
    </row>
    <row r="412" ht="15.75" customHeight="1">
      <c r="U412" s="10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11"/>
      <c r="AM412" s="9"/>
      <c r="AN412" s="9"/>
      <c r="AO412" s="10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  <c r="BF412" s="9"/>
      <c r="BG412" s="9"/>
      <c r="BH412" s="9"/>
      <c r="BI412" s="9"/>
      <c r="BJ412" s="9"/>
      <c r="BK412" s="9"/>
      <c r="BL412" s="9"/>
    </row>
    <row r="413" ht="15.75" customHeight="1">
      <c r="U413" s="10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11"/>
      <c r="AM413" s="9"/>
      <c r="AN413" s="9"/>
      <c r="AO413" s="10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  <c r="BF413" s="9"/>
      <c r="BG413" s="9"/>
      <c r="BH413" s="9"/>
      <c r="BI413" s="9"/>
      <c r="BJ413" s="9"/>
      <c r="BK413" s="9"/>
      <c r="BL413" s="9"/>
    </row>
    <row r="414" ht="15.75" customHeight="1">
      <c r="U414" s="10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11"/>
      <c r="AM414" s="9"/>
      <c r="AN414" s="9"/>
      <c r="AO414" s="10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  <c r="BG414" s="9"/>
      <c r="BH414" s="9"/>
      <c r="BI414" s="9"/>
      <c r="BJ414" s="9"/>
      <c r="BK414" s="9"/>
      <c r="BL414" s="9"/>
    </row>
    <row r="415" ht="15.75" customHeight="1">
      <c r="U415" s="10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11"/>
      <c r="AM415" s="9"/>
      <c r="AN415" s="9"/>
      <c r="AO415" s="10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  <c r="BG415" s="9"/>
      <c r="BH415" s="9"/>
      <c r="BI415" s="9"/>
      <c r="BJ415" s="9"/>
      <c r="BK415" s="9"/>
      <c r="BL415" s="9"/>
    </row>
    <row r="416" ht="15.75" customHeight="1">
      <c r="U416" s="10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11"/>
      <c r="AM416" s="9"/>
      <c r="AN416" s="9"/>
      <c r="AO416" s="10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9"/>
      <c r="BD416" s="9"/>
      <c r="BE416" s="9"/>
      <c r="BF416" s="9"/>
      <c r="BG416" s="9"/>
      <c r="BH416" s="9"/>
      <c r="BI416" s="9"/>
      <c r="BJ416" s="9"/>
      <c r="BK416" s="9"/>
      <c r="BL416" s="9"/>
    </row>
    <row r="417" ht="15.75" customHeight="1">
      <c r="U417" s="10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11"/>
      <c r="AM417" s="9"/>
      <c r="AN417" s="9"/>
      <c r="AO417" s="10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9"/>
      <c r="BD417" s="9"/>
      <c r="BE417" s="9"/>
      <c r="BF417" s="9"/>
      <c r="BG417" s="9"/>
      <c r="BH417" s="9"/>
      <c r="BI417" s="9"/>
      <c r="BJ417" s="9"/>
      <c r="BK417" s="9"/>
      <c r="BL417" s="9"/>
    </row>
    <row r="418" ht="15.75" customHeight="1">
      <c r="U418" s="10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11"/>
      <c r="AM418" s="9"/>
      <c r="AN418" s="9"/>
      <c r="AO418" s="10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  <c r="BF418" s="9"/>
      <c r="BG418" s="9"/>
      <c r="BH418" s="9"/>
      <c r="BI418" s="9"/>
      <c r="BJ418" s="9"/>
      <c r="BK418" s="9"/>
      <c r="BL418" s="9"/>
    </row>
    <row r="419" ht="15.75" customHeight="1">
      <c r="U419" s="10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11"/>
      <c r="AM419" s="9"/>
      <c r="AN419" s="9"/>
      <c r="AO419" s="10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  <c r="BF419" s="9"/>
      <c r="BG419" s="9"/>
      <c r="BH419" s="9"/>
      <c r="BI419" s="9"/>
      <c r="BJ419" s="9"/>
      <c r="BK419" s="9"/>
      <c r="BL419" s="9"/>
    </row>
    <row r="420" ht="15.75" customHeight="1">
      <c r="U420" s="10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11"/>
      <c r="AM420" s="9"/>
      <c r="AN420" s="9"/>
      <c r="AO420" s="10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  <c r="BF420" s="9"/>
      <c r="BG420" s="9"/>
      <c r="BH420" s="9"/>
      <c r="BI420" s="9"/>
      <c r="BJ420" s="9"/>
      <c r="BK420" s="9"/>
      <c r="BL420" s="9"/>
    </row>
    <row r="421" ht="15.75" customHeight="1">
      <c r="U421" s="10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11"/>
      <c r="AM421" s="9"/>
      <c r="AN421" s="9"/>
      <c r="AO421" s="10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  <c r="BF421" s="9"/>
      <c r="BG421" s="9"/>
      <c r="BH421" s="9"/>
      <c r="BI421" s="9"/>
      <c r="BJ421" s="9"/>
      <c r="BK421" s="9"/>
      <c r="BL421" s="9"/>
    </row>
    <row r="422" ht="15.75" customHeight="1">
      <c r="U422" s="10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11"/>
      <c r="AM422" s="9"/>
      <c r="AN422" s="9"/>
      <c r="AO422" s="10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9"/>
      <c r="BD422" s="9"/>
      <c r="BE422" s="9"/>
      <c r="BF422" s="9"/>
      <c r="BG422" s="9"/>
      <c r="BH422" s="9"/>
      <c r="BI422" s="9"/>
      <c r="BJ422" s="9"/>
      <c r="BK422" s="9"/>
      <c r="BL422" s="9"/>
    </row>
    <row r="423" ht="15.75" customHeight="1">
      <c r="U423" s="10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11"/>
      <c r="AM423" s="9"/>
      <c r="AN423" s="9"/>
      <c r="AO423" s="10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9"/>
      <c r="BD423" s="9"/>
      <c r="BE423" s="9"/>
      <c r="BF423" s="9"/>
      <c r="BG423" s="9"/>
      <c r="BH423" s="9"/>
      <c r="BI423" s="9"/>
      <c r="BJ423" s="9"/>
      <c r="BK423" s="9"/>
      <c r="BL423" s="9"/>
    </row>
    <row r="424" ht="15.75" customHeight="1">
      <c r="U424" s="10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11"/>
      <c r="AM424" s="9"/>
      <c r="AN424" s="9"/>
      <c r="AO424" s="10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9"/>
      <c r="BD424" s="9"/>
      <c r="BE424" s="9"/>
      <c r="BF424" s="9"/>
      <c r="BG424" s="9"/>
      <c r="BH424" s="9"/>
      <c r="BI424" s="9"/>
      <c r="BJ424" s="9"/>
      <c r="BK424" s="9"/>
      <c r="BL424" s="9"/>
    </row>
    <row r="425" ht="15.75" customHeight="1">
      <c r="U425" s="10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11"/>
      <c r="AM425" s="9"/>
      <c r="AN425" s="9"/>
      <c r="AO425" s="10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9"/>
      <c r="BD425" s="9"/>
      <c r="BE425" s="9"/>
      <c r="BF425" s="9"/>
      <c r="BG425" s="9"/>
      <c r="BH425" s="9"/>
      <c r="BI425" s="9"/>
      <c r="BJ425" s="9"/>
      <c r="BK425" s="9"/>
      <c r="BL425" s="9"/>
    </row>
    <row r="426" ht="15.75" customHeight="1">
      <c r="U426" s="10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11"/>
      <c r="AM426" s="9"/>
      <c r="AN426" s="9"/>
      <c r="AO426" s="10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9"/>
      <c r="BD426" s="9"/>
      <c r="BE426" s="9"/>
      <c r="BF426" s="9"/>
      <c r="BG426" s="9"/>
      <c r="BH426" s="9"/>
      <c r="BI426" s="9"/>
      <c r="BJ426" s="9"/>
      <c r="BK426" s="9"/>
      <c r="BL426" s="9"/>
    </row>
    <row r="427" ht="15.75" customHeight="1">
      <c r="U427" s="10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11"/>
      <c r="AM427" s="9"/>
      <c r="AN427" s="9"/>
      <c r="AO427" s="10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  <c r="BG427" s="9"/>
      <c r="BH427" s="9"/>
      <c r="BI427" s="9"/>
      <c r="BJ427" s="9"/>
      <c r="BK427" s="9"/>
      <c r="BL427" s="9"/>
    </row>
    <row r="428" ht="15.75" customHeight="1">
      <c r="U428" s="10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11"/>
      <c r="AM428" s="9"/>
      <c r="AN428" s="9"/>
      <c r="AO428" s="10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  <c r="BG428" s="9"/>
      <c r="BH428" s="9"/>
      <c r="BI428" s="9"/>
      <c r="BJ428" s="9"/>
      <c r="BK428" s="9"/>
      <c r="BL428" s="9"/>
    </row>
    <row r="429" ht="15.75" customHeight="1">
      <c r="U429" s="10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11"/>
      <c r="AM429" s="9"/>
      <c r="AN429" s="9"/>
      <c r="AO429" s="10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9"/>
      <c r="BF429" s="9"/>
      <c r="BG429" s="9"/>
      <c r="BH429" s="9"/>
      <c r="BI429" s="9"/>
      <c r="BJ429" s="9"/>
      <c r="BK429" s="9"/>
      <c r="BL429" s="9"/>
    </row>
    <row r="430" ht="15.75" customHeight="1">
      <c r="U430" s="10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11"/>
      <c r="AM430" s="9"/>
      <c r="AN430" s="9"/>
      <c r="AO430" s="10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  <c r="BG430" s="9"/>
      <c r="BH430" s="9"/>
      <c r="BI430" s="9"/>
      <c r="BJ430" s="9"/>
      <c r="BK430" s="9"/>
      <c r="BL430" s="9"/>
    </row>
    <row r="431" ht="15.75" customHeight="1">
      <c r="U431" s="10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11"/>
      <c r="AM431" s="9"/>
      <c r="AN431" s="9"/>
      <c r="AO431" s="10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9"/>
      <c r="BF431" s="9"/>
      <c r="BG431" s="9"/>
      <c r="BH431" s="9"/>
      <c r="BI431" s="9"/>
      <c r="BJ431" s="9"/>
      <c r="BK431" s="9"/>
      <c r="BL431" s="9"/>
    </row>
    <row r="432" ht="15.75" customHeight="1">
      <c r="U432" s="10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11"/>
      <c r="AM432" s="9"/>
      <c r="AN432" s="9"/>
      <c r="AO432" s="10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  <c r="BF432" s="9"/>
      <c r="BG432" s="9"/>
      <c r="BH432" s="9"/>
      <c r="BI432" s="9"/>
      <c r="BJ432" s="9"/>
      <c r="BK432" s="9"/>
      <c r="BL432" s="9"/>
    </row>
    <row r="433" ht="15.75" customHeight="1">
      <c r="U433" s="10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11"/>
      <c r="AM433" s="9"/>
      <c r="AN433" s="9"/>
      <c r="AO433" s="10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  <c r="BG433" s="9"/>
      <c r="BH433" s="9"/>
      <c r="BI433" s="9"/>
      <c r="BJ433" s="9"/>
      <c r="BK433" s="9"/>
      <c r="BL433" s="9"/>
    </row>
    <row r="434" ht="15.75" customHeight="1">
      <c r="U434" s="10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11"/>
      <c r="AM434" s="9"/>
      <c r="AN434" s="9"/>
      <c r="AO434" s="10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9"/>
      <c r="BD434" s="9"/>
      <c r="BE434" s="9"/>
      <c r="BF434" s="9"/>
      <c r="BG434" s="9"/>
      <c r="BH434" s="9"/>
      <c r="BI434" s="9"/>
      <c r="BJ434" s="9"/>
      <c r="BK434" s="9"/>
      <c r="BL434" s="9"/>
    </row>
    <row r="435" ht="15.75" customHeight="1">
      <c r="U435" s="10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11"/>
      <c r="AM435" s="9"/>
      <c r="AN435" s="9"/>
      <c r="AO435" s="10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9"/>
      <c r="BD435" s="9"/>
      <c r="BE435" s="9"/>
      <c r="BF435" s="9"/>
      <c r="BG435" s="9"/>
      <c r="BH435" s="9"/>
      <c r="BI435" s="9"/>
      <c r="BJ435" s="9"/>
      <c r="BK435" s="9"/>
      <c r="BL435" s="9"/>
    </row>
    <row r="436" ht="15.75" customHeight="1">
      <c r="U436" s="10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11"/>
      <c r="AM436" s="9"/>
      <c r="AN436" s="9"/>
      <c r="AO436" s="10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/>
      <c r="BF436" s="9"/>
      <c r="BG436" s="9"/>
      <c r="BH436" s="9"/>
      <c r="BI436" s="9"/>
      <c r="BJ436" s="9"/>
      <c r="BK436" s="9"/>
      <c r="BL436" s="9"/>
    </row>
    <row r="437" ht="15.75" customHeight="1">
      <c r="U437" s="10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11"/>
      <c r="AM437" s="9"/>
      <c r="AN437" s="9"/>
      <c r="AO437" s="10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9"/>
      <c r="BD437" s="9"/>
      <c r="BE437" s="9"/>
      <c r="BF437" s="9"/>
      <c r="BG437" s="9"/>
      <c r="BH437" s="9"/>
      <c r="BI437" s="9"/>
      <c r="BJ437" s="9"/>
      <c r="BK437" s="9"/>
      <c r="BL437" s="9"/>
    </row>
    <row r="438" ht="15.75" customHeight="1">
      <c r="U438" s="10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11"/>
      <c r="AM438" s="9"/>
      <c r="AN438" s="9"/>
      <c r="AO438" s="10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9"/>
      <c r="BD438" s="9"/>
      <c r="BE438" s="9"/>
      <c r="BF438" s="9"/>
      <c r="BG438" s="9"/>
      <c r="BH438" s="9"/>
      <c r="BI438" s="9"/>
      <c r="BJ438" s="9"/>
      <c r="BK438" s="9"/>
      <c r="BL438" s="9"/>
    </row>
    <row r="439" ht="15.75" customHeight="1">
      <c r="U439" s="10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11"/>
      <c r="AM439" s="9"/>
      <c r="AN439" s="9"/>
      <c r="AO439" s="10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9"/>
      <c r="BD439" s="9"/>
      <c r="BE439" s="9"/>
      <c r="BF439" s="9"/>
      <c r="BG439" s="9"/>
      <c r="BH439" s="9"/>
      <c r="BI439" s="9"/>
      <c r="BJ439" s="9"/>
      <c r="BK439" s="9"/>
      <c r="BL439" s="9"/>
    </row>
    <row r="440" ht="15.75" customHeight="1">
      <c r="U440" s="10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11"/>
      <c r="AM440" s="9"/>
      <c r="AN440" s="9"/>
      <c r="AO440" s="10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9"/>
      <c r="BD440" s="9"/>
      <c r="BE440" s="9"/>
      <c r="BF440" s="9"/>
      <c r="BG440" s="9"/>
      <c r="BH440" s="9"/>
      <c r="BI440" s="9"/>
      <c r="BJ440" s="9"/>
      <c r="BK440" s="9"/>
      <c r="BL440" s="9"/>
    </row>
    <row r="441" ht="15.75" customHeight="1">
      <c r="U441" s="10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11"/>
      <c r="AM441" s="9"/>
      <c r="AN441" s="9"/>
      <c r="AO441" s="10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9"/>
      <c r="BD441" s="9"/>
      <c r="BE441" s="9"/>
      <c r="BF441" s="9"/>
      <c r="BG441" s="9"/>
      <c r="BH441" s="9"/>
      <c r="BI441" s="9"/>
      <c r="BJ441" s="9"/>
      <c r="BK441" s="9"/>
      <c r="BL441" s="9"/>
    </row>
    <row r="442" ht="15.75" customHeight="1">
      <c r="U442" s="10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11"/>
      <c r="AM442" s="9"/>
      <c r="AN442" s="9"/>
      <c r="AO442" s="10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9"/>
      <c r="BD442" s="9"/>
      <c r="BE442" s="9"/>
      <c r="BF442" s="9"/>
      <c r="BG442" s="9"/>
      <c r="BH442" s="9"/>
      <c r="BI442" s="9"/>
      <c r="BJ442" s="9"/>
      <c r="BK442" s="9"/>
      <c r="BL442" s="9"/>
    </row>
    <row r="443" ht="15.75" customHeight="1">
      <c r="U443" s="10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11"/>
      <c r="AM443" s="9"/>
      <c r="AN443" s="9"/>
      <c r="AO443" s="10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9"/>
      <c r="BD443" s="9"/>
      <c r="BE443" s="9"/>
      <c r="BF443" s="9"/>
      <c r="BG443" s="9"/>
      <c r="BH443" s="9"/>
      <c r="BI443" s="9"/>
      <c r="BJ443" s="9"/>
      <c r="BK443" s="9"/>
      <c r="BL443" s="9"/>
    </row>
    <row r="444" ht="15.75" customHeight="1">
      <c r="U444" s="10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11"/>
      <c r="AM444" s="9"/>
      <c r="AN444" s="9"/>
      <c r="AO444" s="10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9"/>
      <c r="BD444" s="9"/>
      <c r="BE444" s="9"/>
      <c r="BF444" s="9"/>
      <c r="BG444" s="9"/>
      <c r="BH444" s="9"/>
      <c r="BI444" s="9"/>
      <c r="BJ444" s="9"/>
      <c r="BK444" s="9"/>
      <c r="BL444" s="9"/>
    </row>
    <row r="445" ht="15.75" customHeight="1">
      <c r="U445" s="10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11"/>
      <c r="AM445" s="9"/>
      <c r="AN445" s="9"/>
      <c r="AO445" s="10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9"/>
      <c r="BD445" s="9"/>
      <c r="BE445" s="9"/>
      <c r="BF445" s="9"/>
      <c r="BG445" s="9"/>
      <c r="BH445" s="9"/>
      <c r="BI445" s="9"/>
      <c r="BJ445" s="9"/>
      <c r="BK445" s="9"/>
      <c r="BL445" s="9"/>
    </row>
    <row r="446" ht="15.75" customHeight="1">
      <c r="U446" s="10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11"/>
      <c r="AM446" s="9"/>
      <c r="AN446" s="9"/>
      <c r="AO446" s="10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9"/>
      <c r="BD446" s="9"/>
      <c r="BE446" s="9"/>
      <c r="BF446" s="9"/>
      <c r="BG446" s="9"/>
      <c r="BH446" s="9"/>
      <c r="BI446" s="9"/>
      <c r="BJ446" s="9"/>
      <c r="BK446" s="9"/>
      <c r="BL446" s="9"/>
    </row>
    <row r="447" ht="15.75" customHeight="1">
      <c r="U447" s="10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11"/>
      <c r="AM447" s="9"/>
      <c r="AN447" s="9"/>
      <c r="AO447" s="10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9"/>
      <c r="BD447" s="9"/>
      <c r="BE447" s="9"/>
      <c r="BF447" s="9"/>
      <c r="BG447" s="9"/>
      <c r="BH447" s="9"/>
      <c r="BI447" s="9"/>
      <c r="BJ447" s="9"/>
      <c r="BK447" s="9"/>
      <c r="BL447" s="9"/>
    </row>
    <row r="448" ht="15.75" customHeight="1">
      <c r="U448" s="10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11"/>
      <c r="AM448" s="9"/>
      <c r="AN448" s="9"/>
      <c r="AO448" s="10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9"/>
      <c r="BD448" s="9"/>
      <c r="BE448" s="9"/>
      <c r="BF448" s="9"/>
      <c r="BG448" s="9"/>
      <c r="BH448" s="9"/>
      <c r="BI448" s="9"/>
      <c r="BJ448" s="9"/>
      <c r="BK448" s="9"/>
      <c r="BL448" s="9"/>
    </row>
    <row r="449" ht="15.75" customHeight="1">
      <c r="U449" s="10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11"/>
      <c r="AM449" s="9"/>
      <c r="AN449" s="9"/>
      <c r="AO449" s="10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9"/>
      <c r="BD449" s="9"/>
      <c r="BE449" s="9"/>
      <c r="BF449" s="9"/>
      <c r="BG449" s="9"/>
      <c r="BH449" s="9"/>
      <c r="BI449" s="9"/>
      <c r="BJ449" s="9"/>
      <c r="BK449" s="9"/>
      <c r="BL449" s="9"/>
    </row>
    <row r="450" ht="15.75" customHeight="1">
      <c r="U450" s="10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11"/>
      <c r="AM450" s="9"/>
      <c r="AN450" s="9"/>
      <c r="AO450" s="10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  <c r="BF450" s="9"/>
      <c r="BG450" s="9"/>
      <c r="BH450" s="9"/>
      <c r="BI450" s="9"/>
      <c r="BJ450" s="9"/>
      <c r="BK450" s="9"/>
      <c r="BL450" s="9"/>
    </row>
    <row r="451" ht="15.75" customHeight="1">
      <c r="U451" s="10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11"/>
      <c r="AM451" s="9"/>
      <c r="AN451" s="9"/>
      <c r="AO451" s="10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9"/>
      <c r="BD451" s="9"/>
      <c r="BE451" s="9"/>
      <c r="BF451" s="9"/>
      <c r="BG451" s="9"/>
      <c r="BH451" s="9"/>
      <c r="BI451" s="9"/>
      <c r="BJ451" s="9"/>
      <c r="BK451" s="9"/>
      <c r="BL451" s="9"/>
    </row>
    <row r="452" ht="15.75" customHeight="1">
      <c r="U452" s="10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11"/>
      <c r="AM452" s="9"/>
      <c r="AN452" s="9"/>
      <c r="AO452" s="10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9"/>
      <c r="BF452" s="9"/>
      <c r="BG452" s="9"/>
      <c r="BH452" s="9"/>
      <c r="BI452" s="9"/>
      <c r="BJ452" s="9"/>
      <c r="BK452" s="9"/>
      <c r="BL452" s="9"/>
    </row>
    <row r="453" ht="15.75" customHeight="1">
      <c r="U453" s="10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11"/>
      <c r="AM453" s="9"/>
      <c r="AN453" s="9"/>
      <c r="AO453" s="10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9"/>
      <c r="BD453" s="9"/>
      <c r="BE453" s="9"/>
      <c r="BF453" s="9"/>
      <c r="BG453" s="9"/>
      <c r="BH453" s="9"/>
      <c r="BI453" s="9"/>
      <c r="BJ453" s="9"/>
      <c r="BK453" s="9"/>
      <c r="BL453" s="9"/>
    </row>
    <row r="454" ht="15.75" customHeight="1">
      <c r="U454" s="10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11"/>
      <c r="AM454" s="9"/>
      <c r="AN454" s="9"/>
      <c r="AO454" s="10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9"/>
      <c r="BD454" s="9"/>
      <c r="BE454" s="9"/>
      <c r="BF454" s="9"/>
      <c r="BG454" s="9"/>
      <c r="BH454" s="9"/>
      <c r="BI454" s="9"/>
      <c r="BJ454" s="9"/>
      <c r="BK454" s="9"/>
      <c r="BL454" s="9"/>
    </row>
    <row r="455" ht="15.75" customHeight="1">
      <c r="U455" s="10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11"/>
      <c r="AM455" s="9"/>
      <c r="AN455" s="9"/>
      <c r="AO455" s="10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  <c r="BF455" s="9"/>
      <c r="BG455" s="9"/>
      <c r="BH455" s="9"/>
      <c r="BI455" s="9"/>
      <c r="BJ455" s="9"/>
      <c r="BK455" s="9"/>
      <c r="BL455" s="9"/>
    </row>
    <row r="456" ht="15.75" customHeight="1">
      <c r="U456" s="10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11"/>
      <c r="AM456" s="9"/>
      <c r="AN456" s="9"/>
      <c r="AO456" s="10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9"/>
      <c r="BD456" s="9"/>
      <c r="BE456" s="9"/>
      <c r="BF456" s="9"/>
      <c r="BG456" s="9"/>
      <c r="BH456" s="9"/>
      <c r="BI456" s="9"/>
      <c r="BJ456" s="9"/>
      <c r="BK456" s="9"/>
      <c r="BL456" s="9"/>
    </row>
    <row r="457" ht="15.75" customHeight="1">
      <c r="U457" s="10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11"/>
      <c r="AM457" s="9"/>
      <c r="AN457" s="9"/>
      <c r="AO457" s="10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9"/>
      <c r="BD457" s="9"/>
      <c r="BE457" s="9"/>
      <c r="BF457" s="9"/>
      <c r="BG457" s="9"/>
      <c r="BH457" s="9"/>
      <c r="BI457" s="9"/>
      <c r="BJ457" s="9"/>
      <c r="BK457" s="9"/>
      <c r="BL457" s="9"/>
    </row>
    <row r="458" ht="15.75" customHeight="1">
      <c r="U458" s="10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11"/>
      <c r="AM458" s="9"/>
      <c r="AN458" s="9"/>
      <c r="AO458" s="10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9"/>
      <c r="BD458" s="9"/>
      <c r="BE458" s="9"/>
      <c r="BF458" s="9"/>
      <c r="BG458" s="9"/>
      <c r="BH458" s="9"/>
      <c r="BI458" s="9"/>
      <c r="BJ458" s="9"/>
      <c r="BK458" s="9"/>
      <c r="BL458" s="9"/>
    </row>
    <row r="459" ht="15.75" customHeight="1">
      <c r="U459" s="10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11"/>
      <c r="AM459" s="9"/>
      <c r="AN459" s="9"/>
      <c r="AO459" s="10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9"/>
      <c r="BD459" s="9"/>
      <c r="BE459" s="9"/>
      <c r="BF459" s="9"/>
      <c r="BG459" s="9"/>
      <c r="BH459" s="9"/>
      <c r="BI459" s="9"/>
      <c r="BJ459" s="9"/>
      <c r="BK459" s="9"/>
      <c r="BL459" s="9"/>
    </row>
    <row r="460" ht="15.75" customHeight="1">
      <c r="U460" s="10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11"/>
      <c r="AM460" s="9"/>
      <c r="AN460" s="9"/>
      <c r="AO460" s="10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9"/>
      <c r="BD460" s="9"/>
      <c r="BE460" s="9"/>
      <c r="BF460" s="9"/>
      <c r="BG460" s="9"/>
      <c r="BH460" s="9"/>
      <c r="BI460" s="9"/>
      <c r="BJ460" s="9"/>
      <c r="BK460" s="9"/>
      <c r="BL460" s="9"/>
    </row>
    <row r="461" ht="15.75" customHeight="1">
      <c r="U461" s="10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11"/>
      <c r="AM461" s="9"/>
      <c r="AN461" s="9"/>
      <c r="AO461" s="10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9"/>
      <c r="BD461" s="9"/>
      <c r="BE461" s="9"/>
      <c r="BF461" s="9"/>
      <c r="BG461" s="9"/>
      <c r="BH461" s="9"/>
      <c r="BI461" s="9"/>
      <c r="BJ461" s="9"/>
      <c r="BK461" s="9"/>
      <c r="BL461" s="9"/>
    </row>
    <row r="462" ht="15.75" customHeight="1">
      <c r="U462" s="10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11"/>
      <c r="AM462" s="9"/>
      <c r="AN462" s="9"/>
      <c r="AO462" s="10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9"/>
      <c r="BD462" s="9"/>
      <c r="BE462" s="9"/>
      <c r="BF462" s="9"/>
      <c r="BG462" s="9"/>
      <c r="BH462" s="9"/>
      <c r="BI462" s="9"/>
      <c r="BJ462" s="9"/>
      <c r="BK462" s="9"/>
      <c r="BL462" s="9"/>
    </row>
    <row r="463" ht="15.75" customHeight="1">
      <c r="U463" s="10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11"/>
      <c r="AM463" s="9"/>
      <c r="AN463" s="9"/>
      <c r="AO463" s="10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9"/>
      <c r="BD463" s="9"/>
      <c r="BE463" s="9"/>
      <c r="BF463" s="9"/>
      <c r="BG463" s="9"/>
      <c r="BH463" s="9"/>
      <c r="BI463" s="9"/>
      <c r="BJ463" s="9"/>
      <c r="BK463" s="9"/>
      <c r="BL463" s="9"/>
    </row>
    <row r="464" ht="15.75" customHeight="1">
      <c r="U464" s="10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11"/>
      <c r="AM464" s="9"/>
      <c r="AN464" s="9"/>
      <c r="AO464" s="10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9"/>
      <c r="BD464" s="9"/>
      <c r="BE464" s="9"/>
      <c r="BF464" s="9"/>
      <c r="BG464" s="9"/>
      <c r="BH464" s="9"/>
      <c r="BI464" s="9"/>
      <c r="BJ464" s="9"/>
      <c r="BK464" s="9"/>
      <c r="BL464" s="9"/>
    </row>
    <row r="465" ht="15.75" customHeight="1">
      <c r="U465" s="10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11"/>
      <c r="AM465" s="9"/>
      <c r="AN465" s="9"/>
      <c r="AO465" s="10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9"/>
      <c r="BD465" s="9"/>
      <c r="BE465" s="9"/>
      <c r="BF465" s="9"/>
      <c r="BG465" s="9"/>
      <c r="BH465" s="9"/>
      <c r="BI465" s="9"/>
      <c r="BJ465" s="9"/>
      <c r="BK465" s="9"/>
      <c r="BL465" s="9"/>
    </row>
    <row r="466" ht="15.75" customHeight="1">
      <c r="U466" s="10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11"/>
      <c r="AM466" s="9"/>
      <c r="AN466" s="9"/>
      <c r="AO466" s="10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9"/>
      <c r="BD466" s="9"/>
      <c r="BE466" s="9"/>
      <c r="BF466" s="9"/>
      <c r="BG466" s="9"/>
      <c r="BH466" s="9"/>
      <c r="BI466" s="9"/>
      <c r="BJ466" s="9"/>
      <c r="BK466" s="9"/>
      <c r="BL466" s="9"/>
    </row>
    <row r="467" ht="15.75" customHeight="1">
      <c r="U467" s="10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11"/>
      <c r="AM467" s="9"/>
      <c r="AN467" s="9"/>
      <c r="AO467" s="10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9"/>
      <c r="BD467" s="9"/>
      <c r="BE467" s="9"/>
      <c r="BF467" s="9"/>
      <c r="BG467" s="9"/>
      <c r="BH467" s="9"/>
      <c r="BI467" s="9"/>
      <c r="BJ467" s="9"/>
      <c r="BK467" s="9"/>
      <c r="BL467" s="9"/>
    </row>
    <row r="468" ht="15.75" customHeight="1">
      <c r="U468" s="10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11"/>
      <c r="AM468" s="9"/>
      <c r="AN468" s="9"/>
      <c r="AO468" s="10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  <c r="BC468" s="9"/>
      <c r="BD468" s="9"/>
      <c r="BE468" s="9"/>
      <c r="BF468" s="9"/>
      <c r="BG468" s="9"/>
      <c r="BH468" s="9"/>
      <c r="BI468" s="9"/>
      <c r="BJ468" s="9"/>
      <c r="BK468" s="9"/>
      <c r="BL468" s="9"/>
    </row>
    <row r="469" ht="15.75" customHeight="1">
      <c r="U469" s="10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11"/>
      <c r="AM469" s="9"/>
      <c r="AN469" s="9"/>
      <c r="AO469" s="10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9"/>
      <c r="BD469" s="9"/>
      <c r="BE469" s="9"/>
      <c r="BF469" s="9"/>
      <c r="BG469" s="9"/>
      <c r="BH469" s="9"/>
      <c r="BI469" s="9"/>
      <c r="BJ469" s="9"/>
      <c r="BK469" s="9"/>
      <c r="BL469" s="9"/>
    </row>
    <row r="470" ht="15.75" customHeight="1">
      <c r="U470" s="10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11"/>
      <c r="AM470" s="9"/>
      <c r="AN470" s="9"/>
      <c r="AO470" s="10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  <c r="BC470" s="9"/>
      <c r="BD470" s="9"/>
      <c r="BE470" s="9"/>
      <c r="BF470" s="9"/>
      <c r="BG470" s="9"/>
      <c r="BH470" s="9"/>
      <c r="BI470" s="9"/>
      <c r="BJ470" s="9"/>
      <c r="BK470" s="9"/>
      <c r="BL470" s="9"/>
    </row>
    <row r="471" ht="15.75" customHeight="1">
      <c r="U471" s="10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11"/>
      <c r="AM471" s="9"/>
      <c r="AN471" s="9"/>
      <c r="AO471" s="10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9"/>
      <c r="BD471" s="9"/>
      <c r="BE471" s="9"/>
      <c r="BF471" s="9"/>
      <c r="BG471" s="9"/>
      <c r="BH471" s="9"/>
      <c r="BI471" s="9"/>
      <c r="BJ471" s="9"/>
      <c r="BK471" s="9"/>
      <c r="BL471" s="9"/>
    </row>
    <row r="472" ht="15.75" customHeight="1">
      <c r="U472" s="10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11"/>
      <c r="AM472" s="9"/>
      <c r="AN472" s="9"/>
      <c r="AO472" s="10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9"/>
      <c r="BD472" s="9"/>
      <c r="BE472" s="9"/>
      <c r="BF472" s="9"/>
      <c r="BG472" s="9"/>
      <c r="BH472" s="9"/>
      <c r="BI472" s="9"/>
      <c r="BJ472" s="9"/>
      <c r="BK472" s="9"/>
      <c r="BL472" s="9"/>
    </row>
    <row r="473" ht="15.75" customHeight="1">
      <c r="U473" s="10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11"/>
      <c r="AM473" s="9"/>
      <c r="AN473" s="9"/>
      <c r="AO473" s="10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9"/>
      <c r="BC473" s="9"/>
      <c r="BD473" s="9"/>
      <c r="BE473" s="9"/>
      <c r="BF473" s="9"/>
      <c r="BG473" s="9"/>
      <c r="BH473" s="9"/>
      <c r="BI473" s="9"/>
      <c r="BJ473" s="9"/>
      <c r="BK473" s="9"/>
      <c r="BL473" s="9"/>
    </row>
    <row r="474" ht="15.75" customHeight="1">
      <c r="U474" s="10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11"/>
      <c r="AM474" s="9"/>
      <c r="AN474" s="9"/>
      <c r="AO474" s="10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9"/>
      <c r="BD474" s="9"/>
      <c r="BE474" s="9"/>
      <c r="BF474" s="9"/>
      <c r="BG474" s="9"/>
      <c r="BH474" s="9"/>
      <c r="BI474" s="9"/>
      <c r="BJ474" s="9"/>
      <c r="BK474" s="9"/>
      <c r="BL474" s="9"/>
    </row>
    <row r="475" ht="15.75" customHeight="1">
      <c r="U475" s="10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11"/>
      <c r="AM475" s="9"/>
      <c r="AN475" s="9"/>
      <c r="AO475" s="10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  <c r="BC475" s="9"/>
      <c r="BD475" s="9"/>
      <c r="BE475" s="9"/>
      <c r="BF475" s="9"/>
      <c r="BG475" s="9"/>
      <c r="BH475" s="9"/>
      <c r="BI475" s="9"/>
      <c r="BJ475" s="9"/>
      <c r="BK475" s="9"/>
      <c r="BL475" s="9"/>
    </row>
    <row r="476" ht="15.75" customHeight="1">
      <c r="U476" s="10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11"/>
      <c r="AM476" s="9"/>
      <c r="AN476" s="9"/>
      <c r="AO476" s="10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  <c r="BC476" s="9"/>
      <c r="BD476" s="9"/>
      <c r="BE476" s="9"/>
      <c r="BF476" s="9"/>
      <c r="BG476" s="9"/>
      <c r="BH476" s="9"/>
      <c r="BI476" s="9"/>
      <c r="BJ476" s="9"/>
      <c r="BK476" s="9"/>
      <c r="BL476" s="9"/>
    </row>
    <row r="477" ht="15.75" customHeight="1">
      <c r="U477" s="10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11"/>
      <c r="AM477" s="9"/>
      <c r="AN477" s="9"/>
      <c r="AO477" s="10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9"/>
      <c r="BD477" s="9"/>
      <c r="BE477" s="9"/>
      <c r="BF477" s="9"/>
      <c r="BG477" s="9"/>
      <c r="BH477" s="9"/>
      <c r="BI477" s="9"/>
      <c r="BJ477" s="9"/>
      <c r="BK477" s="9"/>
      <c r="BL477" s="9"/>
    </row>
    <row r="478" ht="15.75" customHeight="1">
      <c r="U478" s="10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11"/>
      <c r="AM478" s="9"/>
      <c r="AN478" s="9"/>
      <c r="AO478" s="10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9"/>
      <c r="BD478" s="9"/>
      <c r="BE478" s="9"/>
      <c r="BF478" s="9"/>
      <c r="BG478" s="9"/>
      <c r="BH478" s="9"/>
      <c r="BI478" s="9"/>
      <c r="BJ478" s="9"/>
      <c r="BK478" s="9"/>
      <c r="BL478" s="9"/>
    </row>
    <row r="479" ht="15.75" customHeight="1">
      <c r="U479" s="10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11"/>
      <c r="AM479" s="9"/>
      <c r="AN479" s="9"/>
      <c r="AO479" s="10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  <c r="BC479" s="9"/>
      <c r="BD479" s="9"/>
      <c r="BE479" s="9"/>
      <c r="BF479" s="9"/>
      <c r="BG479" s="9"/>
      <c r="BH479" s="9"/>
      <c r="BI479" s="9"/>
      <c r="BJ479" s="9"/>
      <c r="BK479" s="9"/>
      <c r="BL479" s="9"/>
    </row>
    <row r="480" ht="15.75" customHeight="1">
      <c r="U480" s="10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11"/>
      <c r="AM480" s="9"/>
      <c r="AN480" s="9"/>
      <c r="AO480" s="10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  <c r="BG480" s="9"/>
      <c r="BH480" s="9"/>
      <c r="BI480" s="9"/>
      <c r="BJ480" s="9"/>
      <c r="BK480" s="9"/>
      <c r="BL480" s="9"/>
    </row>
    <row r="481" ht="15.75" customHeight="1">
      <c r="U481" s="10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11"/>
      <c r="AM481" s="9"/>
      <c r="AN481" s="9"/>
      <c r="AO481" s="10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9"/>
      <c r="BD481" s="9"/>
      <c r="BE481" s="9"/>
      <c r="BF481" s="9"/>
      <c r="BG481" s="9"/>
      <c r="BH481" s="9"/>
      <c r="BI481" s="9"/>
      <c r="BJ481" s="9"/>
      <c r="BK481" s="9"/>
      <c r="BL481" s="9"/>
    </row>
    <row r="482" ht="15.75" customHeight="1">
      <c r="U482" s="10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11"/>
      <c r="AM482" s="9"/>
      <c r="AN482" s="9"/>
      <c r="AO482" s="10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  <c r="BC482" s="9"/>
      <c r="BD482" s="9"/>
      <c r="BE482" s="9"/>
      <c r="BF482" s="9"/>
      <c r="BG482" s="9"/>
      <c r="BH482" s="9"/>
      <c r="BI482" s="9"/>
      <c r="BJ482" s="9"/>
      <c r="BK482" s="9"/>
      <c r="BL482" s="9"/>
    </row>
    <row r="483" ht="15.75" customHeight="1">
      <c r="U483" s="10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11"/>
      <c r="AM483" s="9"/>
      <c r="AN483" s="9"/>
      <c r="AO483" s="10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  <c r="BC483" s="9"/>
      <c r="BD483" s="9"/>
      <c r="BE483" s="9"/>
      <c r="BF483" s="9"/>
      <c r="BG483" s="9"/>
      <c r="BH483" s="9"/>
      <c r="BI483" s="9"/>
      <c r="BJ483" s="9"/>
      <c r="BK483" s="9"/>
      <c r="BL483" s="9"/>
    </row>
    <row r="484" ht="15.75" customHeight="1">
      <c r="U484" s="10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11"/>
      <c r="AM484" s="9"/>
      <c r="AN484" s="9"/>
      <c r="AO484" s="10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  <c r="BC484" s="9"/>
      <c r="BD484" s="9"/>
      <c r="BE484" s="9"/>
      <c r="BF484" s="9"/>
      <c r="BG484" s="9"/>
      <c r="BH484" s="9"/>
      <c r="BI484" s="9"/>
      <c r="BJ484" s="9"/>
      <c r="BK484" s="9"/>
      <c r="BL484" s="9"/>
    </row>
    <row r="485" ht="15.75" customHeight="1">
      <c r="U485" s="10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11"/>
      <c r="AM485" s="9"/>
      <c r="AN485" s="9"/>
      <c r="AO485" s="10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9"/>
      <c r="BC485" s="9"/>
      <c r="BD485" s="9"/>
      <c r="BE485" s="9"/>
      <c r="BF485" s="9"/>
      <c r="BG485" s="9"/>
      <c r="BH485" s="9"/>
      <c r="BI485" s="9"/>
      <c r="BJ485" s="9"/>
      <c r="BK485" s="9"/>
      <c r="BL485" s="9"/>
    </row>
    <row r="486" ht="15.75" customHeight="1">
      <c r="U486" s="10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11"/>
      <c r="AM486" s="9"/>
      <c r="AN486" s="9"/>
      <c r="AO486" s="10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9"/>
      <c r="BD486" s="9"/>
      <c r="BE486" s="9"/>
      <c r="BF486" s="9"/>
      <c r="BG486" s="9"/>
      <c r="BH486" s="9"/>
      <c r="BI486" s="9"/>
      <c r="BJ486" s="9"/>
      <c r="BK486" s="9"/>
      <c r="BL486" s="9"/>
    </row>
    <row r="487" ht="15.75" customHeight="1">
      <c r="U487" s="10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11"/>
      <c r="AM487" s="9"/>
      <c r="AN487" s="9"/>
      <c r="AO487" s="10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  <c r="BC487" s="9"/>
      <c r="BD487" s="9"/>
      <c r="BE487" s="9"/>
      <c r="BF487" s="9"/>
      <c r="BG487" s="9"/>
      <c r="BH487" s="9"/>
      <c r="BI487" s="9"/>
      <c r="BJ487" s="9"/>
      <c r="BK487" s="9"/>
      <c r="BL487" s="9"/>
    </row>
    <row r="488" ht="15.75" customHeight="1">
      <c r="U488" s="10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11"/>
      <c r="AM488" s="9"/>
      <c r="AN488" s="9"/>
      <c r="AO488" s="10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9"/>
      <c r="BD488" s="9"/>
      <c r="BE488" s="9"/>
      <c r="BF488" s="9"/>
      <c r="BG488" s="9"/>
      <c r="BH488" s="9"/>
      <c r="BI488" s="9"/>
      <c r="BJ488" s="9"/>
      <c r="BK488" s="9"/>
      <c r="BL488" s="9"/>
    </row>
    <row r="489" ht="15.75" customHeight="1">
      <c r="U489" s="10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11"/>
      <c r="AM489" s="9"/>
      <c r="AN489" s="9"/>
      <c r="AO489" s="10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9"/>
      <c r="BD489" s="9"/>
      <c r="BE489" s="9"/>
      <c r="BF489" s="9"/>
      <c r="BG489" s="9"/>
      <c r="BH489" s="9"/>
      <c r="BI489" s="9"/>
      <c r="BJ489" s="9"/>
      <c r="BK489" s="9"/>
      <c r="BL489" s="9"/>
    </row>
    <row r="490" ht="15.75" customHeight="1">
      <c r="U490" s="10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11"/>
      <c r="AM490" s="9"/>
      <c r="AN490" s="9"/>
      <c r="AO490" s="10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9"/>
      <c r="BD490" s="9"/>
      <c r="BE490" s="9"/>
      <c r="BF490" s="9"/>
      <c r="BG490" s="9"/>
      <c r="BH490" s="9"/>
      <c r="BI490" s="9"/>
      <c r="BJ490" s="9"/>
      <c r="BK490" s="9"/>
      <c r="BL490" s="9"/>
    </row>
    <row r="491" ht="15.75" customHeight="1">
      <c r="U491" s="10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11"/>
      <c r="AM491" s="9"/>
      <c r="AN491" s="9"/>
      <c r="AO491" s="10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9"/>
      <c r="BD491" s="9"/>
      <c r="BE491" s="9"/>
      <c r="BF491" s="9"/>
      <c r="BG491" s="9"/>
      <c r="BH491" s="9"/>
      <c r="BI491" s="9"/>
      <c r="BJ491" s="9"/>
      <c r="BK491" s="9"/>
      <c r="BL491" s="9"/>
    </row>
    <row r="492" ht="15.75" customHeight="1">
      <c r="U492" s="10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11"/>
      <c r="AM492" s="9"/>
      <c r="AN492" s="9"/>
      <c r="AO492" s="10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9"/>
      <c r="BD492" s="9"/>
      <c r="BE492" s="9"/>
      <c r="BF492" s="9"/>
      <c r="BG492" s="9"/>
      <c r="BH492" s="9"/>
      <c r="BI492" s="9"/>
      <c r="BJ492" s="9"/>
      <c r="BK492" s="9"/>
      <c r="BL492" s="9"/>
    </row>
    <row r="493" ht="15.75" customHeight="1">
      <c r="U493" s="10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11"/>
      <c r="AM493" s="9"/>
      <c r="AN493" s="9"/>
      <c r="AO493" s="10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  <c r="BC493" s="9"/>
      <c r="BD493" s="9"/>
      <c r="BE493" s="9"/>
      <c r="BF493" s="9"/>
      <c r="BG493" s="9"/>
      <c r="BH493" s="9"/>
      <c r="BI493" s="9"/>
      <c r="BJ493" s="9"/>
      <c r="BK493" s="9"/>
      <c r="BL493" s="9"/>
    </row>
    <row r="494" ht="15.75" customHeight="1">
      <c r="U494" s="10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11"/>
      <c r="AM494" s="9"/>
      <c r="AN494" s="9"/>
      <c r="AO494" s="10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9"/>
      <c r="BD494" s="9"/>
      <c r="BE494" s="9"/>
      <c r="BF494" s="9"/>
      <c r="BG494" s="9"/>
      <c r="BH494" s="9"/>
      <c r="BI494" s="9"/>
      <c r="BJ494" s="9"/>
      <c r="BK494" s="9"/>
      <c r="BL494" s="9"/>
    </row>
    <row r="495" ht="15.75" customHeight="1">
      <c r="U495" s="10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11"/>
      <c r="AM495" s="9"/>
      <c r="AN495" s="9"/>
      <c r="AO495" s="10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  <c r="BC495" s="9"/>
      <c r="BD495" s="9"/>
      <c r="BE495" s="9"/>
      <c r="BF495" s="9"/>
      <c r="BG495" s="9"/>
      <c r="BH495" s="9"/>
      <c r="BI495" s="9"/>
      <c r="BJ495" s="9"/>
      <c r="BK495" s="9"/>
      <c r="BL495" s="9"/>
    </row>
    <row r="496" ht="15.75" customHeight="1">
      <c r="U496" s="10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11"/>
      <c r="AM496" s="9"/>
      <c r="AN496" s="9"/>
      <c r="AO496" s="10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  <c r="BC496" s="9"/>
      <c r="BD496" s="9"/>
      <c r="BE496" s="9"/>
      <c r="BF496" s="9"/>
      <c r="BG496" s="9"/>
      <c r="BH496" s="9"/>
      <c r="BI496" s="9"/>
      <c r="BJ496" s="9"/>
      <c r="BK496" s="9"/>
      <c r="BL496" s="9"/>
    </row>
    <row r="497" ht="15.75" customHeight="1">
      <c r="U497" s="10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11"/>
      <c r="AM497" s="9"/>
      <c r="AN497" s="9"/>
      <c r="AO497" s="10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  <c r="BC497" s="9"/>
      <c r="BD497" s="9"/>
      <c r="BE497" s="9"/>
      <c r="BF497" s="9"/>
      <c r="BG497" s="9"/>
      <c r="BH497" s="9"/>
      <c r="BI497" s="9"/>
      <c r="BJ497" s="9"/>
      <c r="BK497" s="9"/>
      <c r="BL497" s="9"/>
    </row>
    <row r="498" ht="15.75" customHeight="1">
      <c r="U498" s="10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11"/>
      <c r="AM498" s="9"/>
      <c r="AN498" s="9"/>
      <c r="AO498" s="10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  <c r="BC498" s="9"/>
      <c r="BD498" s="9"/>
      <c r="BE498" s="9"/>
      <c r="BF498" s="9"/>
      <c r="BG498" s="9"/>
      <c r="BH498" s="9"/>
      <c r="BI498" s="9"/>
      <c r="BJ498" s="9"/>
      <c r="BK498" s="9"/>
      <c r="BL498" s="9"/>
    </row>
    <row r="499" ht="15.75" customHeight="1">
      <c r="U499" s="10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11"/>
      <c r="AM499" s="9"/>
      <c r="AN499" s="9"/>
      <c r="AO499" s="10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  <c r="BC499" s="9"/>
      <c r="BD499" s="9"/>
      <c r="BE499" s="9"/>
      <c r="BF499" s="9"/>
      <c r="BG499" s="9"/>
      <c r="BH499" s="9"/>
      <c r="BI499" s="9"/>
      <c r="BJ499" s="9"/>
      <c r="BK499" s="9"/>
      <c r="BL499" s="9"/>
    </row>
    <row r="500" ht="15.75" customHeight="1">
      <c r="U500" s="10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11"/>
      <c r="AM500" s="9"/>
      <c r="AN500" s="9"/>
      <c r="AO500" s="10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  <c r="BF500" s="9"/>
      <c r="BG500" s="9"/>
      <c r="BH500" s="9"/>
      <c r="BI500" s="9"/>
      <c r="BJ500" s="9"/>
      <c r="BK500" s="9"/>
      <c r="BL500" s="9"/>
    </row>
    <row r="501" ht="15.75" customHeight="1">
      <c r="U501" s="10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11"/>
      <c r="AM501" s="9"/>
      <c r="AN501" s="9"/>
      <c r="AO501" s="10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  <c r="BC501" s="9"/>
      <c r="BD501" s="9"/>
      <c r="BE501" s="9"/>
      <c r="BF501" s="9"/>
      <c r="BG501" s="9"/>
      <c r="BH501" s="9"/>
      <c r="BI501" s="9"/>
      <c r="BJ501" s="9"/>
      <c r="BK501" s="9"/>
      <c r="BL501" s="9"/>
    </row>
    <row r="502" ht="15.75" customHeight="1">
      <c r="U502" s="10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11"/>
      <c r="AM502" s="9"/>
      <c r="AN502" s="9"/>
      <c r="AO502" s="10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9"/>
      <c r="BD502" s="9"/>
      <c r="BE502" s="9"/>
      <c r="BF502" s="9"/>
      <c r="BG502" s="9"/>
      <c r="BH502" s="9"/>
      <c r="BI502" s="9"/>
      <c r="BJ502" s="9"/>
      <c r="BK502" s="9"/>
      <c r="BL502" s="9"/>
    </row>
    <row r="503" ht="15.75" customHeight="1">
      <c r="U503" s="10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11"/>
      <c r="AM503" s="9"/>
      <c r="AN503" s="9"/>
      <c r="AO503" s="10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  <c r="BC503" s="9"/>
      <c r="BD503" s="9"/>
      <c r="BE503" s="9"/>
      <c r="BF503" s="9"/>
      <c r="BG503" s="9"/>
      <c r="BH503" s="9"/>
      <c r="BI503" s="9"/>
      <c r="BJ503" s="9"/>
      <c r="BK503" s="9"/>
      <c r="BL503" s="9"/>
    </row>
    <row r="504" ht="15.75" customHeight="1">
      <c r="U504" s="10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11"/>
      <c r="AM504" s="9"/>
      <c r="AN504" s="9"/>
      <c r="AO504" s="10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9"/>
      <c r="BE504" s="9"/>
      <c r="BF504" s="9"/>
      <c r="BG504" s="9"/>
      <c r="BH504" s="9"/>
      <c r="BI504" s="9"/>
      <c r="BJ504" s="9"/>
      <c r="BK504" s="9"/>
      <c r="BL504" s="9"/>
    </row>
    <row r="505" ht="15.75" customHeight="1">
      <c r="U505" s="10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11"/>
      <c r="AM505" s="9"/>
      <c r="AN505" s="9"/>
      <c r="AO505" s="10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  <c r="BC505" s="9"/>
      <c r="BD505" s="9"/>
      <c r="BE505" s="9"/>
      <c r="BF505" s="9"/>
      <c r="BG505" s="9"/>
      <c r="BH505" s="9"/>
      <c r="BI505" s="9"/>
      <c r="BJ505" s="9"/>
      <c r="BK505" s="9"/>
      <c r="BL505" s="9"/>
    </row>
    <row r="506" ht="15.75" customHeight="1">
      <c r="U506" s="10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11"/>
      <c r="AM506" s="9"/>
      <c r="AN506" s="9"/>
      <c r="AO506" s="10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  <c r="BC506" s="9"/>
      <c r="BD506" s="9"/>
      <c r="BE506" s="9"/>
      <c r="BF506" s="9"/>
      <c r="BG506" s="9"/>
      <c r="BH506" s="9"/>
      <c r="BI506" s="9"/>
      <c r="BJ506" s="9"/>
      <c r="BK506" s="9"/>
      <c r="BL506" s="9"/>
    </row>
    <row r="507" ht="15.75" customHeight="1">
      <c r="U507" s="10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11"/>
      <c r="AM507" s="9"/>
      <c r="AN507" s="9"/>
      <c r="AO507" s="10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9"/>
      <c r="BD507" s="9"/>
      <c r="BE507" s="9"/>
      <c r="BF507" s="9"/>
      <c r="BG507" s="9"/>
      <c r="BH507" s="9"/>
      <c r="BI507" s="9"/>
      <c r="BJ507" s="9"/>
      <c r="BK507" s="9"/>
      <c r="BL507" s="9"/>
    </row>
    <row r="508" ht="15.75" customHeight="1">
      <c r="U508" s="10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11"/>
      <c r="AM508" s="9"/>
      <c r="AN508" s="9"/>
      <c r="AO508" s="10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9"/>
      <c r="BD508" s="9"/>
      <c r="BE508" s="9"/>
      <c r="BF508" s="9"/>
      <c r="BG508" s="9"/>
      <c r="BH508" s="9"/>
      <c r="BI508" s="9"/>
      <c r="BJ508" s="9"/>
      <c r="BK508" s="9"/>
      <c r="BL508" s="9"/>
    </row>
    <row r="509" ht="15.75" customHeight="1">
      <c r="U509" s="10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11"/>
      <c r="AM509" s="9"/>
      <c r="AN509" s="9"/>
      <c r="AO509" s="10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9"/>
      <c r="BD509" s="9"/>
      <c r="BE509" s="9"/>
      <c r="BF509" s="9"/>
      <c r="BG509" s="9"/>
      <c r="BH509" s="9"/>
      <c r="BI509" s="9"/>
      <c r="BJ509" s="9"/>
      <c r="BK509" s="9"/>
      <c r="BL509" s="9"/>
    </row>
    <row r="510" ht="15.75" customHeight="1">
      <c r="U510" s="10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11"/>
      <c r="AM510" s="9"/>
      <c r="AN510" s="9"/>
      <c r="AO510" s="10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  <c r="BC510" s="9"/>
      <c r="BD510" s="9"/>
      <c r="BE510" s="9"/>
      <c r="BF510" s="9"/>
      <c r="BG510" s="9"/>
      <c r="BH510" s="9"/>
      <c r="BI510" s="9"/>
      <c r="BJ510" s="9"/>
      <c r="BK510" s="9"/>
      <c r="BL510" s="9"/>
    </row>
    <row r="511" ht="15.75" customHeight="1">
      <c r="U511" s="10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11"/>
      <c r="AM511" s="9"/>
      <c r="AN511" s="9"/>
      <c r="AO511" s="10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  <c r="BC511" s="9"/>
      <c r="BD511" s="9"/>
      <c r="BE511" s="9"/>
      <c r="BF511" s="9"/>
      <c r="BG511" s="9"/>
      <c r="BH511" s="9"/>
      <c r="BI511" s="9"/>
      <c r="BJ511" s="9"/>
      <c r="BK511" s="9"/>
      <c r="BL511" s="9"/>
    </row>
    <row r="512" ht="15.75" customHeight="1">
      <c r="U512" s="10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11"/>
      <c r="AM512" s="9"/>
      <c r="AN512" s="9"/>
      <c r="AO512" s="10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9"/>
      <c r="BC512" s="9"/>
      <c r="BD512" s="9"/>
      <c r="BE512" s="9"/>
      <c r="BF512" s="9"/>
      <c r="BG512" s="9"/>
      <c r="BH512" s="9"/>
      <c r="BI512" s="9"/>
      <c r="BJ512" s="9"/>
      <c r="BK512" s="9"/>
      <c r="BL512" s="9"/>
    </row>
    <row r="513" ht="15.75" customHeight="1">
      <c r="U513" s="10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11"/>
      <c r="AM513" s="9"/>
      <c r="AN513" s="9"/>
      <c r="AO513" s="10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9"/>
      <c r="BC513" s="9"/>
      <c r="BD513" s="9"/>
      <c r="BE513" s="9"/>
      <c r="BF513" s="9"/>
      <c r="BG513" s="9"/>
      <c r="BH513" s="9"/>
      <c r="BI513" s="9"/>
      <c r="BJ513" s="9"/>
      <c r="BK513" s="9"/>
      <c r="BL513" s="9"/>
    </row>
    <row r="514" ht="15.75" customHeight="1">
      <c r="U514" s="10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11"/>
      <c r="AM514" s="9"/>
      <c r="AN514" s="9"/>
      <c r="AO514" s="10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9"/>
      <c r="BC514" s="9"/>
      <c r="BD514" s="9"/>
      <c r="BE514" s="9"/>
      <c r="BF514" s="9"/>
      <c r="BG514" s="9"/>
      <c r="BH514" s="9"/>
      <c r="BI514" s="9"/>
      <c r="BJ514" s="9"/>
      <c r="BK514" s="9"/>
      <c r="BL514" s="9"/>
    </row>
    <row r="515" ht="15.75" customHeight="1">
      <c r="U515" s="10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11"/>
      <c r="AM515" s="9"/>
      <c r="AN515" s="9"/>
      <c r="AO515" s="10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9"/>
      <c r="BC515" s="9"/>
      <c r="BD515" s="9"/>
      <c r="BE515" s="9"/>
      <c r="BF515" s="9"/>
      <c r="BG515" s="9"/>
      <c r="BH515" s="9"/>
      <c r="BI515" s="9"/>
      <c r="BJ515" s="9"/>
      <c r="BK515" s="9"/>
      <c r="BL515" s="9"/>
    </row>
    <row r="516" ht="15.75" customHeight="1">
      <c r="U516" s="10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11"/>
      <c r="AM516" s="9"/>
      <c r="AN516" s="9"/>
      <c r="AO516" s="10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  <c r="BC516" s="9"/>
      <c r="BD516" s="9"/>
      <c r="BE516" s="9"/>
      <c r="BF516" s="9"/>
      <c r="BG516" s="9"/>
      <c r="BH516" s="9"/>
      <c r="BI516" s="9"/>
      <c r="BJ516" s="9"/>
      <c r="BK516" s="9"/>
      <c r="BL516" s="9"/>
    </row>
    <row r="517" ht="15.75" customHeight="1">
      <c r="U517" s="10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11"/>
      <c r="AM517" s="9"/>
      <c r="AN517" s="9"/>
      <c r="AO517" s="10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9"/>
      <c r="BC517" s="9"/>
      <c r="BD517" s="9"/>
      <c r="BE517" s="9"/>
      <c r="BF517" s="9"/>
      <c r="BG517" s="9"/>
      <c r="BH517" s="9"/>
      <c r="BI517" s="9"/>
      <c r="BJ517" s="9"/>
      <c r="BK517" s="9"/>
      <c r="BL517" s="9"/>
    </row>
    <row r="518" ht="15.75" customHeight="1">
      <c r="U518" s="10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11"/>
      <c r="AM518" s="9"/>
      <c r="AN518" s="9"/>
      <c r="AO518" s="10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9"/>
      <c r="BC518" s="9"/>
      <c r="BD518" s="9"/>
      <c r="BE518" s="9"/>
      <c r="BF518" s="9"/>
      <c r="BG518" s="9"/>
      <c r="BH518" s="9"/>
      <c r="BI518" s="9"/>
      <c r="BJ518" s="9"/>
      <c r="BK518" s="9"/>
      <c r="BL518" s="9"/>
    </row>
    <row r="519" ht="15.75" customHeight="1">
      <c r="U519" s="10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11"/>
      <c r="AM519" s="9"/>
      <c r="AN519" s="9"/>
      <c r="AO519" s="10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9"/>
      <c r="BC519" s="9"/>
      <c r="BD519" s="9"/>
      <c r="BE519" s="9"/>
      <c r="BF519" s="9"/>
      <c r="BG519" s="9"/>
      <c r="BH519" s="9"/>
      <c r="BI519" s="9"/>
      <c r="BJ519" s="9"/>
      <c r="BK519" s="9"/>
      <c r="BL519" s="9"/>
    </row>
    <row r="520" ht="15.75" customHeight="1">
      <c r="U520" s="10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11"/>
      <c r="AM520" s="9"/>
      <c r="AN520" s="9"/>
      <c r="AO520" s="10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9"/>
      <c r="BC520" s="9"/>
      <c r="BD520" s="9"/>
      <c r="BE520" s="9"/>
      <c r="BF520" s="9"/>
      <c r="BG520" s="9"/>
      <c r="BH520" s="9"/>
      <c r="BI520" s="9"/>
      <c r="BJ520" s="9"/>
      <c r="BK520" s="9"/>
      <c r="BL520" s="9"/>
    </row>
    <row r="521" ht="15.75" customHeight="1">
      <c r="U521" s="10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11"/>
      <c r="AM521" s="9"/>
      <c r="AN521" s="9"/>
      <c r="AO521" s="10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9"/>
      <c r="BC521" s="9"/>
      <c r="BD521" s="9"/>
      <c r="BE521" s="9"/>
      <c r="BF521" s="9"/>
      <c r="BG521" s="9"/>
      <c r="BH521" s="9"/>
      <c r="BI521" s="9"/>
      <c r="BJ521" s="9"/>
      <c r="BK521" s="9"/>
      <c r="BL521" s="9"/>
    </row>
    <row r="522" ht="15.75" customHeight="1">
      <c r="U522" s="10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11"/>
      <c r="AM522" s="9"/>
      <c r="AN522" s="9"/>
      <c r="AO522" s="10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9"/>
      <c r="BC522" s="9"/>
      <c r="BD522" s="9"/>
      <c r="BE522" s="9"/>
      <c r="BF522" s="9"/>
      <c r="BG522" s="9"/>
      <c r="BH522" s="9"/>
      <c r="BI522" s="9"/>
      <c r="BJ522" s="9"/>
      <c r="BK522" s="9"/>
      <c r="BL522" s="9"/>
    </row>
    <row r="523" ht="15.75" customHeight="1">
      <c r="U523" s="10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11"/>
      <c r="AM523" s="9"/>
      <c r="AN523" s="9"/>
      <c r="AO523" s="10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9"/>
      <c r="BC523" s="9"/>
      <c r="BD523" s="9"/>
      <c r="BE523" s="9"/>
      <c r="BF523" s="9"/>
      <c r="BG523" s="9"/>
      <c r="BH523" s="9"/>
      <c r="BI523" s="9"/>
      <c r="BJ523" s="9"/>
      <c r="BK523" s="9"/>
      <c r="BL523" s="9"/>
    </row>
    <row r="524" ht="15.75" customHeight="1">
      <c r="U524" s="10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11"/>
      <c r="AM524" s="9"/>
      <c r="AN524" s="9"/>
      <c r="AO524" s="10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9"/>
      <c r="BC524" s="9"/>
      <c r="BD524" s="9"/>
      <c r="BE524" s="9"/>
      <c r="BF524" s="9"/>
      <c r="BG524" s="9"/>
      <c r="BH524" s="9"/>
      <c r="BI524" s="9"/>
      <c r="BJ524" s="9"/>
      <c r="BK524" s="9"/>
      <c r="BL524" s="9"/>
    </row>
    <row r="525" ht="15.75" customHeight="1">
      <c r="U525" s="10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11"/>
      <c r="AM525" s="9"/>
      <c r="AN525" s="9"/>
      <c r="AO525" s="10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9"/>
      <c r="BC525" s="9"/>
      <c r="BD525" s="9"/>
      <c r="BE525" s="9"/>
      <c r="BF525" s="9"/>
      <c r="BG525" s="9"/>
      <c r="BH525" s="9"/>
      <c r="BI525" s="9"/>
      <c r="BJ525" s="9"/>
      <c r="BK525" s="9"/>
      <c r="BL525" s="9"/>
    </row>
    <row r="526" ht="15.75" customHeight="1">
      <c r="U526" s="10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11"/>
      <c r="AM526" s="9"/>
      <c r="AN526" s="9"/>
      <c r="AO526" s="10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9"/>
      <c r="BC526" s="9"/>
      <c r="BD526" s="9"/>
      <c r="BE526" s="9"/>
      <c r="BF526" s="9"/>
      <c r="BG526" s="9"/>
      <c r="BH526" s="9"/>
      <c r="BI526" s="9"/>
      <c r="BJ526" s="9"/>
      <c r="BK526" s="9"/>
      <c r="BL526" s="9"/>
    </row>
    <row r="527" ht="15.75" customHeight="1">
      <c r="U527" s="10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11"/>
      <c r="AM527" s="9"/>
      <c r="AN527" s="9"/>
      <c r="AO527" s="10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A527" s="9"/>
      <c r="BB527" s="9"/>
      <c r="BC527" s="9"/>
      <c r="BD527" s="9"/>
      <c r="BE527" s="9"/>
      <c r="BF527" s="9"/>
      <c r="BG527" s="9"/>
      <c r="BH527" s="9"/>
      <c r="BI527" s="9"/>
      <c r="BJ527" s="9"/>
      <c r="BK527" s="9"/>
      <c r="BL527" s="9"/>
    </row>
    <row r="528" ht="15.75" customHeight="1">
      <c r="U528" s="10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11"/>
      <c r="AM528" s="9"/>
      <c r="AN528" s="9"/>
      <c r="AO528" s="10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9"/>
      <c r="BC528" s="9"/>
      <c r="BD528" s="9"/>
      <c r="BE528" s="9"/>
      <c r="BF528" s="9"/>
      <c r="BG528" s="9"/>
      <c r="BH528" s="9"/>
      <c r="BI528" s="9"/>
      <c r="BJ528" s="9"/>
      <c r="BK528" s="9"/>
      <c r="BL528" s="9"/>
    </row>
    <row r="529" ht="15.75" customHeight="1">
      <c r="U529" s="10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11"/>
      <c r="AM529" s="9"/>
      <c r="AN529" s="9"/>
      <c r="AO529" s="10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9"/>
      <c r="BC529" s="9"/>
      <c r="BD529" s="9"/>
      <c r="BE529" s="9"/>
      <c r="BF529" s="9"/>
      <c r="BG529" s="9"/>
      <c r="BH529" s="9"/>
      <c r="BI529" s="9"/>
      <c r="BJ529" s="9"/>
      <c r="BK529" s="9"/>
      <c r="BL529" s="9"/>
    </row>
    <row r="530" ht="15.75" customHeight="1">
      <c r="U530" s="10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11"/>
      <c r="AM530" s="9"/>
      <c r="AN530" s="9"/>
      <c r="AO530" s="10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9"/>
      <c r="BC530" s="9"/>
      <c r="BD530" s="9"/>
      <c r="BE530" s="9"/>
      <c r="BF530" s="9"/>
      <c r="BG530" s="9"/>
      <c r="BH530" s="9"/>
      <c r="BI530" s="9"/>
      <c r="BJ530" s="9"/>
      <c r="BK530" s="9"/>
      <c r="BL530" s="9"/>
    </row>
    <row r="531" ht="15.75" customHeight="1">
      <c r="U531" s="10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11"/>
      <c r="AM531" s="9"/>
      <c r="AN531" s="9"/>
      <c r="AO531" s="10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9"/>
      <c r="BC531" s="9"/>
      <c r="BD531" s="9"/>
      <c r="BE531" s="9"/>
      <c r="BF531" s="9"/>
      <c r="BG531" s="9"/>
      <c r="BH531" s="9"/>
      <c r="BI531" s="9"/>
      <c r="BJ531" s="9"/>
      <c r="BK531" s="9"/>
      <c r="BL531" s="9"/>
    </row>
    <row r="532" ht="15.75" customHeight="1">
      <c r="U532" s="10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11"/>
      <c r="AM532" s="9"/>
      <c r="AN532" s="9"/>
      <c r="AO532" s="10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9"/>
      <c r="BC532" s="9"/>
      <c r="BD532" s="9"/>
      <c r="BE532" s="9"/>
      <c r="BF532" s="9"/>
      <c r="BG532" s="9"/>
      <c r="BH532" s="9"/>
      <c r="BI532" s="9"/>
      <c r="BJ532" s="9"/>
      <c r="BK532" s="9"/>
      <c r="BL532" s="9"/>
    </row>
    <row r="533" ht="15.75" customHeight="1">
      <c r="U533" s="10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11"/>
      <c r="AM533" s="9"/>
      <c r="AN533" s="9"/>
      <c r="AO533" s="10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9"/>
      <c r="BC533" s="9"/>
      <c r="BD533" s="9"/>
      <c r="BE533" s="9"/>
      <c r="BF533" s="9"/>
      <c r="BG533" s="9"/>
      <c r="BH533" s="9"/>
      <c r="BI533" s="9"/>
      <c r="BJ533" s="9"/>
      <c r="BK533" s="9"/>
      <c r="BL533" s="9"/>
    </row>
    <row r="534" ht="15.75" customHeight="1">
      <c r="U534" s="10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11"/>
      <c r="AM534" s="9"/>
      <c r="AN534" s="9"/>
      <c r="AO534" s="10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9"/>
      <c r="BC534" s="9"/>
      <c r="BD534" s="9"/>
      <c r="BE534" s="9"/>
      <c r="BF534" s="9"/>
      <c r="BG534" s="9"/>
      <c r="BH534" s="9"/>
      <c r="BI534" s="9"/>
      <c r="BJ534" s="9"/>
      <c r="BK534" s="9"/>
      <c r="BL534" s="9"/>
    </row>
    <row r="535" ht="15.75" customHeight="1">
      <c r="U535" s="10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11"/>
      <c r="AM535" s="9"/>
      <c r="AN535" s="9"/>
      <c r="AO535" s="10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9"/>
      <c r="BC535" s="9"/>
      <c r="BD535" s="9"/>
      <c r="BE535" s="9"/>
      <c r="BF535" s="9"/>
      <c r="BG535" s="9"/>
      <c r="BH535" s="9"/>
      <c r="BI535" s="9"/>
      <c r="BJ535" s="9"/>
      <c r="BK535" s="9"/>
      <c r="BL535" s="9"/>
    </row>
    <row r="536" ht="15.75" customHeight="1">
      <c r="U536" s="10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11"/>
      <c r="AM536" s="9"/>
      <c r="AN536" s="9"/>
      <c r="AO536" s="10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9"/>
      <c r="BC536" s="9"/>
      <c r="BD536" s="9"/>
      <c r="BE536" s="9"/>
      <c r="BF536" s="9"/>
      <c r="BG536" s="9"/>
      <c r="BH536" s="9"/>
      <c r="BI536" s="9"/>
      <c r="BJ536" s="9"/>
      <c r="BK536" s="9"/>
      <c r="BL536" s="9"/>
    </row>
    <row r="537" ht="15.75" customHeight="1">
      <c r="U537" s="10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11"/>
      <c r="AM537" s="9"/>
      <c r="AN537" s="9"/>
      <c r="AO537" s="10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9"/>
      <c r="BC537" s="9"/>
      <c r="BD537" s="9"/>
      <c r="BE537" s="9"/>
      <c r="BF537" s="9"/>
      <c r="BG537" s="9"/>
      <c r="BH537" s="9"/>
      <c r="BI537" s="9"/>
      <c r="BJ537" s="9"/>
      <c r="BK537" s="9"/>
      <c r="BL537" s="9"/>
    </row>
    <row r="538" ht="15.75" customHeight="1">
      <c r="U538" s="10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11"/>
      <c r="AM538" s="9"/>
      <c r="AN538" s="9"/>
      <c r="AO538" s="10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9"/>
      <c r="BC538" s="9"/>
      <c r="BD538" s="9"/>
      <c r="BE538" s="9"/>
      <c r="BF538" s="9"/>
      <c r="BG538" s="9"/>
      <c r="BH538" s="9"/>
      <c r="BI538" s="9"/>
      <c r="BJ538" s="9"/>
      <c r="BK538" s="9"/>
      <c r="BL538" s="9"/>
    </row>
    <row r="539" ht="15.75" customHeight="1">
      <c r="U539" s="10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11"/>
      <c r="AM539" s="9"/>
      <c r="AN539" s="9"/>
      <c r="AO539" s="10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9"/>
      <c r="BC539" s="9"/>
      <c r="BD539" s="9"/>
      <c r="BE539" s="9"/>
      <c r="BF539" s="9"/>
      <c r="BG539" s="9"/>
      <c r="BH539" s="9"/>
      <c r="BI539" s="9"/>
      <c r="BJ539" s="9"/>
      <c r="BK539" s="9"/>
      <c r="BL539" s="9"/>
    </row>
    <row r="540" ht="15.75" customHeight="1">
      <c r="U540" s="10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11"/>
      <c r="AM540" s="9"/>
      <c r="AN540" s="9"/>
      <c r="AO540" s="10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9"/>
      <c r="BC540" s="9"/>
      <c r="BD540" s="9"/>
      <c r="BE540" s="9"/>
      <c r="BF540" s="9"/>
      <c r="BG540" s="9"/>
      <c r="BH540" s="9"/>
      <c r="BI540" s="9"/>
      <c r="BJ540" s="9"/>
      <c r="BK540" s="9"/>
      <c r="BL540" s="9"/>
    </row>
    <row r="541" ht="15.75" customHeight="1">
      <c r="U541" s="10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11"/>
      <c r="AM541" s="9"/>
      <c r="AN541" s="9"/>
      <c r="AO541" s="10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9"/>
      <c r="BC541" s="9"/>
      <c r="BD541" s="9"/>
      <c r="BE541" s="9"/>
      <c r="BF541" s="9"/>
      <c r="BG541" s="9"/>
      <c r="BH541" s="9"/>
      <c r="BI541" s="9"/>
      <c r="BJ541" s="9"/>
      <c r="BK541" s="9"/>
      <c r="BL541" s="9"/>
    </row>
    <row r="542" ht="15.75" customHeight="1">
      <c r="U542" s="10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11"/>
      <c r="AM542" s="9"/>
      <c r="AN542" s="9"/>
      <c r="AO542" s="10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A542" s="9"/>
      <c r="BB542" s="9"/>
      <c r="BC542" s="9"/>
      <c r="BD542" s="9"/>
      <c r="BE542" s="9"/>
      <c r="BF542" s="9"/>
      <c r="BG542" s="9"/>
      <c r="BH542" s="9"/>
      <c r="BI542" s="9"/>
      <c r="BJ542" s="9"/>
      <c r="BK542" s="9"/>
      <c r="BL542" s="9"/>
    </row>
    <row r="543" ht="15.75" customHeight="1">
      <c r="U543" s="10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11"/>
      <c r="AM543" s="9"/>
      <c r="AN543" s="9"/>
      <c r="AO543" s="10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  <c r="BA543" s="9"/>
      <c r="BB543" s="9"/>
      <c r="BC543" s="9"/>
      <c r="BD543" s="9"/>
      <c r="BE543" s="9"/>
      <c r="BF543" s="9"/>
      <c r="BG543" s="9"/>
      <c r="BH543" s="9"/>
      <c r="BI543" s="9"/>
      <c r="BJ543" s="9"/>
      <c r="BK543" s="9"/>
      <c r="BL543" s="9"/>
    </row>
    <row r="544" ht="15.75" customHeight="1">
      <c r="U544" s="10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11"/>
      <c r="AM544" s="9"/>
      <c r="AN544" s="9"/>
      <c r="AO544" s="10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  <c r="BA544" s="9"/>
      <c r="BB544" s="9"/>
      <c r="BC544" s="9"/>
      <c r="BD544" s="9"/>
      <c r="BE544" s="9"/>
      <c r="BF544" s="9"/>
      <c r="BG544" s="9"/>
      <c r="BH544" s="9"/>
      <c r="BI544" s="9"/>
      <c r="BJ544" s="9"/>
      <c r="BK544" s="9"/>
      <c r="BL544" s="9"/>
    </row>
    <row r="545" ht="15.75" customHeight="1">
      <c r="U545" s="10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11"/>
      <c r="AM545" s="9"/>
      <c r="AN545" s="9"/>
      <c r="AO545" s="10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9"/>
      <c r="BC545" s="9"/>
      <c r="BD545" s="9"/>
      <c r="BE545" s="9"/>
      <c r="BF545" s="9"/>
      <c r="BG545" s="9"/>
      <c r="BH545" s="9"/>
      <c r="BI545" s="9"/>
      <c r="BJ545" s="9"/>
      <c r="BK545" s="9"/>
      <c r="BL545" s="9"/>
    </row>
    <row r="546" ht="15.75" customHeight="1">
      <c r="U546" s="10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11"/>
      <c r="AM546" s="9"/>
      <c r="AN546" s="9"/>
      <c r="AO546" s="10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A546" s="9"/>
      <c r="BB546" s="9"/>
      <c r="BC546" s="9"/>
      <c r="BD546" s="9"/>
      <c r="BE546" s="9"/>
      <c r="BF546" s="9"/>
      <c r="BG546" s="9"/>
      <c r="BH546" s="9"/>
      <c r="BI546" s="9"/>
      <c r="BJ546" s="9"/>
      <c r="BK546" s="9"/>
      <c r="BL546" s="9"/>
    </row>
    <row r="547" ht="15.75" customHeight="1">
      <c r="U547" s="10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11"/>
      <c r="AM547" s="9"/>
      <c r="AN547" s="9"/>
      <c r="AO547" s="10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9"/>
      <c r="BC547" s="9"/>
      <c r="BD547" s="9"/>
      <c r="BE547" s="9"/>
      <c r="BF547" s="9"/>
      <c r="BG547" s="9"/>
      <c r="BH547" s="9"/>
      <c r="BI547" s="9"/>
      <c r="BJ547" s="9"/>
      <c r="BK547" s="9"/>
      <c r="BL547" s="9"/>
    </row>
    <row r="548" ht="15.75" customHeight="1">
      <c r="U548" s="10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11"/>
      <c r="AM548" s="9"/>
      <c r="AN548" s="9"/>
      <c r="AO548" s="10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9"/>
      <c r="BC548" s="9"/>
      <c r="BD548" s="9"/>
      <c r="BE548" s="9"/>
      <c r="BF548" s="9"/>
      <c r="BG548" s="9"/>
      <c r="BH548" s="9"/>
      <c r="BI548" s="9"/>
      <c r="BJ548" s="9"/>
      <c r="BK548" s="9"/>
      <c r="BL548" s="9"/>
    </row>
    <row r="549" ht="15.75" customHeight="1">
      <c r="U549" s="10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11"/>
      <c r="AM549" s="9"/>
      <c r="AN549" s="9"/>
      <c r="AO549" s="10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9"/>
      <c r="BC549" s="9"/>
      <c r="BD549" s="9"/>
      <c r="BE549" s="9"/>
      <c r="BF549" s="9"/>
      <c r="BG549" s="9"/>
      <c r="BH549" s="9"/>
      <c r="BI549" s="9"/>
      <c r="BJ549" s="9"/>
      <c r="BK549" s="9"/>
      <c r="BL549" s="9"/>
    </row>
    <row r="550" ht="15.75" customHeight="1">
      <c r="U550" s="10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11"/>
      <c r="AM550" s="9"/>
      <c r="AN550" s="9"/>
      <c r="AO550" s="10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A550" s="9"/>
      <c r="BB550" s="9"/>
      <c r="BC550" s="9"/>
      <c r="BD550" s="9"/>
      <c r="BE550" s="9"/>
      <c r="BF550" s="9"/>
      <c r="BG550" s="9"/>
      <c r="BH550" s="9"/>
      <c r="BI550" s="9"/>
      <c r="BJ550" s="9"/>
      <c r="BK550" s="9"/>
      <c r="BL550" s="9"/>
    </row>
    <row r="551" ht="15.75" customHeight="1">
      <c r="U551" s="10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11"/>
      <c r="AM551" s="9"/>
      <c r="AN551" s="9"/>
      <c r="AO551" s="10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A551" s="9"/>
      <c r="BB551" s="9"/>
      <c r="BC551" s="9"/>
      <c r="BD551" s="9"/>
      <c r="BE551" s="9"/>
      <c r="BF551" s="9"/>
      <c r="BG551" s="9"/>
      <c r="BH551" s="9"/>
      <c r="BI551" s="9"/>
      <c r="BJ551" s="9"/>
      <c r="BK551" s="9"/>
      <c r="BL551" s="9"/>
    </row>
    <row r="552" ht="15.75" customHeight="1">
      <c r="U552" s="10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11"/>
      <c r="AM552" s="9"/>
      <c r="AN552" s="9"/>
      <c r="AO552" s="10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  <c r="BA552" s="9"/>
      <c r="BB552" s="9"/>
      <c r="BC552" s="9"/>
      <c r="BD552" s="9"/>
      <c r="BE552" s="9"/>
      <c r="BF552" s="9"/>
      <c r="BG552" s="9"/>
      <c r="BH552" s="9"/>
      <c r="BI552" s="9"/>
      <c r="BJ552" s="9"/>
      <c r="BK552" s="9"/>
      <c r="BL552" s="9"/>
    </row>
    <row r="553" ht="15.75" customHeight="1">
      <c r="U553" s="10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11"/>
      <c r="AM553" s="9"/>
      <c r="AN553" s="9"/>
      <c r="AO553" s="10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  <c r="BA553" s="9"/>
      <c r="BB553" s="9"/>
      <c r="BC553" s="9"/>
      <c r="BD553" s="9"/>
      <c r="BE553" s="9"/>
      <c r="BF553" s="9"/>
      <c r="BG553" s="9"/>
      <c r="BH553" s="9"/>
      <c r="BI553" s="9"/>
      <c r="BJ553" s="9"/>
      <c r="BK553" s="9"/>
      <c r="BL553" s="9"/>
    </row>
    <row r="554" ht="15.75" customHeight="1">
      <c r="U554" s="10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11"/>
      <c r="AM554" s="9"/>
      <c r="AN554" s="9"/>
      <c r="AO554" s="10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  <c r="BA554" s="9"/>
      <c r="BB554" s="9"/>
      <c r="BC554" s="9"/>
      <c r="BD554" s="9"/>
      <c r="BE554" s="9"/>
      <c r="BF554" s="9"/>
      <c r="BG554" s="9"/>
      <c r="BH554" s="9"/>
      <c r="BI554" s="9"/>
      <c r="BJ554" s="9"/>
      <c r="BK554" s="9"/>
      <c r="BL554" s="9"/>
    </row>
    <row r="555" ht="15.75" customHeight="1">
      <c r="U555" s="10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11"/>
      <c r="AM555" s="9"/>
      <c r="AN555" s="9"/>
      <c r="AO555" s="10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A555" s="9"/>
      <c r="BB555" s="9"/>
      <c r="BC555" s="9"/>
      <c r="BD555" s="9"/>
      <c r="BE555" s="9"/>
      <c r="BF555" s="9"/>
      <c r="BG555" s="9"/>
      <c r="BH555" s="9"/>
      <c r="BI555" s="9"/>
      <c r="BJ555" s="9"/>
      <c r="BK555" s="9"/>
      <c r="BL555" s="9"/>
    </row>
    <row r="556" ht="15.75" customHeight="1">
      <c r="U556" s="10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11"/>
      <c r="AM556" s="9"/>
      <c r="AN556" s="9"/>
      <c r="AO556" s="10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A556" s="9"/>
      <c r="BB556" s="9"/>
      <c r="BC556" s="9"/>
      <c r="BD556" s="9"/>
      <c r="BE556" s="9"/>
      <c r="BF556" s="9"/>
      <c r="BG556" s="9"/>
      <c r="BH556" s="9"/>
      <c r="BI556" s="9"/>
      <c r="BJ556" s="9"/>
      <c r="BK556" s="9"/>
      <c r="BL556" s="9"/>
    </row>
    <row r="557" ht="15.75" customHeight="1">
      <c r="U557" s="10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11"/>
      <c r="AM557" s="9"/>
      <c r="AN557" s="9"/>
      <c r="AO557" s="10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  <c r="BA557" s="9"/>
      <c r="BB557" s="9"/>
      <c r="BC557" s="9"/>
      <c r="BD557" s="9"/>
      <c r="BE557" s="9"/>
      <c r="BF557" s="9"/>
      <c r="BG557" s="9"/>
      <c r="BH557" s="9"/>
      <c r="BI557" s="9"/>
      <c r="BJ557" s="9"/>
      <c r="BK557" s="9"/>
      <c r="BL557" s="9"/>
    </row>
    <row r="558" ht="15.75" customHeight="1">
      <c r="U558" s="10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11"/>
      <c r="AM558" s="9"/>
      <c r="AN558" s="9"/>
      <c r="AO558" s="10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  <c r="BA558" s="9"/>
      <c r="BB558" s="9"/>
      <c r="BC558" s="9"/>
      <c r="BD558" s="9"/>
      <c r="BE558" s="9"/>
      <c r="BF558" s="9"/>
      <c r="BG558" s="9"/>
      <c r="BH558" s="9"/>
      <c r="BI558" s="9"/>
      <c r="BJ558" s="9"/>
      <c r="BK558" s="9"/>
      <c r="BL558" s="9"/>
    </row>
    <row r="559" ht="15.75" customHeight="1">
      <c r="U559" s="10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11"/>
      <c r="AM559" s="9"/>
      <c r="AN559" s="9"/>
      <c r="AO559" s="10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A559" s="9"/>
      <c r="BB559" s="9"/>
      <c r="BC559" s="9"/>
      <c r="BD559" s="9"/>
      <c r="BE559" s="9"/>
      <c r="BF559" s="9"/>
      <c r="BG559" s="9"/>
      <c r="BH559" s="9"/>
      <c r="BI559" s="9"/>
      <c r="BJ559" s="9"/>
      <c r="BK559" s="9"/>
      <c r="BL559" s="9"/>
    </row>
    <row r="560" ht="15.75" customHeight="1">
      <c r="U560" s="10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11"/>
      <c r="AM560" s="9"/>
      <c r="AN560" s="9"/>
      <c r="AO560" s="10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9"/>
      <c r="BC560" s="9"/>
      <c r="BD560" s="9"/>
      <c r="BE560" s="9"/>
      <c r="BF560" s="9"/>
      <c r="BG560" s="9"/>
      <c r="BH560" s="9"/>
      <c r="BI560" s="9"/>
      <c r="BJ560" s="9"/>
      <c r="BK560" s="9"/>
      <c r="BL560" s="9"/>
    </row>
    <row r="561" ht="15.75" customHeight="1">
      <c r="U561" s="10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11"/>
      <c r="AM561" s="9"/>
      <c r="AN561" s="9"/>
      <c r="AO561" s="10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A561" s="9"/>
      <c r="BB561" s="9"/>
      <c r="BC561" s="9"/>
      <c r="BD561" s="9"/>
      <c r="BE561" s="9"/>
      <c r="BF561" s="9"/>
      <c r="BG561" s="9"/>
      <c r="BH561" s="9"/>
      <c r="BI561" s="9"/>
      <c r="BJ561" s="9"/>
      <c r="BK561" s="9"/>
      <c r="BL561" s="9"/>
    </row>
    <row r="562" ht="15.75" customHeight="1">
      <c r="U562" s="10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11"/>
      <c r="AM562" s="9"/>
      <c r="AN562" s="9"/>
      <c r="AO562" s="10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  <c r="BA562" s="9"/>
      <c r="BB562" s="9"/>
      <c r="BC562" s="9"/>
      <c r="BD562" s="9"/>
      <c r="BE562" s="9"/>
      <c r="BF562" s="9"/>
      <c r="BG562" s="9"/>
      <c r="BH562" s="9"/>
      <c r="BI562" s="9"/>
      <c r="BJ562" s="9"/>
      <c r="BK562" s="9"/>
      <c r="BL562" s="9"/>
    </row>
    <row r="563" ht="15.75" customHeight="1">
      <c r="U563" s="10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11"/>
      <c r="AM563" s="9"/>
      <c r="AN563" s="9"/>
      <c r="AO563" s="10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9"/>
      <c r="BC563" s="9"/>
      <c r="BD563" s="9"/>
      <c r="BE563" s="9"/>
      <c r="BF563" s="9"/>
      <c r="BG563" s="9"/>
      <c r="BH563" s="9"/>
      <c r="BI563" s="9"/>
      <c r="BJ563" s="9"/>
      <c r="BK563" s="9"/>
      <c r="BL563" s="9"/>
    </row>
    <row r="564" ht="15.75" customHeight="1">
      <c r="U564" s="10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11"/>
      <c r="AM564" s="9"/>
      <c r="AN564" s="9"/>
      <c r="AO564" s="10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  <c r="BA564" s="9"/>
      <c r="BB564" s="9"/>
      <c r="BC564" s="9"/>
      <c r="BD564" s="9"/>
      <c r="BE564" s="9"/>
      <c r="BF564" s="9"/>
      <c r="BG564" s="9"/>
      <c r="BH564" s="9"/>
      <c r="BI564" s="9"/>
      <c r="BJ564" s="9"/>
      <c r="BK564" s="9"/>
      <c r="BL564" s="9"/>
    </row>
    <row r="565" ht="15.75" customHeight="1">
      <c r="U565" s="10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11"/>
      <c r="AM565" s="9"/>
      <c r="AN565" s="9"/>
      <c r="AO565" s="10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  <c r="BA565" s="9"/>
      <c r="BB565" s="9"/>
      <c r="BC565" s="9"/>
      <c r="BD565" s="9"/>
      <c r="BE565" s="9"/>
      <c r="BF565" s="9"/>
      <c r="BG565" s="9"/>
      <c r="BH565" s="9"/>
      <c r="BI565" s="9"/>
      <c r="BJ565" s="9"/>
      <c r="BK565" s="9"/>
      <c r="BL565" s="9"/>
    </row>
    <row r="566" ht="15.75" customHeight="1">
      <c r="U566" s="10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11"/>
      <c r="AM566" s="9"/>
      <c r="AN566" s="9"/>
      <c r="AO566" s="10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  <c r="BA566" s="9"/>
      <c r="BB566" s="9"/>
      <c r="BC566" s="9"/>
      <c r="BD566" s="9"/>
      <c r="BE566" s="9"/>
      <c r="BF566" s="9"/>
      <c r="BG566" s="9"/>
      <c r="BH566" s="9"/>
      <c r="BI566" s="9"/>
      <c r="BJ566" s="9"/>
      <c r="BK566" s="9"/>
      <c r="BL566" s="9"/>
    </row>
    <row r="567" ht="15.75" customHeight="1">
      <c r="U567" s="10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11"/>
      <c r="AM567" s="9"/>
      <c r="AN567" s="9"/>
      <c r="AO567" s="10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  <c r="BA567" s="9"/>
      <c r="BB567" s="9"/>
      <c r="BC567" s="9"/>
      <c r="BD567" s="9"/>
      <c r="BE567" s="9"/>
      <c r="BF567" s="9"/>
      <c r="BG567" s="9"/>
      <c r="BH567" s="9"/>
      <c r="BI567" s="9"/>
      <c r="BJ567" s="9"/>
      <c r="BK567" s="9"/>
      <c r="BL567" s="9"/>
    </row>
    <row r="568" ht="15.75" customHeight="1">
      <c r="U568" s="10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11"/>
      <c r="AM568" s="9"/>
      <c r="AN568" s="9"/>
      <c r="AO568" s="10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  <c r="BA568" s="9"/>
      <c r="BB568" s="9"/>
      <c r="BC568" s="9"/>
      <c r="BD568" s="9"/>
      <c r="BE568" s="9"/>
      <c r="BF568" s="9"/>
      <c r="BG568" s="9"/>
      <c r="BH568" s="9"/>
      <c r="BI568" s="9"/>
      <c r="BJ568" s="9"/>
      <c r="BK568" s="9"/>
      <c r="BL568" s="9"/>
    </row>
    <row r="569" ht="15.75" customHeight="1">
      <c r="U569" s="10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11"/>
      <c r="AM569" s="9"/>
      <c r="AN569" s="9"/>
      <c r="AO569" s="10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  <c r="BA569" s="9"/>
      <c r="BB569" s="9"/>
      <c r="BC569" s="9"/>
      <c r="BD569" s="9"/>
      <c r="BE569" s="9"/>
      <c r="BF569" s="9"/>
      <c r="BG569" s="9"/>
      <c r="BH569" s="9"/>
      <c r="BI569" s="9"/>
      <c r="BJ569" s="9"/>
      <c r="BK569" s="9"/>
      <c r="BL569" s="9"/>
    </row>
    <row r="570" ht="15.75" customHeight="1">
      <c r="U570" s="10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11"/>
      <c r="AM570" s="9"/>
      <c r="AN570" s="9"/>
      <c r="AO570" s="10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  <c r="BA570" s="9"/>
      <c r="BB570" s="9"/>
      <c r="BC570" s="9"/>
      <c r="BD570" s="9"/>
      <c r="BE570" s="9"/>
      <c r="BF570" s="9"/>
      <c r="BG570" s="9"/>
      <c r="BH570" s="9"/>
      <c r="BI570" s="9"/>
      <c r="BJ570" s="9"/>
      <c r="BK570" s="9"/>
      <c r="BL570" s="9"/>
    </row>
    <row r="571" ht="15.75" customHeight="1">
      <c r="U571" s="10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11"/>
      <c r="AM571" s="9"/>
      <c r="AN571" s="9"/>
      <c r="AO571" s="10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  <c r="BA571" s="9"/>
      <c r="BB571" s="9"/>
      <c r="BC571" s="9"/>
      <c r="BD571" s="9"/>
      <c r="BE571" s="9"/>
      <c r="BF571" s="9"/>
      <c r="BG571" s="9"/>
      <c r="BH571" s="9"/>
      <c r="BI571" s="9"/>
      <c r="BJ571" s="9"/>
      <c r="BK571" s="9"/>
      <c r="BL571" s="9"/>
    </row>
    <row r="572" ht="15.75" customHeight="1">
      <c r="U572" s="10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11"/>
      <c r="AM572" s="9"/>
      <c r="AN572" s="9"/>
      <c r="AO572" s="10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  <c r="BA572" s="9"/>
      <c r="BB572" s="9"/>
      <c r="BC572" s="9"/>
      <c r="BD572" s="9"/>
      <c r="BE572" s="9"/>
      <c r="BF572" s="9"/>
      <c r="BG572" s="9"/>
      <c r="BH572" s="9"/>
      <c r="BI572" s="9"/>
      <c r="BJ572" s="9"/>
      <c r="BK572" s="9"/>
      <c r="BL572" s="9"/>
    </row>
    <row r="573" ht="15.75" customHeight="1">
      <c r="U573" s="10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11"/>
      <c r="AM573" s="9"/>
      <c r="AN573" s="9"/>
      <c r="AO573" s="10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  <c r="BA573" s="9"/>
      <c r="BB573" s="9"/>
      <c r="BC573" s="9"/>
      <c r="BD573" s="9"/>
      <c r="BE573" s="9"/>
      <c r="BF573" s="9"/>
      <c r="BG573" s="9"/>
      <c r="BH573" s="9"/>
      <c r="BI573" s="9"/>
      <c r="BJ573" s="9"/>
      <c r="BK573" s="9"/>
      <c r="BL573" s="9"/>
    </row>
    <row r="574" ht="15.75" customHeight="1">
      <c r="U574" s="10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11"/>
      <c r="AM574" s="9"/>
      <c r="AN574" s="9"/>
      <c r="AO574" s="10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  <c r="BA574" s="9"/>
      <c r="BB574" s="9"/>
      <c r="BC574" s="9"/>
      <c r="BD574" s="9"/>
      <c r="BE574" s="9"/>
      <c r="BF574" s="9"/>
      <c r="BG574" s="9"/>
      <c r="BH574" s="9"/>
      <c r="BI574" s="9"/>
      <c r="BJ574" s="9"/>
      <c r="BK574" s="9"/>
      <c r="BL574" s="9"/>
    </row>
    <row r="575" ht="15.75" customHeight="1">
      <c r="U575" s="10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11"/>
      <c r="AM575" s="9"/>
      <c r="AN575" s="9"/>
      <c r="AO575" s="10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  <c r="BA575" s="9"/>
      <c r="BB575" s="9"/>
      <c r="BC575" s="9"/>
      <c r="BD575" s="9"/>
      <c r="BE575" s="9"/>
      <c r="BF575" s="9"/>
      <c r="BG575" s="9"/>
      <c r="BH575" s="9"/>
      <c r="BI575" s="9"/>
      <c r="BJ575" s="9"/>
      <c r="BK575" s="9"/>
      <c r="BL575" s="9"/>
    </row>
    <row r="576" ht="15.75" customHeight="1">
      <c r="U576" s="10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11"/>
      <c r="AM576" s="9"/>
      <c r="AN576" s="9"/>
      <c r="AO576" s="10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  <c r="BA576" s="9"/>
      <c r="BB576" s="9"/>
      <c r="BC576" s="9"/>
      <c r="BD576" s="9"/>
      <c r="BE576" s="9"/>
      <c r="BF576" s="9"/>
      <c r="BG576" s="9"/>
      <c r="BH576" s="9"/>
      <c r="BI576" s="9"/>
      <c r="BJ576" s="9"/>
      <c r="BK576" s="9"/>
      <c r="BL576" s="9"/>
    </row>
    <row r="577" ht="15.75" customHeight="1">
      <c r="U577" s="10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11"/>
      <c r="AM577" s="9"/>
      <c r="AN577" s="9"/>
      <c r="AO577" s="10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  <c r="BA577" s="9"/>
      <c r="BB577" s="9"/>
      <c r="BC577" s="9"/>
      <c r="BD577" s="9"/>
      <c r="BE577" s="9"/>
      <c r="BF577" s="9"/>
      <c r="BG577" s="9"/>
      <c r="BH577" s="9"/>
      <c r="BI577" s="9"/>
      <c r="BJ577" s="9"/>
      <c r="BK577" s="9"/>
      <c r="BL577" s="9"/>
    </row>
    <row r="578" ht="15.75" customHeight="1">
      <c r="U578" s="10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11"/>
      <c r="AM578" s="9"/>
      <c r="AN578" s="9"/>
      <c r="AO578" s="10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  <c r="BA578" s="9"/>
      <c r="BB578" s="9"/>
      <c r="BC578" s="9"/>
      <c r="BD578" s="9"/>
      <c r="BE578" s="9"/>
      <c r="BF578" s="9"/>
      <c r="BG578" s="9"/>
      <c r="BH578" s="9"/>
      <c r="BI578" s="9"/>
      <c r="BJ578" s="9"/>
      <c r="BK578" s="9"/>
      <c r="BL578" s="9"/>
    </row>
    <row r="579" ht="15.75" customHeight="1">
      <c r="U579" s="10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11"/>
      <c r="AM579" s="9"/>
      <c r="AN579" s="9"/>
      <c r="AO579" s="10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  <c r="BA579" s="9"/>
      <c r="BB579" s="9"/>
      <c r="BC579" s="9"/>
      <c r="BD579" s="9"/>
      <c r="BE579" s="9"/>
      <c r="BF579" s="9"/>
      <c r="BG579" s="9"/>
      <c r="BH579" s="9"/>
      <c r="BI579" s="9"/>
      <c r="BJ579" s="9"/>
      <c r="BK579" s="9"/>
      <c r="BL579" s="9"/>
    </row>
    <row r="580" ht="15.75" customHeight="1">
      <c r="U580" s="10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11"/>
      <c r="AM580" s="9"/>
      <c r="AN580" s="9"/>
      <c r="AO580" s="10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  <c r="BA580" s="9"/>
      <c r="BB580" s="9"/>
      <c r="BC580" s="9"/>
      <c r="BD580" s="9"/>
      <c r="BE580" s="9"/>
      <c r="BF580" s="9"/>
      <c r="BG580" s="9"/>
      <c r="BH580" s="9"/>
      <c r="BI580" s="9"/>
      <c r="BJ580" s="9"/>
      <c r="BK580" s="9"/>
      <c r="BL580" s="9"/>
    </row>
    <row r="581" ht="15.75" customHeight="1">
      <c r="U581" s="10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11"/>
      <c r="AM581" s="9"/>
      <c r="AN581" s="9"/>
      <c r="AO581" s="10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  <c r="BA581" s="9"/>
      <c r="BB581" s="9"/>
      <c r="BC581" s="9"/>
      <c r="BD581" s="9"/>
      <c r="BE581" s="9"/>
      <c r="BF581" s="9"/>
      <c r="BG581" s="9"/>
      <c r="BH581" s="9"/>
      <c r="BI581" s="9"/>
      <c r="BJ581" s="9"/>
      <c r="BK581" s="9"/>
      <c r="BL581" s="9"/>
    </row>
    <row r="582" ht="15.75" customHeight="1">
      <c r="U582" s="10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11"/>
      <c r="AM582" s="9"/>
      <c r="AN582" s="9"/>
      <c r="AO582" s="10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  <c r="BA582" s="9"/>
      <c r="BB582" s="9"/>
      <c r="BC582" s="9"/>
      <c r="BD582" s="9"/>
      <c r="BE582" s="9"/>
      <c r="BF582" s="9"/>
      <c r="BG582" s="9"/>
      <c r="BH582" s="9"/>
      <c r="BI582" s="9"/>
      <c r="BJ582" s="9"/>
      <c r="BK582" s="9"/>
      <c r="BL582" s="9"/>
    </row>
    <row r="583" ht="15.75" customHeight="1">
      <c r="U583" s="10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11"/>
      <c r="AM583" s="9"/>
      <c r="AN583" s="9"/>
      <c r="AO583" s="10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  <c r="BA583" s="9"/>
      <c r="BB583" s="9"/>
      <c r="BC583" s="9"/>
      <c r="BD583" s="9"/>
      <c r="BE583" s="9"/>
      <c r="BF583" s="9"/>
      <c r="BG583" s="9"/>
      <c r="BH583" s="9"/>
      <c r="BI583" s="9"/>
      <c r="BJ583" s="9"/>
      <c r="BK583" s="9"/>
      <c r="BL583" s="9"/>
    </row>
    <row r="584" ht="15.75" customHeight="1">
      <c r="U584" s="10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11"/>
      <c r="AM584" s="9"/>
      <c r="AN584" s="9"/>
      <c r="AO584" s="10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  <c r="BA584" s="9"/>
      <c r="BB584" s="9"/>
      <c r="BC584" s="9"/>
      <c r="BD584" s="9"/>
      <c r="BE584" s="9"/>
      <c r="BF584" s="9"/>
      <c r="BG584" s="9"/>
      <c r="BH584" s="9"/>
      <c r="BI584" s="9"/>
      <c r="BJ584" s="9"/>
      <c r="BK584" s="9"/>
      <c r="BL584" s="9"/>
    </row>
    <row r="585" ht="15.75" customHeight="1">
      <c r="U585" s="10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11"/>
      <c r="AM585" s="9"/>
      <c r="AN585" s="9"/>
      <c r="AO585" s="10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  <c r="BA585" s="9"/>
      <c r="BB585" s="9"/>
      <c r="BC585" s="9"/>
      <c r="BD585" s="9"/>
      <c r="BE585" s="9"/>
      <c r="BF585" s="9"/>
      <c r="BG585" s="9"/>
      <c r="BH585" s="9"/>
      <c r="BI585" s="9"/>
      <c r="BJ585" s="9"/>
      <c r="BK585" s="9"/>
      <c r="BL585" s="9"/>
    </row>
    <row r="586" ht="15.75" customHeight="1">
      <c r="U586" s="10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11"/>
      <c r="AM586" s="9"/>
      <c r="AN586" s="9"/>
      <c r="AO586" s="10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  <c r="BA586" s="9"/>
      <c r="BB586" s="9"/>
      <c r="BC586" s="9"/>
      <c r="BD586" s="9"/>
      <c r="BE586" s="9"/>
      <c r="BF586" s="9"/>
      <c r="BG586" s="9"/>
      <c r="BH586" s="9"/>
      <c r="BI586" s="9"/>
      <c r="BJ586" s="9"/>
      <c r="BK586" s="9"/>
      <c r="BL586" s="9"/>
    </row>
    <row r="587" ht="15.75" customHeight="1">
      <c r="U587" s="10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11"/>
      <c r="AM587" s="9"/>
      <c r="AN587" s="9"/>
      <c r="AO587" s="10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  <c r="BA587" s="9"/>
      <c r="BB587" s="9"/>
      <c r="BC587" s="9"/>
      <c r="BD587" s="9"/>
      <c r="BE587" s="9"/>
      <c r="BF587" s="9"/>
      <c r="BG587" s="9"/>
      <c r="BH587" s="9"/>
      <c r="BI587" s="9"/>
      <c r="BJ587" s="9"/>
      <c r="BK587" s="9"/>
      <c r="BL587" s="9"/>
    </row>
    <row r="588" ht="15.75" customHeight="1">
      <c r="U588" s="10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11"/>
      <c r="AM588" s="9"/>
      <c r="AN588" s="9"/>
      <c r="AO588" s="10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  <c r="BA588" s="9"/>
      <c r="BB588" s="9"/>
      <c r="BC588" s="9"/>
      <c r="BD588" s="9"/>
      <c r="BE588" s="9"/>
      <c r="BF588" s="9"/>
      <c r="BG588" s="9"/>
      <c r="BH588" s="9"/>
      <c r="BI588" s="9"/>
      <c r="BJ588" s="9"/>
      <c r="BK588" s="9"/>
      <c r="BL588" s="9"/>
    </row>
    <row r="589" ht="15.75" customHeight="1">
      <c r="U589" s="10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11"/>
      <c r="AM589" s="9"/>
      <c r="AN589" s="9"/>
      <c r="AO589" s="10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  <c r="BA589" s="9"/>
      <c r="BB589" s="9"/>
      <c r="BC589" s="9"/>
      <c r="BD589" s="9"/>
      <c r="BE589" s="9"/>
      <c r="BF589" s="9"/>
      <c r="BG589" s="9"/>
      <c r="BH589" s="9"/>
      <c r="BI589" s="9"/>
      <c r="BJ589" s="9"/>
      <c r="BK589" s="9"/>
      <c r="BL589" s="9"/>
    </row>
    <row r="590" ht="15.75" customHeight="1">
      <c r="U590" s="10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11"/>
      <c r="AM590" s="9"/>
      <c r="AN590" s="9"/>
      <c r="AO590" s="10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  <c r="BA590" s="9"/>
      <c r="BB590" s="9"/>
      <c r="BC590" s="9"/>
      <c r="BD590" s="9"/>
      <c r="BE590" s="9"/>
      <c r="BF590" s="9"/>
      <c r="BG590" s="9"/>
      <c r="BH590" s="9"/>
      <c r="BI590" s="9"/>
      <c r="BJ590" s="9"/>
      <c r="BK590" s="9"/>
      <c r="BL590" s="9"/>
    </row>
    <row r="591" ht="15.75" customHeight="1">
      <c r="U591" s="10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11"/>
      <c r="AM591" s="9"/>
      <c r="AN591" s="9"/>
      <c r="AO591" s="10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  <c r="BA591" s="9"/>
      <c r="BB591" s="9"/>
      <c r="BC591" s="9"/>
      <c r="BD591" s="9"/>
      <c r="BE591" s="9"/>
      <c r="BF591" s="9"/>
      <c r="BG591" s="9"/>
      <c r="BH591" s="9"/>
      <c r="BI591" s="9"/>
      <c r="BJ591" s="9"/>
      <c r="BK591" s="9"/>
      <c r="BL591" s="9"/>
    </row>
    <row r="592" ht="15.75" customHeight="1">
      <c r="U592" s="10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11"/>
      <c r="AM592" s="9"/>
      <c r="AN592" s="9"/>
      <c r="AO592" s="10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  <c r="BA592" s="9"/>
      <c r="BB592" s="9"/>
      <c r="BC592" s="9"/>
      <c r="BD592" s="9"/>
      <c r="BE592" s="9"/>
      <c r="BF592" s="9"/>
      <c r="BG592" s="9"/>
      <c r="BH592" s="9"/>
      <c r="BI592" s="9"/>
      <c r="BJ592" s="9"/>
      <c r="BK592" s="9"/>
      <c r="BL592" s="9"/>
    </row>
    <row r="593" ht="15.75" customHeight="1">
      <c r="U593" s="10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11"/>
      <c r="AM593" s="9"/>
      <c r="AN593" s="9"/>
      <c r="AO593" s="10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  <c r="BA593" s="9"/>
      <c r="BB593" s="9"/>
      <c r="BC593" s="9"/>
      <c r="BD593" s="9"/>
      <c r="BE593" s="9"/>
      <c r="BF593" s="9"/>
      <c r="BG593" s="9"/>
      <c r="BH593" s="9"/>
      <c r="BI593" s="9"/>
      <c r="BJ593" s="9"/>
      <c r="BK593" s="9"/>
      <c r="BL593" s="9"/>
    </row>
    <row r="594" ht="15.75" customHeight="1">
      <c r="U594" s="10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11"/>
      <c r="AM594" s="9"/>
      <c r="AN594" s="9"/>
      <c r="AO594" s="10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  <c r="BA594" s="9"/>
      <c r="BB594" s="9"/>
      <c r="BC594" s="9"/>
      <c r="BD594" s="9"/>
      <c r="BE594" s="9"/>
      <c r="BF594" s="9"/>
      <c r="BG594" s="9"/>
      <c r="BH594" s="9"/>
      <c r="BI594" s="9"/>
      <c r="BJ594" s="9"/>
      <c r="BK594" s="9"/>
      <c r="BL594" s="9"/>
    </row>
    <row r="595" ht="15.75" customHeight="1">
      <c r="U595" s="10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11"/>
      <c r="AM595" s="9"/>
      <c r="AN595" s="9"/>
      <c r="AO595" s="10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  <c r="BA595" s="9"/>
      <c r="BB595" s="9"/>
      <c r="BC595" s="9"/>
      <c r="BD595" s="9"/>
      <c r="BE595" s="9"/>
      <c r="BF595" s="9"/>
      <c r="BG595" s="9"/>
      <c r="BH595" s="9"/>
      <c r="BI595" s="9"/>
      <c r="BJ595" s="9"/>
      <c r="BK595" s="9"/>
      <c r="BL595" s="9"/>
    </row>
    <row r="596" ht="15.75" customHeight="1">
      <c r="U596" s="10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11"/>
      <c r="AM596" s="9"/>
      <c r="AN596" s="9"/>
      <c r="AO596" s="10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  <c r="BA596" s="9"/>
      <c r="BB596" s="9"/>
      <c r="BC596" s="9"/>
      <c r="BD596" s="9"/>
      <c r="BE596" s="9"/>
      <c r="BF596" s="9"/>
      <c r="BG596" s="9"/>
      <c r="BH596" s="9"/>
      <c r="BI596" s="9"/>
      <c r="BJ596" s="9"/>
      <c r="BK596" s="9"/>
      <c r="BL596" s="9"/>
    </row>
    <row r="597" ht="15.75" customHeight="1">
      <c r="U597" s="10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11"/>
      <c r="AM597" s="9"/>
      <c r="AN597" s="9"/>
      <c r="AO597" s="10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  <c r="BA597" s="9"/>
      <c r="BB597" s="9"/>
      <c r="BC597" s="9"/>
      <c r="BD597" s="9"/>
      <c r="BE597" s="9"/>
      <c r="BF597" s="9"/>
      <c r="BG597" s="9"/>
      <c r="BH597" s="9"/>
      <c r="BI597" s="9"/>
      <c r="BJ597" s="9"/>
      <c r="BK597" s="9"/>
      <c r="BL597" s="9"/>
    </row>
    <row r="598" ht="15.75" customHeight="1">
      <c r="U598" s="10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11"/>
      <c r="AM598" s="9"/>
      <c r="AN598" s="9"/>
      <c r="AO598" s="10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  <c r="BA598" s="9"/>
      <c r="BB598" s="9"/>
      <c r="BC598" s="9"/>
      <c r="BD598" s="9"/>
      <c r="BE598" s="9"/>
      <c r="BF598" s="9"/>
      <c r="BG598" s="9"/>
      <c r="BH598" s="9"/>
      <c r="BI598" s="9"/>
      <c r="BJ598" s="9"/>
      <c r="BK598" s="9"/>
      <c r="BL598" s="9"/>
    </row>
    <row r="599" ht="15.75" customHeight="1">
      <c r="U599" s="10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11"/>
      <c r="AM599" s="9"/>
      <c r="AN599" s="9"/>
      <c r="AO599" s="10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  <c r="BA599" s="9"/>
      <c r="BB599" s="9"/>
      <c r="BC599" s="9"/>
      <c r="BD599" s="9"/>
      <c r="BE599" s="9"/>
      <c r="BF599" s="9"/>
      <c r="BG599" s="9"/>
      <c r="BH599" s="9"/>
      <c r="BI599" s="9"/>
      <c r="BJ599" s="9"/>
      <c r="BK599" s="9"/>
      <c r="BL599" s="9"/>
    </row>
    <row r="600" ht="15.75" customHeight="1">
      <c r="U600" s="10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11"/>
      <c r="AM600" s="9"/>
      <c r="AN600" s="9"/>
      <c r="AO600" s="10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  <c r="BA600" s="9"/>
      <c r="BB600" s="9"/>
      <c r="BC600" s="9"/>
      <c r="BD600" s="9"/>
      <c r="BE600" s="9"/>
      <c r="BF600" s="9"/>
      <c r="BG600" s="9"/>
      <c r="BH600" s="9"/>
      <c r="BI600" s="9"/>
      <c r="BJ600" s="9"/>
      <c r="BK600" s="9"/>
      <c r="BL600" s="9"/>
    </row>
    <row r="601" ht="15.75" customHeight="1">
      <c r="U601" s="10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11"/>
      <c r="AM601" s="9"/>
      <c r="AN601" s="9"/>
      <c r="AO601" s="10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  <c r="BA601" s="9"/>
      <c r="BB601" s="9"/>
      <c r="BC601" s="9"/>
      <c r="BD601" s="9"/>
      <c r="BE601" s="9"/>
      <c r="BF601" s="9"/>
      <c r="BG601" s="9"/>
      <c r="BH601" s="9"/>
      <c r="BI601" s="9"/>
      <c r="BJ601" s="9"/>
      <c r="BK601" s="9"/>
      <c r="BL601" s="9"/>
    </row>
    <row r="602" ht="15.75" customHeight="1">
      <c r="U602" s="10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11"/>
      <c r="AM602" s="9"/>
      <c r="AN602" s="9"/>
      <c r="AO602" s="10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  <c r="BA602" s="9"/>
      <c r="BB602" s="9"/>
      <c r="BC602" s="9"/>
      <c r="BD602" s="9"/>
      <c r="BE602" s="9"/>
      <c r="BF602" s="9"/>
      <c r="BG602" s="9"/>
      <c r="BH602" s="9"/>
      <c r="BI602" s="9"/>
      <c r="BJ602" s="9"/>
      <c r="BK602" s="9"/>
      <c r="BL602" s="9"/>
    </row>
    <row r="603" ht="15.75" customHeight="1">
      <c r="U603" s="10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11"/>
      <c r="AM603" s="9"/>
      <c r="AN603" s="9"/>
      <c r="AO603" s="10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  <c r="BA603" s="9"/>
      <c r="BB603" s="9"/>
      <c r="BC603" s="9"/>
      <c r="BD603" s="9"/>
      <c r="BE603" s="9"/>
      <c r="BF603" s="9"/>
      <c r="BG603" s="9"/>
      <c r="BH603" s="9"/>
      <c r="BI603" s="9"/>
      <c r="BJ603" s="9"/>
      <c r="BK603" s="9"/>
      <c r="BL603" s="9"/>
    </row>
    <row r="604" ht="15.75" customHeight="1">
      <c r="U604" s="10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11"/>
      <c r="AM604" s="9"/>
      <c r="AN604" s="9"/>
      <c r="AO604" s="10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  <c r="BA604" s="9"/>
      <c r="BB604" s="9"/>
      <c r="BC604" s="9"/>
      <c r="BD604" s="9"/>
      <c r="BE604" s="9"/>
      <c r="BF604" s="9"/>
      <c r="BG604" s="9"/>
      <c r="BH604" s="9"/>
      <c r="BI604" s="9"/>
      <c r="BJ604" s="9"/>
      <c r="BK604" s="9"/>
      <c r="BL604" s="9"/>
    </row>
    <row r="605" ht="15.75" customHeight="1">
      <c r="U605" s="10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11"/>
      <c r="AM605" s="9"/>
      <c r="AN605" s="9"/>
      <c r="AO605" s="10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  <c r="BA605" s="9"/>
      <c r="BB605" s="9"/>
      <c r="BC605" s="9"/>
      <c r="BD605" s="9"/>
      <c r="BE605" s="9"/>
      <c r="BF605" s="9"/>
      <c r="BG605" s="9"/>
      <c r="BH605" s="9"/>
      <c r="BI605" s="9"/>
      <c r="BJ605" s="9"/>
      <c r="BK605" s="9"/>
      <c r="BL605" s="9"/>
    </row>
    <row r="606" ht="15.75" customHeight="1">
      <c r="U606" s="10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11"/>
      <c r="AM606" s="9"/>
      <c r="AN606" s="9"/>
      <c r="AO606" s="10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  <c r="BA606" s="9"/>
      <c r="BB606" s="9"/>
      <c r="BC606" s="9"/>
      <c r="BD606" s="9"/>
      <c r="BE606" s="9"/>
      <c r="BF606" s="9"/>
      <c r="BG606" s="9"/>
      <c r="BH606" s="9"/>
      <c r="BI606" s="9"/>
      <c r="BJ606" s="9"/>
      <c r="BK606" s="9"/>
      <c r="BL606" s="9"/>
    </row>
    <row r="607" ht="15.75" customHeight="1">
      <c r="U607" s="10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11"/>
      <c r="AM607" s="9"/>
      <c r="AN607" s="9"/>
      <c r="AO607" s="10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  <c r="BA607" s="9"/>
      <c r="BB607" s="9"/>
      <c r="BC607" s="9"/>
      <c r="BD607" s="9"/>
      <c r="BE607" s="9"/>
      <c r="BF607" s="9"/>
      <c r="BG607" s="9"/>
      <c r="BH607" s="9"/>
      <c r="BI607" s="9"/>
      <c r="BJ607" s="9"/>
      <c r="BK607" s="9"/>
      <c r="BL607" s="9"/>
    </row>
    <row r="608" ht="15.75" customHeight="1">
      <c r="U608" s="10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11"/>
      <c r="AM608" s="9"/>
      <c r="AN608" s="9"/>
      <c r="AO608" s="10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  <c r="BA608" s="9"/>
      <c r="BB608" s="9"/>
      <c r="BC608" s="9"/>
      <c r="BD608" s="9"/>
      <c r="BE608" s="9"/>
      <c r="BF608" s="9"/>
      <c r="BG608" s="9"/>
      <c r="BH608" s="9"/>
      <c r="BI608" s="9"/>
      <c r="BJ608" s="9"/>
      <c r="BK608" s="9"/>
      <c r="BL608" s="9"/>
    </row>
    <row r="609" ht="15.75" customHeight="1">
      <c r="U609" s="10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11"/>
      <c r="AM609" s="9"/>
      <c r="AN609" s="9"/>
      <c r="AO609" s="10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  <c r="BA609" s="9"/>
      <c r="BB609" s="9"/>
      <c r="BC609" s="9"/>
      <c r="BD609" s="9"/>
      <c r="BE609" s="9"/>
      <c r="BF609" s="9"/>
      <c r="BG609" s="9"/>
      <c r="BH609" s="9"/>
      <c r="BI609" s="9"/>
      <c r="BJ609" s="9"/>
      <c r="BK609" s="9"/>
      <c r="BL609" s="9"/>
    </row>
    <row r="610" ht="15.75" customHeight="1">
      <c r="U610" s="10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11"/>
      <c r="AM610" s="9"/>
      <c r="AN610" s="9"/>
      <c r="AO610" s="10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  <c r="BA610" s="9"/>
      <c r="BB610" s="9"/>
      <c r="BC610" s="9"/>
      <c r="BD610" s="9"/>
      <c r="BE610" s="9"/>
      <c r="BF610" s="9"/>
      <c r="BG610" s="9"/>
      <c r="BH610" s="9"/>
      <c r="BI610" s="9"/>
      <c r="BJ610" s="9"/>
      <c r="BK610" s="9"/>
      <c r="BL610" s="9"/>
    </row>
    <row r="611" ht="15.75" customHeight="1">
      <c r="U611" s="10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11"/>
      <c r="AM611" s="9"/>
      <c r="AN611" s="9"/>
      <c r="AO611" s="10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  <c r="BA611" s="9"/>
      <c r="BB611" s="9"/>
      <c r="BC611" s="9"/>
      <c r="BD611" s="9"/>
      <c r="BE611" s="9"/>
      <c r="BF611" s="9"/>
      <c r="BG611" s="9"/>
      <c r="BH611" s="9"/>
      <c r="BI611" s="9"/>
      <c r="BJ611" s="9"/>
      <c r="BK611" s="9"/>
      <c r="BL611" s="9"/>
    </row>
    <row r="612" ht="15.75" customHeight="1">
      <c r="U612" s="10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11"/>
      <c r="AM612" s="9"/>
      <c r="AN612" s="9"/>
      <c r="AO612" s="10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  <c r="BA612" s="9"/>
      <c r="BB612" s="9"/>
      <c r="BC612" s="9"/>
      <c r="BD612" s="9"/>
      <c r="BE612" s="9"/>
      <c r="BF612" s="9"/>
      <c r="BG612" s="9"/>
      <c r="BH612" s="9"/>
      <c r="BI612" s="9"/>
      <c r="BJ612" s="9"/>
      <c r="BK612" s="9"/>
      <c r="BL612" s="9"/>
    </row>
    <row r="613" ht="15.75" customHeight="1">
      <c r="U613" s="10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11"/>
      <c r="AM613" s="9"/>
      <c r="AN613" s="9"/>
      <c r="AO613" s="10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  <c r="BA613" s="9"/>
      <c r="BB613" s="9"/>
      <c r="BC613" s="9"/>
      <c r="BD613" s="9"/>
      <c r="BE613" s="9"/>
      <c r="BF613" s="9"/>
      <c r="BG613" s="9"/>
      <c r="BH613" s="9"/>
      <c r="BI613" s="9"/>
      <c r="BJ613" s="9"/>
      <c r="BK613" s="9"/>
      <c r="BL613" s="9"/>
    </row>
    <row r="614" ht="15.75" customHeight="1">
      <c r="U614" s="10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11"/>
      <c r="AM614" s="9"/>
      <c r="AN614" s="9"/>
      <c r="AO614" s="10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  <c r="BA614" s="9"/>
      <c r="BB614" s="9"/>
      <c r="BC614" s="9"/>
      <c r="BD614" s="9"/>
      <c r="BE614" s="9"/>
      <c r="BF614" s="9"/>
      <c r="BG614" s="9"/>
      <c r="BH614" s="9"/>
      <c r="BI614" s="9"/>
      <c r="BJ614" s="9"/>
      <c r="BK614" s="9"/>
      <c r="BL614" s="9"/>
    </row>
    <row r="615" ht="15.75" customHeight="1">
      <c r="U615" s="10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11"/>
      <c r="AM615" s="9"/>
      <c r="AN615" s="9"/>
      <c r="AO615" s="10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  <c r="BA615" s="9"/>
      <c r="BB615" s="9"/>
      <c r="BC615" s="9"/>
      <c r="BD615" s="9"/>
      <c r="BE615" s="9"/>
      <c r="BF615" s="9"/>
      <c r="BG615" s="9"/>
      <c r="BH615" s="9"/>
      <c r="BI615" s="9"/>
      <c r="BJ615" s="9"/>
      <c r="BK615" s="9"/>
      <c r="BL615" s="9"/>
    </row>
    <row r="616" ht="15.75" customHeight="1">
      <c r="U616" s="10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11"/>
      <c r="AM616" s="9"/>
      <c r="AN616" s="9"/>
      <c r="AO616" s="10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  <c r="BA616" s="9"/>
      <c r="BB616" s="9"/>
      <c r="BC616" s="9"/>
      <c r="BD616" s="9"/>
      <c r="BE616" s="9"/>
      <c r="BF616" s="9"/>
      <c r="BG616" s="9"/>
      <c r="BH616" s="9"/>
      <c r="BI616" s="9"/>
      <c r="BJ616" s="9"/>
      <c r="BK616" s="9"/>
      <c r="BL616" s="9"/>
    </row>
    <row r="617" ht="15.75" customHeight="1">
      <c r="U617" s="10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11"/>
      <c r="AM617" s="9"/>
      <c r="AN617" s="9"/>
      <c r="AO617" s="10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  <c r="BA617" s="9"/>
      <c r="BB617" s="9"/>
      <c r="BC617" s="9"/>
      <c r="BD617" s="9"/>
      <c r="BE617" s="9"/>
      <c r="BF617" s="9"/>
      <c r="BG617" s="9"/>
      <c r="BH617" s="9"/>
      <c r="BI617" s="9"/>
      <c r="BJ617" s="9"/>
      <c r="BK617" s="9"/>
      <c r="BL617" s="9"/>
    </row>
    <row r="618" ht="15.75" customHeight="1">
      <c r="U618" s="10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11"/>
      <c r="AM618" s="9"/>
      <c r="AN618" s="9"/>
      <c r="AO618" s="10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  <c r="BA618" s="9"/>
      <c r="BB618" s="9"/>
      <c r="BC618" s="9"/>
      <c r="BD618" s="9"/>
      <c r="BE618" s="9"/>
      <c r="BF618" s="9"/>
      <c r="BG618" s="9"/>
      <c r="BH618" s="9"/>
      <c r="BI618" s="9"/>
      <c r="BJ618" s="9"/>
      <c r="BK618" s="9"/>
      <c r="BL618" s="9"/>
    </row>
    <row r="619" ht="15.75" customHeight="1">
      <c r="U619" s="10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11"/>
      <c r="AM619" s="9"/>
      <c r="AN619" s="9"/>
      <c r="AO619" s="10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  <c r="BA619" s="9"/>
      <c r="BB619" s="9"/>
      <c r="BC619" s="9"/>
      <c r="BD619" s="9"/>
      <c r="BE619" s="9"/>
      <c r="BF619" s="9"/>
      <c r="BG619" s="9"/>
      <c r="BH619" s="9"/>
      <c r="BI619" s="9"/>
      <c r="BJ619" s="9"/>
      <c r="BK619" s="9"/>
      <c r="BL619" s="9"/>
    </row>
    <row r="620" ht="15.75" customHeight="1">
      <c r="U620" s="10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11"/>
      <c r="AM620" s="9"/>
      <c r="AN620" s="9"/>
      <c r="AO620" s="10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  <c r="BA620" s="9"/>
      <c r="BB620" s="9"/>
      <c r="BC620" s="9"/>
      <c r="BD620" s="9"/>
      <c r="BE620" s="9"/>
      <c r="BF620" s="9"/>
      <c r="BG620" s="9"/>
      <c r="BH620" s="9"/>
      <c r="BI620" s="9"/>
      <c r="BJ620" s="9"/>
      <c r="BK620" s="9"/>
      <c r="BL620" s="9"/>
    </row>
    <row r="621" ht="15.75" customHeight="1">
      <c r="U621" s="10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11"/>
      <c r="AM621" s="9"/>
      <c r="AN621" s="9"/>
      <c r="AO621" s="10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  <c r="BA621" s="9"/>
      <c r="BB621" s="9"/>
      <c r="BC621" s="9"/>
      <c r="BD621" s="9"/>
      <c r="BE621" s="9"/>
      <c r="BF621" s="9"/>
      <c r="BG621" s="9"/>
      <c r="BH621" s="9"/>
      <c r="BI621" s="9"/>
      <c r="BJ621" s="9"/>
      <c r="BK621" s="9"/>
      <c r="BL621" s="9"/>
    </row>
    <row r="622" ht="15.75" customHeight="1">
      <c r="U622" s="10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11"/>
      <c r="AM622" s="9"/>
      <c r="AN622" s="9"/>
      <c r="AO622" s="10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  <c r="BA622" s="9"/>
      <c r="BB622" s="9"/>
      <c r="BC622" s="9"/>
      <c r="BD622" s="9"/>
      <c r="BE622" s="9"/>
      <c r="BF622" s="9"/>
      <c r="BG622" s="9"/>
      <c r="BH622" s="9"/>
      <c r="BI622" s="9"/>
      <c r="BJ622" s="9"/>
      <c r="BK622" s="9"/>
      <c r="BL622" s="9"/>
    </row>
    <row r="623" ht="15.75" customHeight="1">
      <c r="U623" s="10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11"/>
      <c r="AM623" s="9"/>
      <c r="AN623" s="9"/>
      <c r="AO623" s="10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  <c r="BA623" s="9"/>
      <c r="BB623" s="9"/>
      <c r="BC623" s="9"/>
      <c r="BD623" s="9"/>
      <c r="BE623" s="9"/>
      <c r="BF623" s="9"/>
      <c r="BG623" s="9"/>
      <c r="BH623" s="9"/>
      <c r="BI623" s="9"/>
      <c r="BJ623" s="9"/>
      <c r="BK623" s="9"/>
      <c r="BL623" s="9"/>
    </row>
    <row r="624" ht="15.75" customHeight="1">
      <c r="U624" s="10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11"/>
      <c r="AM624" s="9"/>
      <c r="AN624" s="9"/>
      <c r="AO624" s="10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  <c r="BA624" s="9"/>
      <c r="BB624" s="9"/>
      <c r="BC624" s="9"/>
      <c r="BD624" s="9"/>
      <c r="BE624" s="9"/>
      <c r="BF624" s="9"/>
      <c r="BG624" s="9"/>
      <c r="BH624" s="9"/>
      <c r="BI624" s="9"/>
      <c r="BJ624" s="9"/>
      <c r="BK624" s="9"/>
      <c r="BL624" s="9"/>
    </row>
    <row r="625" ht="15.75" customHeight="1">
      <c r="U625" s="10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11"/>
      <c r="AM625" s="9"/>
      <c r="AN625" s="9"/>
      <c r="AO625" s="10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9"/>
      <c r="BC625" s="9"/>
      <c r="BD625" s="9"/>
      <c r="BE625" s="9"/>
      <c r="BF625" s="9"/>
      <c r="BG625" s="9"/>
      <c r="BH625" s="9"/>
      <c r="BI625" s="9"/>
      <c r="BJ625" s="9"/>
      <c r="BK625" s="9"/>
      <c r="BL625" s="9"/>
    </row>
    <row r="626" ht="15.75" customHeight="1">
      <c r="U626" s="10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11"/>
      <c r="AM626" s="9"/>
      <c r="AN626" s="9"/>
      <c r="AO626" s="10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  <c r="BA626" s="9"/>
      <c r="BB626" s="9"/>
      <c r="BC626" s="9"/>
      <c r="BD626" s="9"/>
      <c r="BE626" s="9"/>
      <c r="BF626" s="9"/>
      <c r="BG626" s="9"/>
      <c r="BH626" s="9"/>
      <c r="BI626" s="9"/>
      <c r="BJ626" s="9"/>
      <c r="BK626" s="9"/>
      <c r="BL626" s="9"/>
    </row>
    <row r="627" ht="15.75" customHeight="1">
      <c r="U627" s="10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11"/>
      <c r="AM627" s="9"/>
      <c r="AN627" s="9"/>
      <c r="AO627" s="10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  <c r="BA627" s="9"/>
      <c r="BB627" s="9"/>
      <c r="BC627" s="9"/>
      <c r="BD627" s="9"/>
      <c r="BE627" s="9"/>
      <c r="BF627" s="9"/>
      <c r="BG627" s="9"/>
      <c r="BH627" s="9"/>
      <c r="BI627" s="9"/>
      <c r="BJ627" s="9"/>
      <c r="BK627" s="9"/>
      <c r="BL627" s="9"/>
    </row>
    <row r="628" ht="15.75" customHeight="1">
      <c r="U628" s="10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11"/>
      <c r="AM628" s="9"/>
      <c r="AN628" s="9"/>
      <c r="AO628" s="10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  <c r="BA628" s="9"/>
      <c r="BB628" s="9"/>
      <c r="BC628" s="9"/>
      <c r="BD628" s="9"/>
      <c r="BE628" s="9"/>
      <c r="BF628" s="9"/>
      <c r="BG628" s="9"/>
      <c r="BH628" s="9"/>
      <c r="BI628" s="9"/>
      <c r="BJ628" s="9"/>
      <c r="BK628" s="9"/>
      <c r="BL628" s="9"/>
    </row>
    <row r="629" ht="15.75" customHeight="1">
      <c r="U629" s="10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11"/>
      <c r="AM629" s="9"/>
      <c r="AN629" s="9"/>
      <c r="AO629" s="10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  <c r="BA629" s="9"/>
      <c r="BB629" s="9"/>
      <c r="BC629" s="9"/>
      <c r="BD629" s="9"/>
      <c r="BE629" s="9"/>
      <c r="BF629" s="9"/>
      <c r="BG629" s="9"/>
      <c r="BH629" s="9"/>
      <c r="BI629" s="9"/>
      <c r="BJ629" s="9"/>
      <c r="BK629" s="9"/>
      <c r="BL629" s="9"/>
    </row>
    <row r="630" ht="15.75" customHeight="1">
      <c r="U630" s="10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11"/>
      <c r="AM630" s="9"/>
      <c r="AN630" s="9"/>
      <c r="AO630" s="10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A630" s="9"/>
      <c r="BB630" s="9"/>
      <c r="BC630" s="9"/>
      <c r="BD630" s="9"/>
      <c r="BE630" s="9"/>
      <c r="BF630" s="9"/>
      <c r="BG630" s="9"/>
      <c r="BH630" s="9"/>
      <c r="BI630" s="9"/>
      <c r="BJ630" s="9"/>
      <c r="BK630" s="9"/>
      <c r="BL630" s="9"/>
    </row>
    <row r="631" ht="15.75" customHeight="1">
      <c r="U631" s="10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11"/>
      <c r="AM631" s="9"/>
      <c r="AN631" s="9"/>
      <c r="AO631" s="10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  <c r="BA631" s="9"/>
      <c r="BB631" s="9"/>
      <c r="BC631" s="9"/>
      <c r="BD631" s="9"/>
      <c r="BE631" s="9"/>
      <c r="BF631" s="9"/>
      <c r="BG631" s="9"/>
      <c r="BH631" s="9"/>
      <c r="BI631" s="9"/>
      <c r="BJ631" s="9"/>
      <c r="BK631" s="9"/>
      <c r="BL631" s="9"/>
    </row>
    <row r="632" ht="15.75" customHeight="1">
      <c r="U632" s="10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11"/>
      <c r="AM632" s="9"/>
      <c r="AN632" s="9"/>
      <c r="AO632" s="10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  <c r="BA632" s="9"/>
      <c r="BB632" s="9"/>
      <c r="BC632" s="9"/>
      <c r="BD632" s="9"/>
      <c r="BE632" s="9"/>
      <c r="BF632" s="9"/>
      <c r="BG632" s="9"/>
      <c r="BH632" s="9"/>
      <c r="BI632" s="9"/>
      <c r="BJ632" s="9"/>
      <c r="BK632" s="9"/>
      <c r="BL632" s="9"/>
    </row>
    <row r="633" ht="15.75" customHeight="1">
      <c r="U633" s="10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11"/>
      <c r="AM633" s="9"/>
      <c r="AN633" s="9"/>
      <c r="AO633" s="10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A633" s="9"/>
      <c r="BB633" s="9"/>
      <c r="BC633" s="9"/>
      <c r="BD633" s="9"/>
      <c r="BE633" s="9"/>
      <c r="BF633" s="9"/>
      <c r="BG633" s="9"/>
      <c r="BH633" s="9"/>
      <c r="BI633" s="9"/>
      <c r="BJ633" s="9"/>
      <c r="BK633" s="9"/>
      <c r="BL633" s="9"/>
    </row>
    <row r="634" ht="15.75" customHeight="1">
      <c r="U634" s="10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11"/>
      <c r="AM634" s="9"/>
      <c r="AN634" s="9"/>
      <c r="AO634" s="10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  <c r="BA634" s="9"/>
      <c r="BB634" s="9"/>
      <c r="BC634" s="9"/>
      <c r="BD634" s="9"/>
      <c r="BE634" s="9"/>
      <c r="BF634" s="9"/>
      <c r="BG634" s="9"/>
      <c r="BH634" s="9"/>
      <c r="BI634" s="9"/>
      <c r="BJ634" s="9"/>
      <c r="BK634" s="9"/>
      <c r="BL634" s="9"/>
    </row>
    <row r="635" ht="15.75" customHeight="1">
      <c r="U635" s="10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11"/>
      <c r="AM635" s="9"/>
      <c r="AN635" s="9"/>
      <c r="AO635" s="10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  <c r="BA635" s="9"/>
      <c r="BB635" s="9"/>
      <c r="BC635" s="9"/>
      <c r="BD635" s="9"/>
      <c r="BE635" s="9"/>
      <c r="BF635" s="9"/>
      <c r="BG635" s="9"/>
      <c r="BH635" s="9"/>
      <c r="BI635" s="9"/>
      <c r="BJ635" s="9"/>
      <c r="BK635" s="9"/>
      <c r="BL635" s="9"/>
    </row>
    <row r="636" ht="15.75" customHeight="1">
      <c r="U636" s="10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11"/>
      <c r="AM636" s="9"/>
      <c r="AN636" s="9"/>
      <c r="AO636" s="10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  <c r="BA636" s="9"/>
      <c r="BB636" s="9"/>
      <c r="BC636" s="9"/>
      <c r="BD636" s="9"/>
      <c r="BE636" s="9"/>
      <c r="BF636" s="9"/>
      <c r="BG636" s="9"/>
      <c r="BH636" s="9"/>
      <c r="BI636" s="9"/>
      <c r="BJ636" s="9"/>
      <c r="BK636" s="9"/>
      <c r="BL636" s="9"/>
    </row>
    <row r="637" ht="15.75" customHeight="1">
      <c r="U637" s="10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11"/>
      <c r="AM637" s="9"/>
      <c r="AN637" s="9"/>
      <c r="AO637" s="10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A637" s="9"/>
      <c r="BB637" s="9"/>
      <c r="BC637" s="9"/>
      <c r="BD637" s="9"/>
      <c r="BE637" s="9"/>
      <c r="BF637" s="9"/>
      <c r="BG637" s="9"/>
      <c r="BH637" s="9"/>
      <c r="BI637" s="9"/>
      <c r="BJ637" s="9"/>
      <c r="BK637" s="9"/>
      <c r="BL637" s="9"/>
    </row>
    <row r="638" ht="15.75" customHeight="1">
      <c r="U638" s="10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11"/>
      <c r="AM638" s="9"/>
      <c r="AN638" s="9"/>
      <c r="AO638" s="10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  <c r="BA638" s="9"/>
      <c r="BB638" s="9"/>
      <c r="BC638" s="9"/>
      <c r="BD638" s="9"/>
      <c r="BE638" s="9"/>
      <c r="BF638" s="9"/>
      <c r="BG638" s="9"/>
      <c r="BH638" s="9"/>
      <c r="BI638" s="9"/>
      <c r="BJ638" s="9"/>
      <c r="BK638" s="9"/>
      <c r="BL638" s="9"/>
    </row>
    <row r="639" ht="15.75" customHeight="1">
      <c r="U639" s="10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11"/>
      <c r="AM639" s="9"/>
      <c r="AN639" s="9"/>
      <c r="AO639" s="10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  <c r="BA639" s="9"/>
      <c r="BB639" s="9"/>
      <c r="BC639" s="9"/>
      <c r="BD639" s="9"/>
      <c r="BE639" s="9"/>
      <c r="BF639" s="9"/>
      <c r="BG639" s="9"/>
      <c r="BH639" s="9"/>
      <c r="BI639" s="9"/>
      <c r="BJ639" s="9"/>
      <c r="BK639" s="9"/>
      <c r="BL639" s="9"/>
    </row>
    <row r="640" ht="15.75" customHeight="1">
      <c r="U640" s="10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11"/>
      <c r="AM640" s="9"/>
      <c r="AN640" s="9"/>
      <c r="AO640" s="10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  <c r="BA640" s="9"/>
      <c r="BB640" s="9"/>
      <c r="BC640" s="9"/>
      <c r="BD640" s="9"/>
      <c r="BE640" s="9"/>
      <c r="BF640" s="9"/>
      <c r="BG640" s="9"/>
      <c r="BH640" s="9"/>
      <c r="BI640" s="9"/>
      <c r="BJ640" s="9"/>
      <c r="BK640" s="9"/>
      <c r="BL640" s="9"/>
    </row>
    <row r="641" ht="15.75" customHeight="1">
      <c r="U641" s="10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11"/>
      <c r="AM641" s="9"/>
      <c r="AN641" s="9"/>
      <c r="AO641" s="10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  <c r="BA641" s="9"/>
      <c r="BB641" s="9"/>
      <c r="BC641" s="9"/>
      <c r="BD641" s="9"/>
      <c r="BE641" s="9"/>
      <c r="BF641" s="9"/>
      <c r="BG641" s="9"/>
      <c r="BH641" s="9"/>
      <c r="BI641" s="9"/>
      <c r="BJ641" s="9"/>
      <c r="BK641" s="9"/>
      <c r="BL641" s="9"/>
    </row>
    <row r="642" ht="15.75" customHeight="1">
      <c r="U642" s="10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11"/>
      <c r="AM642" s="9"/>
      <c r="AN642" s="9"/>
      <c r="AO642" s="10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  <c r="BA642" s="9"/>
      <c r="BB642" s="9"/>
      <c r="BC642" s="9"/>
      <c r="BD642" s="9"/>
      <c r="BE642" s="9"/>
      <c r="BF642" s="9"/>
      <c r="BG642" s="9"/>
      <c r="BH642" s="9"/>
      <c r="BI642" s="9"/>
      <c r="BJ642" s="9"/>
      <c r="BK642" s="9"/>
      <c r="BL642" s="9"/>
    </row>
    <row r="643" ht="15.75" customHeight="1">
      <c r="U643" s="10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11"/>
      <c r="AM643" s="9"/>
      <c r="AN643" s="9"/>
      <c r="AO643" s="10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A643" s="9"/>
      <c r="BB643" s="9"/>
      <c r="BC643" s="9"/>
      <c r="BD643" s="9"/>
      <c r="BE643" s="9"/>
      <c r="BF643" s="9"/>
      <c r="BG643" s="9"/>
      <c r="BH643" s="9"/>
      <c r="BI643" s="9"/>
      <c r="BJ643" s="9"/>
      <c r="BK643" s="9"/>
      <c r="BL643" s="9"/>
    </row>
    <row r="644" ht="15.75" customHeight="1">
      <c r="U644" s="10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11"/>
      <c r="AM644" s="9"/>
      <c r="AN644" s="9"/>
      <c r="AO644" s="10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  <c r="BA644" s="9"/>
      <c r="BB644" s="9"/>
      <c r="BC644" s="9"/>
      <c r="BD644" s="9"/>
      <c r="BE644" s="9"/>
      <c r="BF644" s="9"/>
      <c r="BG644" s="9"/>
      <c r="BH644" s="9"/>
      <c r="BI644" s="9"/>
      <c r="BJ644" s="9"/>
      <c r="BK644" s="9"/>
      <c r="BL644" s="9"/>
    </row>
    <row r="645" ht="15.75" customHeight="1">
      <c r="U645" s="10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11"/>
      <c r="AM645" s="9"/>
      <c r="AN645" s="9"/>
      <c r="AO645" s="10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  <c r="BA645" s="9"/>
      <c r="BB645" s="9"/>
      <c r="BC645" s="9"/>
      <c r="BD645" s="9"/>
      <c r="BE645" s="9"/>
      <c r="BF645" s="9"/>
      <c r="BG645" s="9"/>
      <c r="BH645" s="9"/>
      <c r="BI645" s="9"/>
      <c r="BJ645" s="9"/>
      <c r="BK645" s="9"/>
      <c r="BL645" s="9"/>
    </row>
    <row r="646" ht="15.75" customHeight="1">
      <c r="U646" s="10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11"/>
      <c r="AM646" s="9"/>
      <c r="AN646" s="9"/>
      <c r="AO646" s="10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  <c r="BA646" s="9"/>
      <c r="BB646" s="9"/>
      <c r="BC646" s="9"/>
      <c r="BD646" s="9"/>
      <c r="BE646" s="9"/>
      <c r="BF646" s="9"/>
      <c r="BG646" s="9"/>
      <c r="BH646" s="9"/>
      <c r="BI646" s="9"/>
      <c r="BJ646" s="9"/>
      <c r="BK646" s="9"/>
      <c r="BL646" s="9"/>
    </row>
    <row r="647" ht="15.75" customHeight="1">
      <c r="U647" s="10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11"/>
      <c r="AM647" s="9"/>
      <c r="AN647" s="9"/>
      <c r="AO647" s="10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  <c r="BA647" s="9"/>
      <c r="BB647" s="9"/>
      <c r="BC647" s="9"/>
      <c r="BD647" s="9"/>
      <c r="BE647" s="9"/>
      <c r="BF647" s="9"/>
      <c r="BG647" s="9"/>
      <c r="BH647" s="9"/>
      <c r="BI647" s="9"/>
      <c r="BJ647" s="9"/>
      <c r="BK647" s="9"/>
      <c r="BL647" s="9"/>
    </row>
    <row r="648" ht="15.75" customHeight="1">
      <c r="U648" s="10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11"/>
      <c r="AM648" s="9"/>
      <c r="AN648" s="9"/>
      <c r="AO648" s="10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  <c r="BA648" s="9"/>
      <c r="BB648" s="9"/>
      <c r="BC648" s="9"/>
      <c r="BD648" s="9"/>
      <c r="BE648" s="9"/>
      <c r="BF648" s="9"/>
      <c r="BG648" s="9"/>
      <c r="BH648" s="9"/>
      <c r="BI648" s="9"/>
      <c r="BJ648" s="9"/>
      <c r="BK648" s="9"/>
      <c r="BL648" s="9"/>
    </row>
    <row r="649" ht="15.75" customHeight="1">
      <c r="U649" s="10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11"/>
      <c r="AM649" s="9"/>
      <c r="AN649" s="9"/>
      <c r="AO649" s="10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  <c r="BA649" s="9"/>
      <c r="BB649" s="9"/>
      <c r="BC649" s="9"/>
      <c r="BD649" s="9"/>
      <c r="BE649" s="9"/>
      <c r="BF649" s="9"/>
      <c r="BG649" s="9"/>
      <c r="BH649" s="9"/>
      <c r="BI649" s="9"/>
      <c r="BJ649" s="9"/>
      <c r="BK649" s="9"/>
      <c r="BL649" s="9"/>
    </row>
    <row r="650" ht="15.75" customHeight="1">
      <c r="U650" s="10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11"/>
      <c r="AM650" s="9"/>
      <c r="AN650" s="9"/>
      <c r="AO650" s="10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  <c r="BA650" s="9"/>
      <c r="BB650" s="9"/>
      <c r="BC650" s="9"/>
      <c r="BD650" s="9"/>
      <c r="BE650" s="9"/>
      <c r="BF650" s="9"/>
      <c r="BG650" s="9"/>
      <c r="BH650" s="9"/>
      <c r="BI650" s="9"/>
      <c r="BJ650" s="9"/>
      <c r="BK650" s="9"/>
      <c r="BL650" s="9"/>
    </row>
    <row r="651" ht="15.75" customHeight="1">
      <c r="U651" s="10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11"/>
      <c r="AM651" s="9"/>
      <c r="AN651" s="9"/>
      <c r="AO651" s="10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  <c r="BA651" s="9"/>
      <c r="BB651" s="9"/>
      <c r="BC651" s="9"/>
      <c r="BD651" s="9"/>
      <c r="BE651" s="9"/>
      <c r="BF651" s="9"/>
      <c r="BG651" s="9"/>
      <c r="BH651" s="9"/>
      <c r="BI651" s="9"/>
      <c r="BJ651" s="9"/>
      <c r="BK651" s="9"/>
      <c r="BL651" s="9"/>
    </row>
    <row r="652" ht="15.75" customHeight="1">
      <c r="U652" s="10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11"/>
      <c r="AM652" s="9"/>
      <c r="AN652" s="9"/>
      <c r="AO652" s="10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  <c r="BA652" s="9"/>
      <c r="BB652" s="9"/>
      <c r="BC652" s="9"/>
      <c r="BD652" s="9"/>
      <c r="BE652" s="9"/>
      <c r="BF652" s="9"/>
      <c r="BG652" s="9"/>
      <c r="BH652" s="9"/>
      <c r="BI652" s="9"/>
      <c r="BJ652" s="9"/>
      <c r="BK652" s="9"/>
      <c r="BL652" s="9"/>
    </row>
    <row r="653" ht="15.75" customHeight="1">
      <c r="U653" s="10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11"/>
      <c r="AM653" s="9"/>
      <c r="AN653" s="9"/>
      <c r="AO653" s="10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  <c r="BA653" s="9"/>
      <c r="BB653" s="9"/>
      <c r="BC653" s="9"/>
      <c r="BD653" s="9"/>
      <c r="BE653" s="9"/>
      <c r="BF653" s="9"/>
      <c r="BG653" s="9"/>
      <c r="BH653" s="9"/>
      <c r="BI653" s="9"/>
      <c r="BJ653" s="9"/>
      <c r="BK653" s="9"/>
      <c r="BL653" s="9"/>
    </row>
    <row r="654" ht="15.75" customHeight="1">
      <c r="U654" s="10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11"/>
      <c r="AM654" s="9"/>
      <c r="AN654" s="9"/>
      <c r="AO654" s="10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  <c r="BA654" s="9"/>
      <c r="BB654" s="9"/>
      <c r="BC654" s="9"/>
      <c r="BD654" s="9"/>
      <c r="BE654" s="9"/>
      <c r="BF654" s="9"/>
      <c r="BG654" s="9"/>
      <c r="BH654" s="9"/>
      <c r="BI654" s="9"/>
      <c r="BJ654" s="9"/>
      <c r="BK654" s="9"/>
      <c r="BL654" s="9"/>
    </row>
    <row r="655" ht="15.75" customHeight="1">
      <c r="U655" s="10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11"/>
      <c r="AM655" s="9"/>
      <c r="AN655" s="9"/>
      <c r="AO655" s="10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  <c r="BA655" s="9"/>
      <c r="BB655" s="9"/>
      <c r="BC655" s="9"/>
      <c r="BD655" s="9"/>
      <c r="BE655" s="9"/>
      <c r="BF655" s="9"/>
      <c r="BG655" s="9"/>
      <c r="BH655" s="9"/>
      <c r="BI655" s="9"/>
      <c r="BJ655" s="9"/>
      <c r="BK655" s="9"/>
      <c r="BL655" s="9"/>
    </row>
    <row r="656" ht="15.75" customHeight="1">
      <c r="U656" s="10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11"/>
      <c r="AM656" s="9"/>
      <c r="AN656" s="9"/>
      <c r="AO656" s="10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  <c r="BA656" s="9"/>
      <c r="BB656" s="9"/>
      <c r="BC656" s="9"/>
      <c r="BD656" s="9"/>
      <c r="BE656" s="9"/>
      <c r="BF656" s="9"/>
      <c r="BG656" s="9"/>
      <c r="BH656" s="9"/>
      <c r="BI656" s="9"/>
      <c r="BJ656" s="9"/>
      <c r="BK656" s="9"/>
      <c r="BL656" s="9"/>
    </row>
    <row r="657" ht="15.75" customHeight="1">
      <c r="U657" s="10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11"/>
      <c r="AM657" s="9"/>
      <c r="AN657" s="9"/>
      <c r="AO657" s="10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  <c r="BA657" s="9"/>
      <c r="BB657" s="9"/>
      <c r="BC657" s="9"/>
      <c r="BD657" s="9"/>
      <c r="BE657" s="9"/>
      <c r="BF657" s="9"/>
      <c r="BG657" s="9"/>
      <c r="BH657" s="9"/>
      <c r="BI657" s="9"/>
      <c r="BJ657" s="9"/>
      <c r="BK657" s="9"/>
      <c r="BL657" s="9"/>
    </row>
    <row r="658" ht="15.75" customHeight="1">
      <c r="U658" s="10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11"/>
      <c r="AM658" s="9"/>
      <c r="AN658" s="9"/>
      <c r="AO658" s="10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  <c r="BA658" s="9"/>
      <c r="BB658" s="9"/>
      <c r="BC658" s="9"/>
      <c r="BD658" s="9"/>
      <c r="BE658" s="9"/>
      <c r="BF658" s="9"/>
      <c r="BG658" s="9"/>
      <c r="BH658" s="9"/>
      <c r="BI658" s="9"/>
      <c r="BJ658" s="9"/>
      <c r="BK658" s="9"/>
      <c r="BL658" s="9"/>
    </row>
    <row r="659" ht="15.75" customHeight="1">
      <c r="U659" s="10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11"/>
      <c r="AM659" s="9"/>
      <c r="AN659" s="9"/>
      <c r="AO659" s="10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  <c r="BA659" s="9"/>
      <c r="BB659" s="9"/>
      <c r="BC659" s="9"/>
      <c r="BD659" s="9"/>
      <c r="BE659" s="9"/>
      <c r="BF659" s="9"/>
      <c r="BG659" s="9"/>
      <c r="BH659" s="9"/>
      <c r="BI659" s="9"/>
      <c r="BJ659" s="9"/>
      <c r="BK659" s="9"/>
      <c r="BL659" s="9"/>
    </row>
    <row r="660" ht="15.75" customHeight="1">
      <c r="U660" s="10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11"/>
      <c r="AM660" s="9"/>
      <c r="AN660" s="9"/>
      <c r="AO660" s="10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  <c r="BA660" s="9"/>
      <c r="BB660" s="9"/>
      <c r="BC660" s="9"/>
      <c r="BD660" s="9"/>
      <c r="BE660" s="9"/>
      <c r="BF660" s="9"/>
      <c r="BG660" s="9"/>
      <c r="BH660" s="9"/>
      <c r="BI660" s="9"/>
      <c r="BJ660" s="9"/>
      <c r="BK660" s="9"/>
      <c r="BL660" s="9"/>
    </row>
    <row r="661" ht="15.75" customHeight="1">
      <c r="U661" s="10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11"/>
      <c r="AM661" s="9"/>
      <c r="AN661" s="9"/>
      <c r="AO661" s="10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  <c r="BA661" s="9"/>
      <c r="BB661" s="9"/>
      <c r="BC661" s="9"/>
      <c r="BD661" s="9"/>
      <c r="BE661" s="9"/>
      <c r="BF661" s="9"/>
      <c r="BG661" s="9"/>
      <c r="BH661" s="9"/>
      <c r="BI661" s="9"/>
      <c r="BJ661" s="9"/>
      <c r="BK661" s="9"/>
      <c r="BL661" s="9"/>
    </row>
    <row r="662" ht="15.75" customHeight="1">
      <c r="U662" s="10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11"/>
      <c r="AM662" s="9"/>
      <c r="AN662" s="9"/>
      <c r="AO662" s="10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  <c r="BA662" s="9"/>
      <c r="BB662" s="9"/>
      <c r="BC662" s="9"/>
      <c r="BD662" s="9"/>
      <c r="BE662" s="9"/>
      <c r="BF662" s="9"/>
      <c r="BG662" s="9"/>
      <c r="BH662" s="9"/>
      <c r="BI662" s="9"/>
      <c r="BJ662" s="9"/>
      <c r="BK662" s="9"/>
      <c r="BL662" s="9"/>
    </row>
    <row r="663" ht="15.75" customHeight="1">
      <c r="U663" s="10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11"/>
      <c r="AM663" s="9"/>
      <c r="AN663" s="9"/>
      <c r="AO663" s="10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  <c r="BA663" s="9"/>
      <c r="BB663" s="9"/>
      <c r="BC663" s="9"/>
      <c r="BD663" s="9"/>
      <c r="BE663" s="9"/>
      <c r="BF663" s="9"/>
      <c r="BG663" s="9"/>
      <c r="BH663" s="9"/>
      <c r="BI663" s="9"/>
      <c r="BJ663" s="9"/>
      <c r="BK663" s="9"/>
      <c r="BL663" s="9"/>
    </row>
    <row r="664" ht="15.75" customHeight="1">
      <c r="U664" s="10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11"/>
      <c r="AM664" s="9"/>
      <c r="AN664" s="9"/>
      <c r="AO664" s="10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  <c r="BA664" s="9"/>
      <c r="BB664" s="9"/>
      <c r="BC664" s="9"/>
      <c r="BD664" s="9"/>
      <c r="BE664" s="9"/>
      <c r="BF664" s="9"/>
      <c r="BG664" s="9"/>
      <c r="BH664" s="9"/>
      <c r="BI664" s="9"/>
      <c r="BJ664" s="9"/>
      <c r="BK664" s="9"/>
      <c r="BL664" s="9"/>
    </row>
    <row r="665" ht="15.75" customHeight="1">
      <c r="U665" s="10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11"/>
      <c r="AM665" s="9"/>
      <c r="AN665" s="9"/>
      <c r="AO665" s="10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  <c r="BA665" s="9"/>
      <c r="BB665" s="9"/>
      <c r="BC665" s="9"/>
      <c r="BD665" s="9"/>
      <c r="BE665" s="9"/>
      <c r="BF665" s="9"/>
      <c r="BG665" s="9"/>
      <c r="BH665" s="9"/>
      <c r="BI665" s="9"/>
      <c r="BJ665" s="9"/>
      <c r="BK665" s="9"/>
      <c r="BL665" s="9"/>
    </row>
    <row r="666" ht="15.75" customHeight="1">
      <c r="U666" s="10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11"/>
      <c r="AM666" s="9"/>
      <c r="AN666" s="9"/>
      <c r="AO666" s="10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  <c r="BA666" s="9"/>
      <c r="BB666" s="9"/>
      <c r="BC666" s="9"/>
      <c r="BD666" s="9"/>
      <c r="BE666" s="9"/>
      <c r="BF666" s="9"/>
      <c r="BG666" s="9"/>
      <c r="BH666" s="9"/>
      <c r="BI666" s="9"/>
      <c r="BJ666" s="9"/>
      <c r="BK666" s="9"/>
      <c r="BL666" s="9"/>
    </row>
    <row r="667" ht="15.75" customHeight="1">
      <c r="U667" s="10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11"/>
      <c r="AM667" s="9"/>
      <c r="AN667" s="9"/>
      <c r="AO667" s="10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  <c r="BA667" s="9"/>
      <c r="BB667" s="9"/>
      <c r="BC667" s="9"/>
      <c r="BD667" s="9"/>
      <c r="BE667" s="9"/>
      <c r="BF667" s="9"/>
      <c r="BG667" s="9"/>
      <c r="BH667" s="9"/>
      <c r="BI667" s="9"/>
      <c r="BJ667" s="9"/>
      <c r="BK667" s="9"/>
      <c r="BL667" s="9"/>
    </row>
    <row r="668" ht="15.75" customHeight="1">
      <c r="U668" s="10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11"/>
      <c r="AM668" s="9"/>
      <c r="AN668" s="9"/>
      <c r="AO668" s="10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  <c r="BA668" s="9"/>
      <c r="BB668" s="9"/>
      <c r="BC668" s="9"/>
      <c r="BD668" s="9"/>
      <c r="BE668" s="9"/>
      <c r="BF668" s="9"/>
      <c r="BG668" s="9"/>
      <c r="BH668" s="9"/>
      <c r="BI668" s="9"/>
      <c r="BJ668" s="9"/>
      <c r="BK668" s="9"/>
      <c r="BL668" s="9"/>
    </row>
    <row r="669" ht="15.75" customHeight="1">
      <c r="U669" s="10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11"/>
      <c r="AM669" s="9"/>
      <c r="AN669" s="9"/>
      <c r="AO669" s="10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  <c r="BA669" s="9"/>
      <c r="BB669" s="9"/>
      <c r="BC669" s="9"/>
      <c r="BD669" s="9"/>
      <c r="BE669" s="9"/>
      <c r="BF669" s="9"/>
      <c r="BG669" s="9"/>
      <c r="BH669" s="9"/>
      <c r="BI669" s="9"/>
      <c r="BJ669" s="9"/>
      <c r="BK669" s="9"/>
      <c r="BL669" s="9"/>
    </row>
    <row r="670" ht="15.75" customHeight="1">
      <c r="U670" s="10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11"/>
      <c r="AM670" s="9"/>
      <c r="AN670" s="9"/>
      <c r="AO670" s="10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  <c r="BA670" s="9"/>
      <c r="BB670" s="9"/>
      <c r="BC670" s="9"/>
      <c r="BD670" s="9"/>
      <c r="BE670" s="9"/>
      <c r="BF670" s="9"/>
      <c r="BG670" s="9"/>
      <c r="BH670" s="9"/>
      <c r="BI670" s="9"/>
      <c r="BJ670" s="9"/>
      <c r="BK670" s="9"/>
      <c r="BL670" s="9"/>
    </row>
    <row r="671" ht="15.75" customHeight="1">
      <c r="U671" s="10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11"/>
      <c r="AM671" s="9"/>
      <c r="AN671" s="9"/>
      <c r="AO671" s="10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  <c r="BA671" s="9"/>
      <c r="BB671" s="9"/>
      <c r="BC671" s="9"/>
      <c r="BD671" s="9"/>
      <c r="BE671" s="9"/>
      <c r="BF671" s="9"/>
      <c r="BG671" s="9"/>
      <c r="BH671" s="9"/>
      <c r="BI671" s="9"/>
      <c r="BJ671" s="9"/>
      <c r="BK671" s="9"/>
      <c r="BL671" s="9"/>
    </row>
    <row r="672" ht="15.75" customHeight="1">
      <c r="U672" s="10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11"/>
      <c r="AM672" s="9"/>
      <c r="AN672" s="9"/>
      <c r="AO672" s="10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  <c r="BA672" s="9"/>
      <c r="BB672" s="9"/>
      <c r="BC672" s="9"/>
      <c r="BD672" s="9"/>
      <c r="BE672" s="9"/>
      <c r="BF672" s="9"/>
      <c r="BG672" s="9"/>
      <c r="BH672" s="9"/>
      <c r="BI672" s="9"/>
      <c r="BJ672" s="9"/>
      <c r="BK672" s="9"/>
      <c r="BL672" s="9"/>
    </row>
    <row r="673" ht="15.75" customHeight="1">
      <c r="U673" s="10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11"/>
      <c r="AM673" s="9"/>
      <c r="AN673" s="9"/>
      <c r="AO673" s="10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  <c r="BA673" s="9"/>
      <c r="BB673" s="9"/>
      <c r="BC673" s="9"/>
      <c r="BD673" s="9"/>
      <c r="BE673" s="9"/>
      <c r="BF673" s="9"/>
      <c r="BG673" s="9"/>
      <c r="BH673" s="9"/>
      <c r="BI673" s="9"/>
      <c r="BJ673" s="9"/>
      <c r="BK673" s="9"/>
      <c r="BL673" s="9"/>
    </row>
    <row r="674" ht="15.75" customHeight="1">
      <c r="U674" s="10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11"/>
      <c r="AM674" s="9"/>
      <c r="AN674" s="9"/>
      <c r="AO674" s="10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  <c r="BA674" s="9"/>
      <c r="BB674" s="9"/>
      <c r="BC674" s="9"/>
      <c r="BD674" s="9"/>
      <c r="BE674" s="9"/>
      <c r="BF674" s="9"/>
      <c r="BG674" s="9"/>
      <c r="BH674" s="9"/>
      <c r="BI674" s="9"/>
      <c r="BJ674" s="9"/>
      <c r="BK674" s="9"/>
      <c r="BL674" s="9"/>
    </row>
    <row r="675" ht="15.75" customHeight="1">
      <c r="U675" s="10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11"/>
      <c r="AM675" s="9"/>
      <c r="AN675" s="9"/>
      <c r="AO675" s="10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  <c r="BA675" s="9"/>
      <c r="BB675" s="9"/>
      <c r="BC675" s="9"/>
      <c r="BD675" s="9"/>
      <c r="BE675" s="9"/>
      <c r="BF675" s="9"/>
      <c r="BG675" s="9"/>
      <c r="BH675" s="9"/>
      <c r="BI675" s="9"/>
      <c r="BJ675" s="9"/>
      <c r="BK675" s="9"/>
      <c r="BL675" s="9"/>
    </row>
    <row r="676" ht="15.75" customHeight="1">
      <c r="U676" s="10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11"/>
      <c r="AM676" s="9"/>
      <c r="AN676" s="9"/>
      <c r="AO676" s="10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  <c r="BA676" s="9"/>
      <c r="BB676" s="9"/>
      <c r="BC676" s="9"/>
      <c r="BD676" s="9"/>
      <c r="BE676" s="9"/>
      <c r="BF676" s="9"/>
      <c r="BG676" s="9"/>
      <c r="BH676" s="9"/>
      <c r="BI676" s="9"/>
      <c r="BJ676" s="9"/>
      <c r="BK676" s="9"/>
      <c r="BL676" s="9"/>
    </row>
    <row r="677" ht="15.75" customHeight="1">
      <c r="U677" s="10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11"/>
      <c r="AM677" s="9"/>
      <c r="AN677" s="9"/>
      <c r="AO677" s="10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  <c r="BA677" s="9"/>
      <c r="BB677" s="9"/>
      <c r="BC677" s="9"/>
      <c r="BD677" s="9"/>
      <c r="BE677" s="9"/>
      <c r="BF677" s="9"/>
      <c r="BG677" s="9"/>
      <c r="BH677" s="9"/>
      <c r="BI677" s="9"/>
      <c r="BJ677" s="9"/>
      <c r="BK677" s="9"/>
      <c r="BL677" s="9"/>
    </row>
    <row r="678" ht="15.75" customHeight="1">
      <c r="U678" s="10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11"/>
      <c r="AM678" s="9"/>
      <c r="AN678" s="9"/>
      <c r="AO678" s="10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  <c r="BA678" s="9"/>
      <c r="BB678" s="9"/>
      <c r="BC678" s="9"/>
      <c r="BD678" s="9"/>
      <c r="BE678" s="9"/>
      <c r="BF678" s="9"/>
      <c r="BG678" s="9"/>
      <c r="BH678" s="9"/>
      <c r="BI678" s="9"/>
      <c r="BJ678" s="9"/>
      <c r="BK678" s="9"/>
      <c r="BL678" s="9"/>
    </row>
    <row r="679" ht="15.75" customHeight="1">
      <c r="U679" s="10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11"/>
      <c r="AM679" s="9"/>
      <c r="AN679" s="9"/>
      <c r="AO679" s="10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  <c r="BA679" s="9"/>
      <c r="BB679" s="9"/>
      <c r="BC679" s="9"/>
      <c r="BD679" s="9"/>
      <c r="BE679" s="9"/>
      <c r="BF679" s="9"/>
      <c r="BG679" s="9"/>
      <c r="BH679" s="9"/>
      <c r="BI679" s="9"/>
      <c r="BJ679" s="9"/>
      <c r="BK679" s="9"/>
      <c r="BL679" s="9"/>
    </row>
    <row r="680" ht="15.75" customHeight="1">
      <c r="U680" s="10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11"/>
      <c r="AM680" s="9"/>
      <c r="AN680" s="9"/>
      <c r="AO680" s="10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  <c r="BA680" s="9"/>
      <c r="BB680" s="9"/>
      <c r="BC680" s="9"/>
      <c r="BD680" s="9"/>
      <c r="BE680" s="9"/>
      <c r="BF680" s="9"/>
      <c r="BG680" s="9"/>
      <c r="BH680" s="9"/>
      <c r="BI680" s="9"/>
      <c r="BJ680" s="9"/>
      <c r="BK680" s="9"/>
      <c r="BL680" s="9"/>
    </row>
    <row r="681" ht="15.75" customHeight="1">
      <c r="U681" s="10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11"/>
      <c r="AM681" s="9"/>
      <c r="AN681" s="9"/>
      <c r="AO681" s="10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  <c r="BA681" s="9"/>
      <c r="BB681" s="9"/>
      <c r="BC681" s="9"/>
      <c r="BD681" s="9"/>
      <c r="BE681" s="9"/>
      <c r="BF681" s="9"/>
      <c r="BG681" s="9"/>
      <c r="BH681" s="9"/>
      <c r="BI681" s="9"/>
      <c r="BJ681" s="9"/>
      <c r="BK681" s="9"/>
      <c r="BL681" s="9"/>
    </row>
    <row r="682" ht="15.75" customHeight="1">
      <c r="U682" s="10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11"/>
      <c r="AM682" s="9"/>
      <c r="AN682" s="9"/>
      <c r="AO682" s="10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  <c r="BA682" s="9"/>
      <c r="BB682" s="9"/>
      <c r="BC682" s="9"/>
      <c r="BD682" s="9"/>
      <c r="BE682" s="9"/>
      <c r="BF682" s="9"/>
      <c r="BG682" s="9"/>
      <c r="BH682" s="9"/>
      <c r="BI682" s="9"/>
      <c r="BJ682" s="9"/>
      <c r="BK682" s="9"/>
      <c r="BL682" s="9"/>
    </row>
    <row r="683" ht="15.75" customHeight="1">
      <c r="U683" s="10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11"/>
      <c r="AM683" s="9"/>
      <c r="AN683" s="9"/>
      <c r="AO683" s="10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  <c r="BA683" s="9"/>
      <c r="BB683" s="9"/>
      <c r="BC683" s="9"/>
      <c r="BD683" s="9"/>
      <c r="BE683" s="9"/>
      <c r="BF683" s="9"/>
      <c r="BG683" s="9"/>
      <c r="BH683" s="9"/>
      <c r="BI683" s="9"/>
      <c r="BJ683" s="9"/>
      <c r="BK683" s="9"/>
      <c r="BL683" s="9"/>
    </row>
    <row r="684" ht="15.75" customHeight="1">
      <c r="U684" s="10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11"/>
      <c r="AM684" s="9"/>
      <c r="AN684" s="9"/>
      <c r="AO684" s="10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  <c r="BA684" s="9"/>
      <c r="BB684" s="9"/>
      <c r="BC684" s="9"/>
      <c r="BD684" s="9"/>
      <c r="BE684" s="9"/>
      <c r="BF684" s="9"/>
      <c r="BG684" s="9"/>
      <c r="BH684" s="9"/>
      <c r="BI684" s="9"/>
      <c r="BJ684" s="9"/>
      <c r="BK684" s="9"/>
      <c r="BL684" s="9"/>
    </row>
    <row r="685" ht="15.75" customHeight="1">
      <c r="U685" s="10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11"/>
      <c r="AM685" s="9"/>
      <c r="AN685" s="9"/>
      <c r="AO685" s="10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  <c r="BA685" s="9"/>
      <c r="BB685" s="9"/>
      <c r="BC685" s="9"/>
      <c r="BD685" s="9"/>
      <c r="BE685" s="9"/>
      <c r="BF685" s="9"/>
      <c r="BG685" s="9"/>
      <c r="BH685" s="9"/>
      <c r="BI685" s="9"/>
      <c r="BJ685" s="9"/>
      <c r="BK685" s="9"/>
      <c r="BL685" s="9"/>
    </row>
    <row r="686" ht="15.75" customHeight="1">
      <c r="U686" s="10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11"/>
      <c r="AM686" s="9"/>
      <c r="AN686" s="9"/>
      <c r="AO686" s="10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  <c r="BA686" s="9"/>
      <c r="BB686" s="9"/>
      <c r="BC686" s="9"/>
      <c r="BD686" s="9"/>
      <c r="BE686" s="9"/>
      <c r="BF686" s="9"/>
      <c r="BG686" s="9"/>
      <c r="BH686" s="9"/>
      <c r="BI686" s="9"/>
      <c r="BJ686" s="9"/>
      <c r="BK686" s="9"/>
      <c r="BL686" s="9"/>
    </row>
    <row r="687" ht="15.75" customHeight="1">
      <c r="U687" s="10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11"/>
      <c r="AM687" s="9"/>
      <c r="AN687" s="9"/>
      <c r="AO687" s="10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  <c r="BA687" s="9"/>
      <c r="BB687" s="9"/>
      <c r="BC687" s="9"/>
      <c r="BD687" s="9"/>
      <c r="BE687" s="9"/>
      <c r="BF687" s="9"/>
      <c r="BG687" s="9"/>
      <c r="BH687" s="9"/>
      <c r="BI687" s="9"/>
      <c r="BJ687" s="9"/>
      <c r="BK687" s="9"/>
      <c r="BL687" s="9"/>
    </row>
    <row r="688" ht="15.75" customHeight="1">
      <c r="U688" s="10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11"/>
      <c r="AM688" s="9"/>
      <c r="AN688" s="9"/>
      <c r="AO688" s="10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  <c r="BA688" s="9"/>
      <c r="BB688" s="9"/>
      <c r="BC688" s="9"/>
      <c r="BD688" s="9"/>
      <c r="BE688" s="9"/>
      <c r="BF688" s="9"/>
      <c r="BG688" s="9"/>
      <c r="BH688" s="9"/>
      <c r="BI688" s="9"/>
      <c r="BJ688" s="9"/>
      <c r="BK688" s="9"/>
      <c r="BL688" s="9"/>
    </row>
    <row r="689" ht="15.75" customHeight="1">
      <c r="U689" s="10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11"/>
      <c r="AM689" s="9"/>
      <c r="AN689" s="9"/>
      <c r="AO689" s="10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  <c r="BA689" s="9"/>
      <c r="BB689" s="9"/>
      <c r="BC689" s="9"/>
      <c r="BD689" s="9"/>
      <c r="BE689" s="9"/>
      <c r="BF689" s="9"/>
      <c r="BG689" s="9"/>
      <c r="BH689" s="9"/>
      <c r="BI689" s="9"/>
      <c r="BJ689" s="9"/>
      <c r="BK689" s="9"/>
      <c r="BL689" s="9"/>
    </row>
    <row r="690" ht="15.75" customHeight="1">
      <c r="U690" s="10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11"/>
      <c r="AM690" s="9"/>
      <c r="AN690" s="9"/>
      <c r="AO690" s="10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  <c r="BA690" s="9"/>
      <c r="BB690" s="9"/>
      <c r="BC690" s="9"/>
      <c r="BD690" s="9"/>
      <c r="BE690" s="9"/>
      <c r="BF690" s="9"/>
      <c r="BG690" s="9"/>
      <c r="BH690" s="9"/>
      <c r="BI690" s="9"/>
      <c r="BJ690" s="9"/>
      <c r="BK690" s="9"/>
      <c r="BL690" s="9"/>
    </row>
    <row r="691" ht="15.75" customHeight="1">
      <c r="U691" s="10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11"/>
      <c r="AM691" s="9"/>
      <c r="AN691" s="9"/>
      <c r="AO691" s="10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  <c r="BA691" s="9"/>
      <c r="BB691" s="9"/>
      <c r="BC691" s="9"/>
      <c r="BD691" s="9"/>
      <c r="BE691" s="9"/>
      <c r="BF691" s="9"/>
      <c r="BG691" s="9"/>
      <c r="BH691" s="9"/>
      <c r="BI691" s="9"/>
      <c r="BJ691" s="9"/>
      <c r="BK691" s="9"/>
      <c r="BL691" s="9"/>
    </row>
    <row r="692" ht="15.75" customHeight="1">
      <c r="U692" s="10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11"/>
      <c r="AM692" s="9"/>
      <c r="AN692" s="9"/>
      <c r="AO692" s="10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  <c r="BA692" s="9"/>
      <c r="BB692" s="9"/>
      <c r="BC692" s="9"/>
      <c r="BD692" s="9"/>
      <c r="BE692" s="9"/>
      <c r="BF692" s="9"/>
      <c r="BG692" s="9"/>
      <c r="BH692" s="9"/>
      <c r="BI692" s="9"/>
      <c r="BJ692" s="9"/>
      <c r="BK692" s="9"/>
      <c r="BL692" s="9"/>
    </row>
    <row r="693" ht="15.75" customHeight="1">
      <c r="U693" s="10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11"/>
      <c r="AM693" s="9"/>
      <c r="AN693" s="9"/>
      <c r="AO693" s="10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  <c r="BA693" s="9"/>
      <c r="BB693" s="9"/>
      <c r="BC693" s="9"/>
      <c r="BD693" s="9"/>
      <c r="BE693" s="9"/>
      <c r="BF693" s="9"/>
      <c r="BG693" s="9"/>
      <c r="BH693" s="9"/>
      <c r="BI693" s="9"/>
      <c r="BJ693" s="9"/>
      <c r="BK693" s="9"/>
      <c r="BL693" s="9"/>
    </row>
    <row r="694" ht="15.75" customHeight="1">
      <c r="U694" s="10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11"/>
      <c r="AM694" s="9"/>
      <c r="AN694" s="9"/>
      <c r="AO694" s="10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  <c r="BA694" s="9"/>
      <c r="BB694" s="9"/>
      <c r="BC694" s="9"/>
      <c r="BD694" s="9"/>
      <c r="BE694" s="9"/>
      <c r="BF694" s="9"/>
      <c r="BG694" s="9"/>
      <c r="BH694" s="9"/>
      <c r="BI694" s="9"/>
      <c r="BJ694" s="9"/>
      <c r="BK694" s="9"/>
      <c r="BL694" s="9"/>
    </row>
    <row r="695" ht="15.75" customHeight="1">
      <c r="U695" s="10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11"/>
      <c r="AM695" s="9"/>
      <c r="AN695" s="9"/>
      <c r="AO695" s="10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  <c r="BA695" s="9"/>
      <c r="BB695" s="9"/>
      <c r="BC695" s="9"/>
      <c r="BD695" s="9"/>
      <c r="BE695" s="9"/>
      <c r="BF695" s="9"/>
      <c r="BG695" s="9"/>
      <c r="BH695" s="9"/>
      <c r="BI695" s="9"/>
      <c r="BJ695" s="9"/>
      <c r="BK695" s="9"/>
      <c r="BL695" s="9"/>
    </row>
    <row r="696" ht="15.75" customHeight="1">
      <c r="U696" s="10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11"/>
      <c r="AM696" s="9"/>
      <c r="AN696" s="9"/>
      <c r="AO696" s="10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  <c r="BA696" s="9"/>
      <c r="BB696" s="9"/>
      <c r="BC696" s="9"/>
      <c r="BD696" s="9"/>
      <c r="BE696" s="9"/>
      <c r="BF696" s="9"/>
      <c r="BG696" s="9"/>
      <c r="BH696" s="9"/>
      <c r="BI696" s="9"/>
      <c r="BJ696" s="9"/>
      <c r="BK696" s="9"/>
      <c r="BL696" s="9"/>
    </row>
    <row r="697" ht="15.75" customHeight="1">
      <c r="U697" s="10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11"/>
      <c r="AM697" s="9"/>
      <c r="AN697" s="9"/>
      <c r="AO697" s="10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  <c r="BA697" s="9"/>
      <c r="BB697" s="9"/>
      <c r="BC697" s="9"/>
      <c r="BD697" s="9"/>
      <c r="BE697" s="9"/>
      <c r="BF697" s="9"/>
      <c r="BG697" s="9"/>
      <c r="BH697" s="9"/>
      <c r="BI697" s="9"/>
      <c r="BJ697" s="9"/>
      <c r="BK697" s="9"/>
      <c r="BL697" s="9"/>
    </row>
    <row r="698" ht="15.75" customHeight="1">
      <c r="U698" s="10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11"/>
      <c r="AM698" s="9"/>
      <c r="AN698" s="9"/>
      <c r="AO698" s="10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  <c r="BA698" s="9"/>
      <c r="BB698" s="9"/>
      <c r="BC698" s="9"/>
      <c r="BD698" s="9"/>
      <c r="BE698" s="9"/>
      <c r="BF698" s="9"/>
      <c r="BG698" s="9"/>
      <c r="BH698" s="9"/>
      <c r="BI698" s="9"/>
      <c r="BJ698" s="9"/>
      <c r="BK698" s="9"/>
      <c r="BL698" s="9"/>
    </row>
    <row r="699" ht="15.75" customHeight="1">
      <c r="U699" s="10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11"/>
      <c r="AM699" s="9"/>
      <c r="AN699" s="9"/>
      <c r="AO699" s="10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  <c r="BA699" s="9"/>
      <c r="BB699" s="9"/>
      <c r="BC699" s="9"/>
      <c r="BD699" s="9"/>
      <c r="BE699" s="9"/>
      <c r="BF699" s="9"/>
      <c r="BG699" s="9"/>
      <c r="BH699" s="9"/>
      <c r="BI699" s="9"/>
      <c r="BJ699" s="9"/>
      <c r="BK699" s="9"/>
      <c r="BL699" s="9"/>
    </row>
    <row r="700" ht="15.75" customHeight="1">
      <c r="U700" s="10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11"/>
      <c r="AM700" s="9"/>
      <c r="AN700" s="9"/>
      <c r="AO700" s="10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  <c r="BA700" s="9"/>
      <c r="BB700" s="9"/>
      <c r="BC700" s="9"/>
      <c r="BD700" s="9"/>
      <c r="BE700" s="9"/>
      <c r="BF700" s="9"/>
      <c r="BG700" s="9"/>
      <c r="BH700" s="9"/>
      <c r="BI700" s="9"/>
      <c r="BJ700" s="9"/>
      <c r="BK700" s="9"/>
      <c r="BL700" s="9"/>
    </row>
    <row r="701" ht="15.75" customHeight="1">
      <c r="U701" s="10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11"/>
      <c r="AM701" s="9"/>
      <c r="AN701" s="9"/>
      <c r="AO701" s="10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  <c r="BA701" s="9"/>
      <c r="BB701" s="9"/>
      <c r="BC701" s="9"/>
      <c r="BD701" s="9"/>
      <c r="BE701" s="9"/>
      <c r="BF701" s="9"/>
      <c r="BG701" s="9"/>
      <c r="BH701" s="9"/>
      <c r="BI701" s="9"/>
      <c r="BJ701" s="9"/>
      <c r="BK701" s="9"/>
      <c r="BL701" s="9"/>
    </row>
    <row r="702" ht="15.75" customHeight="1">
      <c r="U702" s="10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11"/>
      <c r="AM702" s="9"/>
      <c r="AN702" s="9"/>
      <c r="AO702" s="10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  <c r="BA702" s="9"/>
      <c r="BB702" s="9"/>
      <c r="BC702" s="9"/>
      <c r="BD702" s="9"/>
      <c r="BE702" s="9"/>
      <c r="BF702" s="9"/>
      <c r="BG702" s="9"/>
      <c r="BH702" s="9"/>
      <c r="BI702" s="9"/>
      <c r="BJ702" s="9"/>
      <c r="BK702" s="9"/>
      <c r="BL702" s="9"/>
    </row>
    <row r="703" ht="15.75" customHeight="1">
      <c r="U703" s="10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11"/>
      <c r="AM703" s="9"/>
      <c r="AN703" s="9"/>
      <c r="AO703" s="10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  <c r="BA703" s="9"/>
      <c r="BB703" s="9"/>
      <c r="BC703" s="9"/>
      <c r="BD703" s="9"/>
      <c r="BE703" s="9"/>
      <c r="BF703" s="9"/>
      <c r="BG703" s="9"/>
      <c r="BH703" s="9"/>
      <c r="BI703" s="9"/>
      <c r="BJ703" s="9"/>
      <c r="BK703" s="9"/>
      <c r="BL703" s="9"/>
    </row>
    <row r="704" ht="15.75" customHeight="1">
      <c r="U704" s="10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11"/>
      <c r="AM704" s="9"/>
      <c r="AN704" s="9"/>
      <c r="AO704" s="10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  <c r="BA704" s="9"/>
      <c r="BB704" s="9"/>
      <c r="BC704" s="9"/>
      <c r="BD704" s="9"/>
      <c r="BE704" s="9"/>
      <c r="BF704" s="9"/>
      <c r="BG704" s="9"/>
      <c r="BH704" s="9"/>
      <c r="BI704" s="9"/>
      <c r="BJ704" s="9"/>
      <c r="BK704" s="9"/>
      <c r="BL704" s="9"/>
    </row>
    <row r="705" ht="15.75" customHeight="1">
      <c r="U705" s="10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11"/>
      <c r="AM705" s="9"/>
      <c r="AN705" s="9"/>
      <c r="AO705" s="10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  <c r="BA705" s="9"/>
      <c r="BB705" s="9"/>
      <c r="BC705" s="9"/>
      <c r="BD705" s="9"/>
      <c r="BE705" s="9"/>
      <c r="BF705" s="9"/>
      <c r="BG705" s="9"/>
      <c r="BH705" s="9"/>
      <c r="BI705" s="9"/>
      <c r="BJ705" s="9"/>
      <c r="BK705" s="9"/>
      <c r="BL705" s="9"/>
    </row>
    <row r="706" ht="15.75" customHeight="1">
      <c r="U706" s="10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11"/>
      <c r="AM706" s="9"/>
      <c r="AN706" s="9"/>
      <c r="AO706" s="10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  <c r="BA706" s="9"/>
      <c r="BB706" s="9"/>
      <c r="BC706" s="9"/>
      <c r="BD706" s="9"/>
      <c r="BE706" s="9"/>
      <c r="BF706" s="9"/>
      <c r="BG706" s="9"/>
      <c r="BH706" s="9"/>
      <c r="BI706" s="9"/>
      <c r="BJ706" s="9"/>
      <c r="BK706" s="9"/>
      <c r="BL706" s="9"/>
    </row>
    <row r="707" ht="15.75" customHeight="1">
      <c r="U707" s="10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11"/>
      <c r="AM707" s="9"/>
      <c r="AN707" s="9"/>
      <c r="AO707" s="10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  <c r="BA707" s="9"/>
      <c r="BB707" s="9"/>
      <c r="BC707" s="9"/>
      <c r="BD707" s="9"/>
      <c r="BE707" s="9"/>
      <c r="BF707" s="9"/>
      <c r="BG707" s="9"/>
      <c r="BH707" s="9"/>
      <c r="BI707" s="9"/>
      <c r="BJ707" s="9"/>
      <c r="BK707" s="9"/>
      <c r="BL707" s="9"/>
    </row>
    <row r="708" ht="15.75" customHeight="1">
      <c r="U708" s="10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11"/>
      <c r="AM708" s="9"/>
      <c r="AN708" s="9"/>
      <c r="AO708" s="10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  <c r="BA708" s="9"/>
      <c r="BB708" s="9"/>
      <c r="BC708" s="9"/>
      <c r="BD708" s="9"/>
      <c r="BE708" s="9"/>
      <c r="BF708" s="9"/>
      <c r="BG708" s="9"/>
      <c r="BH708" s="9"/>
      <c r="BI708" s="9"/>
      <c r="BJ708" s="9"/>
      <c r="BK708" s="9"/>
      <c r="BL708" s="9"/>
    </row>
    <row r="709" ht="15.75" customHeight="1">
      <c r="U709" s="10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11"/>
      <c r="AM709" s="9"/>
      <c r="AN709" s="9"/>
      <c r="AO709" s="10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  <c r="BA709" s="9"/>
      <c r="BB709" s="9"/>
      <c r="BC709" s="9"/>
      <c r="BD709" s="9"/>
      <c r="BE709" s="9"/>
      <c r="BF709" s="9"/>
      <c r="BG709" s="9"/>
      <c r="BH709" s="9"/>
      <c r="BI709" s="9"/>
      <c r="BJ709" s="9"/>
      <c r="BK709" s="9"/>
      <c r="BL709" s="9"/>
    </row>
    <row r="710" ht="15.75" customHeight="1">
      <c r="U710" s="10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11"/>
      <c r="AM710" s="9"/>
      <c r="AN710" s="9"/>
      <c r="AO710" s="10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  <c r="BA710" s="9"/>
      <c r="BB710" s="9"/>
      <c r="BC710" s="9"/>
      <c r="BD710" s="9"/>
      <c r="BE710" s="9"/>
      <c r="BF710" s="9"/>
      <c r="BG710" s="9"/>
      <c r="BH710" s="9"/>
      <c r="BI710" s="9"/>
      <c r="BJ710" s="9"/>
      <c r="BK710" s="9"/>
      <c r="BL710" s="9"/>
    </row>
    <row r="711" ht="15.75" customHeight="1">
      <c r="U711" s="10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11"/>
      <c r="AM711" s="9"/>
      <c r="AN711" s="9"/>
      <c r="AO711" s="10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  <c r="BA711" s="9"/>
      <c r="BB711" s="9"/>
      <c r="BC711" s="9"/>
      <c r="BD711" s="9"/>
      <c r="BE711" s="9"/>
      <c r="BF711" s="9"/>
      <c r="BG711" s="9"/>
      <c r="BH711" s="9"/>
      <c r="BI711" s="9"/>
      <c r="BJ711" s="9"/>
      <c r="BK711" s="9"/>
      <c r="BL711" s="9"/>
    </row>
    <row r="712" ht="15.75" customHeight="1">
      <c r="U712" s="10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11"/>
      <c r="AM712" s="9"/>
      <c r="AN712" s="9"/>
      <c r="AO712" s="10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  <c r="BA712" s="9"/>
      <c r="BB712" s="9"/>
      <c r="BC712" s="9"/>
      <c r="BD712" s="9"/>
      <c r="BE712" s="9"/>
      <c r="BF712" s="9"/>
      <c r="BG712" s="9"/>
      <c r="BH712" s="9"/>
      <c r="BI712" s="9"/>
      <c r="BJ712" s="9"/>
      <c r="BK712" s="9"/>
      <c r="BL712" s="9"/>
    </row>
    <row r="713" ht="15.75" customHeight="1">
      <c r="U713" s="10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11"/>
      <c r="AM713" s="9"/>
      <c r="AN713" s="9"/>
      <c r="AO713" s="10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  <c r="BA713" s="9"/>
      <c r="BB713" s="9"/>
      <c r="BC713" s="9"/>
      <c r="BD713" s="9"/>
      <c r="BE713" s="9"/>
      <c r="BF713" s="9"/>
      <c r="BG713" s="9"/>
      <c r="BH713" s="9"/>
      <c r="BI713" s="9"/>
      <c r="BJ713" s="9"/>
      <c r="BK713" s="9"/>
      <c r="BL713" s="9"/>
    </row>
    <row r="714" ht="15.75" customHeight="1">
      <c r="U714" s="10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11"/>
      <c r="AM714" s="9"/>
      <c r="AN714" s="9"/>
      <c r="AO714" s="10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  <c r="BA714" s="9"/>
      <c r="BB714" s="9"/>
      <c r="BC714" s="9"/>
      <c r="BD714" s="9"/>
      <c r="BE714" s="9"/>
      <c r="BF714" s="9"/>
      <c r="BG714" s="9"/>
      <c r="BH714" s="9"/>
      <c r="BI714" s="9"/>
      <c r="BJ714" s="9"/>
      <c r="BK714" s="9"/>
      <c r="BL714" s="9"/>
    </row>
    <row r="715" ht="15.75" customHeight="1">
      <c r="U715" s="10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11"/>
      <c r="AM715" s="9"/>
      <c r="AN715" s="9"/>
      <c r="AO715" s="10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  <c r="BA715" s="9"/>
      <c r="BB715" s="9"/>
      <c r="BC715" s="9"/>
      <c r="BD715" s="9"/>
      <c r="BE715" s="9"/>
      <c r="BF715" s="9"/>
      <c r="BG715" s="9"/>
      <c r="BH715" s="9"/>
      <c r="BI715" s="9"/>
      <c r="BJ715" s="9"/>
      <c r="BK715" s="9"/>
      <c r="BL715" s="9"/>
    </row>
    <row r="716" ht="15.75" customHeight="1">
      <c r="U716" s="10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11"/>
      <c r="AM716" s="9"/>
      <c r="AN716" s="9"/>
      <c r="AO716" s="10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  <c r="BA716" s="9"/>
      <c r="BB716" s="9"/>
      <c r="BC716" s="9"/>
      <c r="BD716" s="9"/>
      <c r="BE716" s="9"/>
      <c r="BF716" s="9"/>
      <c r="BG716" s="9"/>
      <c r="BH716" s="9"/>
      <c r="BI716" s="9"/>
      <c r="BJ716" s="9"/>
      <c r="BK716" s="9"/>
      <c r="BL716" s="9"/>
    </row>
    <row r="717" ht="15.75" customHeight="1">
      <c r="U717" s="10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11"/>
      <c r="AM717" s="9"/>
      <c r="AN717" s="9"/>
      <c r="AO717" s="10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  <c r="BA717" s="9"/>
      <c r="BB717" s="9"/>
      <c r="BC717" s="9"/>
      <c r="BD717" s="9"/>
      <c r="BE717" s="9"/>
      <c r="BF717" s="9"/>
      <c r="BG717" s="9"/>
      <c r="BH717" s="9"/>
      <c r="BI717" s="9"/>
      <c r="BJ717" s="9"/>
      <c r="BK717" s="9"/>
      <c r="BL717" s="9"/>
    </row>
    <row r="718" ht="15.75" customHeight="1">
      <c r="U718" s="10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11"/>
      <c r="AM718" s="9"/>
      <c r="AN718" s="9"/>
      <c r="AO718" s="10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  <c r="BA718" s="9"/>
      <c r="BB718" s="9"/>
      <c r="BC718" s="9"/>
      <c r="BD718" s="9"/>
      <c r="BE718" s="9"/>
      <c r="BF718" s="9"/>
      <c r="BG718" s="9"/>
      <c r="BH718" s="9"/>
      <c r="BI718" s="9"/>
      <c r="BJ718" s="9"/>
      <c r="BK718" s="9"/>
      <c r="BL718" s="9"/>
    </row>
    <row r="719" ht="15.75" customHeight="1">
      <c r="U719" s="10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11"/>
      <c r="AM719" s="9"/>
      <c r="AN719" s="9"/>
      <c r="AO719" s="10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  <c r="BA719" s="9"/>
      <c r="BB719" s="9"/>
      <c r="BC719" s="9"/>
      <c r="BD719" s="9"/>
      <c r="BE719" s="9"/>
      <c r="BF719" s="9"/>
      <c r="BG719" s="9"/>
      <c r="BH719" s="9"/>
      <c r="BI719" s="9"/>
      <c r="BJ719" s="9"/>
      <c r="BK719" s="9"/>
      <c r="BL719" s="9"/>
    </row>
    <row r="720" ht="15.75" customHeight="1">
      <c r="U720" s="10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11"/>
      <c r="AM720" s="9"/>
      <c r="AN720" s="9"/>
      <c r="AO720" s="10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  <c r="BA720" s="9"/>
      <c r="BB720" s="9"/>
      <c r="BC720" s="9"/>
      <c r="BD720" s="9"/>
      <c r="BE720" s="9"/>
      <c r="BF720" s="9"/>
      <c r="BG720" s="9"/>
      <c r="BH720" s="9"/>
      <c r="BI720" s="9"/>
      <c r="BJ720" s="9"/>
      <c r="BK720" s="9"/>
      <c r="BL720" s="9"/>
    </row>
    <row r="721" ht="15.75" customHeight="1">
      <c r="U721" s="10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11"/>
      <c r="AM721" s="9"/>
      <c r="AN721" s="9"/>
      <c r="AO721" s="10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  <c r="BA721" s="9"/>
      <c r="BB721" s="9"/>
      <c r="BC721" s="9"/>
      <c r="BD721" s="9"/>
      <c r="BE721" s="9"/>
      <c r="BF721" s="9"/>
      <c r="BG721" s="9"/>
      <c r="BH721" s="9"/>
      <c r="BI721" s="9"/>
      <c r="BJ721" s="9"/>
      <c r="BK721" s="9"/>
      <c r="BL721" s="9"/>
    </row>
    <row r="722" ht="15.75" customHeight="1">
      <c r="U722" s="10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11"/>
      <c r="AM722" s="9"/>
      <c r="AN722" s="9"/>
      <c r="AO722" s="10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  <c r="BA722" s="9"/>
      <c r="BB722" s="9"/>
      <c r="BC722" s="9"/>
      <c r="BD722" s="9"/>
      <c r="BE722" s="9"/>
      <c r="BF722" s="9"/>
      <c r="BG722" s="9"/>
      <c r="BH722" s="9"/>
      <c r="BI722" s="9"/>
      <c r="BJ722" s="9"/>
      <c r="BK722" s="9"/>
      <c r="BL722" s="9"/>
    </row>
    <row r="723" ht="15.75" customHeight="1">
      <c r="U723" s="10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11"/>
      <c r="AM723" s="9"/>
      <c r="AN723" s="9"/>
      <c r="AO723" s="10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  <c r="BA723" s="9"/>
      <c r="BB723" s="9"/>
      <c r="BC723" s="9"/>
      <c r="BD723" s="9"/>
      <c r="BE723" s="9"/>
      <c r="BF723" s="9"/>
      <c r="BG723" s="9"/>
      <c r="BH723" s="9"/>
      <c r="BI723" s="9"/>
      <c r="BJ723" s="9"/>
      <c r="BK723" s="9"/>
      <c r="BL723" s="9"/>
    </row>
    <row r="724" ht="15.75" customHeight="1">
      <c r="U724" s="10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11"/>
      <c r="AM724" s="9"/>
      <c r="AN724" s="9"/>
      <c r="AO724" s="10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  <c r="BA724" s="9"/>
      <c r="BB724" s="9"/>
      <c r="BC724" s="9"/>
      <c r="BD724" s="9"/>
      <c r="BE724" s="9"/>
      <c r="BF724" s="9"/>
      <c r="BG724" s="9"/>
      <c r="BH724" s="9"/>
      <c r="BI724" s="9"/>
      <c r="BJ724" s="9"/>
      <c r="BK724" s="9"/>
      <c r="BL724" s="9"/>
    </row>
    <row r="725" ht="15.75" customHeight="1">
      <c r="U725" s="10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11"/>
      <c r="AM725" s="9"/>
      <c r="AN725" s="9"/>
      <c r="AO725" s="10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9"/>
      <c r="BA725" s="9"/>
      <c r="BB725" s="9"/>
      <c r="BC725" s="9"/>
      <c r="BD725" s="9"/>
      <c r="BE725" s="9"/>
      <c r="BF725" s="9"/>
      <c r="BG725" s="9"/>
      <c r="BH725" s="9"/>
      <c r="BI725" s="9"/>
      <c r="BJ725" s="9"/>
      <c r="BK725" s="9"/>
      <c r="BL725" s="9"/>
    </row>
    <row r="726" ht="15.75" customHeight="1">
      <c r="U726" s="10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11"/>
      <c r="AM726" s="9"/>
      <c r="AN726" s="9"/>
      <c r="AO726" s="10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  <c r="BA726" s="9"/>
      <c r="BB726" s="9"/>
      <c r="BC726" s="9"/>
      <c r="BD726" s="9"/>
      <c r="BE726" s="9"/>
      <c r="BF726" s="9"/>
      <c r="BG726" s="9"/>
      <c r="BH726" s="9"/>
      <c r="BI726" s="9"/>
      <c r="BJ726" s="9"/>
      <c r="BK726" s="9"/>
      <c r="BL726" s="9"/>
    </row>
    <row r="727" ht="15.75" customHeight="1">
      <c r="U727" s="10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11"/>
      <c r="AM727" s="9"/>
      <c r="AN727" s="9"/>
      <c r="AO727" s="10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  <c r="BA727" s="9"/>
      <c r="BB727" s="9"/>
      <c r="BC727" s="9"/>
      <c r="BD727" s="9"/>
      <c r="BE727" s="9"/>
      <c r="BF727" s="9"/>
      <c r="BG727" s="9"/>
      <c r="BH727" s="9"/>
      <c r="BI727" s="9"/>
      <c r="BJ727" s="9"/>
      <c r="BK727" s="9"/>
      <c r="BL727" s="9"/>
    </row>
    <row r="728" ht="15.75" customHeight="1">
      <c r="U728" s="10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11"/>
      <c r="AM728" s="9"/>
      <c r="AN728" s="9"/>
      <c r="AO728" s="10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  <c r="BA728" s="9"/>
      <c r="BB728" s="9"/>
      <c r="BC728" s="9"/>
      <c r="BD728" s="9"/>
      <c r="BE728" s="9"/>
      <c r="BF728" s="9"/>
      <c r="BG728" s="9"/>
      <c r="BH728" s="9"/>
      <c r="BI728" s="9"/>
      <c r="BJ728" s="9"/>
      <c r="BK728" s="9"/>
      <c r="BL728" s="9"/>
    </row>
    <row r="729" ht="15.75" customHeight="1">
      <c r="U729" s="10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11"/>
      <c r="AM729" s="9"/>
      <c r="AN729" s="9"/>
      <c r="AO729" s="10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9"/>
      <c r="BA729" s="9"/>
      <c r="BB729" s="9"/>
      <c r="BC729" s="9"/>
      <c r="BD729" s="9"/>
      <c r="BE729" s="9"/>
      <c r="BF729" s="9"/>
      <c r="BG729" s="9"/>
      <c r="BH729" s="9"/>
      <c r="BI729" s="9"/>
      <c r="BJ729" s="9"/>
      <c r="BK729" s="9"/>
      <c r="BL729" s="9"/>
    </row>
    <row r="730" ht="15.75" customHeight="1">
      <c r="U730" s="10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11"/>
      <c r="AM730" s="9"/>
      <c r="AN730" s="9"/>
      <c r="AO730" s="10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9"/>
      <c r="BA730" s="9"/>
      <c r="BB730" s="9"/>
      <c r="BC730" s="9"/>
      <c r="BD730" s="9"/>
      <c r="BE730" s="9"/>
      <c r="BF730" s="9"/>
      <c r="BG730" s="9"/>
      <c r="BH730" s="9"/>
      <c r="BI730" s="9"/>
      <c r="BJ730" s="9"/>
      <c r="BK730" s="9"/>
      <c r="BL730" s="9"/>
    </row>
    <row r="731" ht="15.75" customHeight="1">
      <c r="U731" s="10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11"/>
      <c r="AM731" s="9"/>
      <c r="AN731" s="9"/>
      <c r="AO731" s="10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9"/>
      <c r="BA731" s="9"/>
      <c r="BB731" s="9"/>
      <c r="BC731" s="9"/>
      <c r="BD731" s="9"/>
      <c r="BE731" s="9"/>
      <c r="BF731" s="9"/>
      <c r="BG731" s="9"/>
      <c r="BH731" s="9"/>
      <c r="BI731" s="9"/>
      <c r="BJ731" s="9"/>
      <c r="BK731" s="9"/>
      <c r="BL731" s="9"/>
    </row>
    <row r="732" ht="15.75" customHeight="1">
      <c r="U732" s="10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11"/>
      <c r="AM732" s="9"/>
      <c r="AN732" s="9"/>
      <c r="AO732" s="10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9"/>
      <c r="BA732" s="9"/>
      <c r="BB732" s="9"/>
      <c r="BC732" s="9"/>
      <c r="BD732" s="9"/>
      <c r="BE732" s="9"/>
      <c r="BF732" s="9"/>
      <c r="BG732" s="9"/>
      <c r="BH732" s="9"/>
      <c r="BI732" s="9"/>
      <c r="BJ732" s="9"/>
      <c r="BK732" s="9"/>
      <c r="BL732" s="9"/>
    </row>
    <row r="733" ht="15.75" customHeight="1">
      <c r="U733" s="10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11"/>
      <c r="AM733" s="9"/>
      <c r="AN733" s="9"/>
      <c r="AO733" s="10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9"/>
      <c r="BA733" s="9"/>
      <c r="BB733" s="9"/>
      <c r="BC733" s="9"/>
      <c r="BD733" s="9"/>
      <c r="BE733" s="9"/>
      <c r="BF733" s="9"/>
      <c r="BG733" s="9"/>
      <c r="BH733" s="9"/>
      <c r="BI733" s="9"/>
      <c r="BJ733" s="9"/>
      <c r="BK733" s="9"/>
      <c r="BL733" s="9"/>
    </row>
    <row r="734" ht="15.75" customHeight="1">
      <c r="U734" s="10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11"/>
      <c r="AM734" s="9"/>
      <c r="AN734" s="9"/>
      <c r="AO734" s="10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9"/>
      <c r="BA734" s="9"/>
      <c r="BB734" s="9"/>
      <c r="BC734" s="9"/>
      <c r="BD734" s="9"/>
      <c r="BE734" s="9"/>
      <c r="BF734" s="9"/>
      <c r="BG734" s="9"/>
      <c r="BH734" s="9"/>
      <c r="BI734" s="9"/>
      <c r="BJ734" s="9"/>
      <c r="BK734" s="9"/>
      <c r="BL734" s="9"/>
    </row>
    <row r="735" ht="15.75" customHeight="1">
      <c r="U735" s="10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11"/>
      <c r="AM735" s="9"/>
      <c r="AN735" s="9"/>
      <c r="AO735" s="10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  <c r="BA735" s="9"/>
      <c r="BB735" s="9"/>
      <c r="BC735" s="9"/>
      <c r="BD735" s="9"/>
      <c r="BE735" s="9"/>
      <c r="BF735" s="9"/>
      <c r="BG735" s="9"/>
      <c r="BH735" s="9"/>
      <c r="BI735" s="9"/>
      <c r="BJ735" s="9"/>
      <c r="BK735" s="9"/>
      <c r="BL735" s="9"/>
    </row>
    <row r="736" ht="15.75" customHeight="1">
      <c r="U736" s="10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11"/>
      <c r="AM736" s="9"/>
      <c r="AN736" s="9"/>
      <c r="AO736" s="10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9"/>
      <c r="BA736" s="9"/>
      <c r="BB736" s="9"/>
      <c r="BC736" s="9"/>
      <c r="BD736" s="9"/>
      <c r="BE736" s="9"/>
      <c r="BF736" s="9"/>
      <c r="BG736" s="9"/>
      <c r="BH736" s="9"/>
      <c r="BI736" s="9"/>
      <c r="BJ736" s="9"/>
      <c r="BK736" s="9"/>
      <c r="BL736" s="9"/>
    </row>
    <row r="737" ht="15.75" customHeight="1">
      <c r="U737" s="10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11"/>
      <c r="AM737" s="9"/>
      <c r="AN737" s="9"/>
      <c r="AO737" s="10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  <c r="BA737" s="9"/>
      <c r="BB737" s="9"/>
      <c r="BC737" s="9"/>
      <c r="BD737" s="9"/>
      <c r="BE737" s="9"/>
      <c r="BF737" s="9"/>
      <c r="BG737" s="9"/>
      <c r="BH737" s="9"/>
      <c r="BI737" s="9"/>
      <c r="BJ737" s="9"/>
      <c r="BK737" s="9"/>
      <c r="BL737" s="9"/>
    </row>
    <row r="738" ht="15.75" customHeight="1">
      <c r="U738" s="10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11"/>
      <c r="AM738" s="9"/>
      <c r="AN738" s="9"/>
      <c r="AO738" s="10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9"/>
      <c r="BA738" s="9"/>
      <c r="BB738" s="9"/>
      <c r="BC738" s="9"/>
      <c r="BD738" s="9"/>
      <c r="BE738" s="9"/>
      <c r="BF738" s="9"/>
      <c r="BG738" s="9"/>
      <c r="BH738" s="9"/>
      <c r="BI738" s="9"/>
      <c r="BJ738" s="9"/>
      <c r="BK738" s="9"/>
      <c r="BL738" s="9"/>
    </row>
    <row r="739" ht="15.75" customHeight="1">
      <c r="U739" s="10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11"/>
      <c r="AM739" s="9"/>
      <c r="AN739" s="9"/>
      <c r="AO739" s="10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9"/>
      <c r="BA739" s="9"/>
      <c r="BB739" s="9"/>
      <c r="BC739" s="9"/>
      <c r="BD739" s="9"/>
      <c r="BE739" s="9"/>
      <c r="BF739" s="9"/>
      <c r="BG739" s="9"/>
      <c r="BH739" s="9"/>
      <c r="BI739" s="9"/>
      <c r="BJ739" s="9"/>
      <c r="BK739" s="9"/>
      <c r="BL739" s="9"/>
    </row>
    <row r="740" ht="15.75" customHeight="1">
      <c r="U740" s="10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11"/>
      <c r="AM740" s="9"/>
      <c r="AN740" s="9"/>
      <c r="AO740" s="10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9"/>
      <c r="BA740" s="9"/>
      <c r="BB740" s="9"/>
      <c r="BC740" s="9"/>
      <c r="BD740" s="9"/>
      <c r="BE740" s="9"/>
      <c r="BF740" s="9"/>
      <c r="BG740" s="9"/>
      <c r="BH740" s="9"/>
      <c r="BI740" s="9"/>
      <c r="BJ740" s="9"/>
      <c r="BK740" s="9"/>
      <c r="BL740" s="9"/>
    </row>
    <row r="741" ht="15.75" customHeight="1">
      <c r="U741" s="10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11"/>
      <c r="AM741" s="9"/>
      <c r="AN741" s="9"/>
      <c r="AO741" s="10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9"/>
      <c r="BA741" s="9"/>
      <c r="BB741" s="9"/>
      <c r="BC741" s="9"/>
      <c r="BD741" s="9"/>
      <c r="BE741" s="9"/>
      <c r="BF741" s="9"/>
      <c r="BG741" s="9"/>
      <c r="BH741" s="9"/>
      <c r="BI741" s="9"/>
      <c r="BJ741" s="9"/>
      <c r="BK741" s="9"/>
      <c r="BL741" s="9"/>
    </row>
    <row r="742" ht="15.75" customHeight="1">
      <c r="U742" s="10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11"/>
      <c r="AM742" s="9"/>
      <c r="AN742" s="9"/>
      <c r="AO742" s="10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  <c r="BA742" s="9"/>
      <c r="BB742" s="9"/>
      <c r="BC742" s="9"/>
      <c r="BD742" s="9"/>
      <c r="BE742" s="9"/>
      <c r="BF742" s="9"/>
      <c r="BG742" s="9"/>
      <c r="BH742" s="9"/>
      <c r="BI742" s="9"/>
      <c r="BJ742" s="9"/>
      <c r="BK742" s="9"/>
      <c r="BL742" s="9"/>
    </row>
    <row r="743" ht="15.75" customHeight="1">
      <c r="U743" s="10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11"/>
      <c r="AM743" s="9"/>
      <c r="AN743" s="9"/>
      <c r="AO743" s="10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9"/>
      <c r="BA743" s="9"/>
      <c r="BB743" s="9"/>
      <c r="BC743" s="9"/>
      <c r="BD743" s="9"/>
      <c r="BE743" s="9"/>
      <c r="BF743" s="9"/>
      <c r="BG743" s="9"/>
      <c r="BH743" s="9"/>
      <c r="BI743" s="9"/>
      <c r="BJ743" s="9"/>
      <c r="BK743" s="9"/>
      <c r="BL743" s="9"/>
    </row>
    <row r="744" ht="15.75" customHeight="1">
      <c r="U744" s="10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11"/>
      <c r="AM744" s="9"/>
      <c r="AN744" s="9"/>
      <c r="AO744" s="10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9"/>
      <c r="BA744" s="9"/>
      <c r="BB744" s="9"/>
      <c r="BC744" s="9"/>
      <c r="BD744" s="9"/>
      <c r="BE744" s="9"/>
      <c r="BF744" s="9"/>
      <c r="BG744" s="9"/>
      <c r="BH744" s="9"/>
      <c r="BI744" s="9"/>
      <c r="BJ744" s="9"/>
      <c r="BK744" s="9"/>
      <c r="BL744" s="9"/>
    </row>
    <row r="745" ht="15.75" customHeight="1">
      <c r="U745" s="10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11"/>
      <c r="AM745" s="9"/>
      <c r="AN745" s="9"/>
      <c r="AO745" s="10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9"/>
      <c r="BA745" s="9"/>
      <c r="BB745" s="9"/>
      <c r="BC745" s="9"/>
      <c r="BD745" s="9"/>
      <c r="BE745" s="9"/>
      <c r="BF745" s="9"/>
      <c r="BG745" s="9"/>
      <c r="BH745" s="9"/>
      <c r="BI745" s="9"/>
      <c r="BJ745" s="9"/>
      <c r="BK745" s="9"/>
      <c r="BL745" s="9"/>
    </row>
    <row r="746" ht="15.75" customHeight="1">
      <c r="U746" s="10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11"/>
      <c r="AM746" s="9"/>
      <c r="AN746" s="9"/>
      <c r="AO746" s="10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9"/>
      <c r="BA746" s="9"/>
      <c r="BB746" s="9"/>
      <c r="BC746" s="9"/>
      <c r="BD746" s="9"/>
      <c r="BE746" s="9"/>
      <c r="BF746" s="9"/>
      <c r="BG746" s="9"/>
      <c r="BH746" s="9"/>
      <c r="BI746" s="9"/>
      <c r="BJ746" s="9"/>
      <c r="BK746" s="9"/>
      <c r="BL746" s="9"/>
    </row>
    <row r="747" ht="15.75" customHeight="1">
      <c r="U747" s="10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11"/>
      <c r="AM747" s="9"/>
      <c r="AN747" s="9"/>
      <c r="AO747" s="10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9"/>
      <c r="BA747" s="9"/>
      <c r="BB747" s="9"/>
      <c r="BC747" s="9"/>
      <c r="BD747" s="9"/>
      <c r="BE747" s="9"/>
      <c r="BF747" s="9"/>
      <c r="BG747" s="9"/>
      <c r="BH747" s="9"/>
      <c r="BI747" s="9"/>
      <c r="BJ747" s="9"/>
      <c r="BK747" s="9"/>
      <c r="BL747" s="9"/>
    </row>
    <row r="748" ht="15.75" customHeight="1">
      <c r="U748" s="10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11"/>
      <c r="AM748" s="9"/>
      <c r="AN748" s="9"/>
      <c r="AO748" s="10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9"/>
      <c r="BA748" s="9"/>
      <c r="BB748" s="9"/>
      <c r="BC748" s="9"/>
      <c r="BD748" s="9"/>
      <c r="BE748" s="9"/>
      <c r="BF748" s="9"/>
      <c r="BG748" s="9"/>
      <c r="BH748" s="9"/>
      <c r="BI748" s="9"/>
      <c r="BJ748" s="9"/>
      <c r="BK748" s="9"/>
      <c r="BL748" s="9"/>
    </row>
    <row r="749" ht="15.75" customHeight="1">
      <c r="U749" s="10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11"/>
      <c r="AM749" s="9"/>
      <c r="AN749" s="9"/>
      <c r="AO749" s="10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  <c r="BA749" s="9"/>
      <c r="BB749" s="9"/>
      <c r="BC749" s="9"/>
      <c r="BD749" s="9"/>
      <c r="BE749" s="9"/>
      <c r="BF749" s="9"/>
      <c r="BG749" s="9"/>
      <c r="BH749" s="9"/>
      <c r="BI749" s="9"/>
      <c r="BJ749" s="9"/>
      <c r="BK749" s="9"/>
      <c r="BL749" s="9"/>
    </row>
    <row r="750" ht="15.75" customHeight="1">
      <c r="U750" s="10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11"/>
      <c r="AM750" s="9"/>
      <c r="AN750" s="9"/>
      <c r="AO750" s="10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9"/>
      <c r="BA750" s="9"/>
      <c r="BB750" s="9"/>
      <c r="BC750" s="9"/>
      <c r="BD750" s="9"/>
      <c r="BE750" s="9"/>
      <c r="BF750" s="9"/>
      <c r="BG750" s="9"/>
      <c r="BH750" s="9"/>
      <c r="BI750" s="9"/>
      <c r="BJ750" s="9"/>
      <c r="BK750" s="9"/>
      <c r="BL750" s="9"/>
    </row>
    <row r="751" ht="15.75" customHeight="1">
      <c r="U751" s="10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11"/>
      <c r="AM751" s="9"/>
      <c r="AN751" s="9"/>
      <c r="AO751" s="10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9"/>
      <c r="BA751" s="9"/>
      <c r="BB751" s="9"/>
      <c r="BC751" s="9"/>
      <c r="BD751" s="9"/>
      <c r="BE751" s="9"/>
      <c r="BF751" s="9"/>
      <c r="BG751" s="9"/>
      <c r="BH751" s="9"/>
      <c r="BI751" s="9"/>
      <c r="BJ751" s="9"/>
      <c r="BK751" s="9"/>
      <c r="BL751" s="9"/>
    </row>
    <row r="752" ht="15.75" customHeight="1">
      <c r="U752" s="10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11"/>
      <c r="AM752" s="9"/>
      <c r="AN752" s="9"/>
      <c r="AO752" s="10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9"/>
      <c r="BA752" s="9"/>
      <c r="BB752" s="9"/>
      <c r="BC752" s="9"/>
      <c r="BD752" s="9"/>
      <c r="BE752" s="9"/>
      <c r="BF752" s="9"/>
      <c r="BG752" s="9"/>
      <c r="BH752" s="9"/>
      <c r="BI752" s="9"/>
      <c r="BJ752" s="9"/>
      <c r="BK752" s="9"/>
      <c r="BL752" s="9"/>
    </row>
    <row r="753" ht="15.75" customHeight="1">
      <c r="U753" s="10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11"/>
      <c r="AM753" s="9"/>
      <c r="AN753" s="9"/>
      <c r="AO753" s="10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  <c r="BA753" s="9"/>
      <c r="BB753" s="9"/>
      <c r="BC753" s="9"/>
      <c r="BD753" s="9"/>
      <c r="BE753" s="9"/>
      <c r="BF753" s="9"/>
      <c r="BG753" s="9"/>
      <c r="BH753" s="9"/>
      <c r="BI753" s="9"/>
      <c r="BJ753" s="9"/>
      <c r="BK753" s="9"/>
      <c r="BL753" s="9"/>
    </row>
    <row r="754" ht="15.75" customHeight="1">
      <c r="U754" s="10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11"/>
      <c r="AM754" s="9"/>
      <c r="AN754" s="9"/>
      <c r="AO754" s="10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  <c r="BA754" s="9"/>
      <c r="BB754" s="9"/>
      <c r="BC754" s="9"/>
      <c r="BD754" s="9"/>
      <c r="BE754" s="9"/>
      <c r="BF754" s="9"/>
      <c r="BG754" s="9"/>
      <c r="BH754" s="9"/>
      <c r="BI754" s="9"/>
      <c r="BJ754" s="9"/>
      <c r="BK754" s="9"/>
      <c r="BL754" s="9"/>
    </row>
    <row r="755" ht="15.75" customHeight="1">
      <c r="U755" s="10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11"/>
      <c r="AM755" s="9"/>
      <c r="AN755" s="9"/>
      <c r="AO755" s="10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9"/>
      <c r="BA755" s="9"/>
      <c r="BB755" s="9"/>
      <c r="BC755" s="9"/>
      <c r="BD755" s="9"/>
      <c r="BE755" s="9"/>
      <c r="BF755" s="9"/>
      <c r="BG755" s="9"/>
      <c r="BH755" s="9"/>
      <c r="BI755" s="9"/>
      <c r="BJ755" s="9"/>
      <c r="BK755" s="9"/>
      <c r="BL755" s="9"/>
    </row>
    <row r="756" ht="15.75" customHeight="1">
      <c r="U756" s="10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11"/>
      <c r="AM756" s="9"/>
      <c r="AN756" s="9"/>
      <c r="AO756" s="10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9"/>
      <c r="BA756" s="9"/>
      <c r="BB756" s="9"/>
      <c r="BC756" s="9"/>
      <c r="BD756" s="9"/>
      <c r="BE756" s="9"/>
      <c r="BF756" s="9"/>
      <c r="BG756" s="9"/>
      <c r="BH756" s="9"/>
      <c r="BI756" s="9"/>
      <c r="BJ756" s="9"/>
      <c r="BK756" s="9"/>
      <c r="BL756" s="9"/>
    </row>
    <row r="757" ht="15.75" customHeight="1">
      <c r="U757" s="10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11"/>
      <c r="AM757" s="9"/>
      <c r="AN757" s="9"/>
      <c r="AO757" s="10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"/>
      <c r="BA757" s="9"/>
      <c r="BB757" s="9"/>
      <c r="BC757" s="9"/>
      <c r="BD757" s="9"/>
      <c r="BE757" s="9"/>
      <c r="BF757" s="9"/>
      <c r="BG757" s="9"/>
      <c r="BH757" s="9"/>
      <c r="BI757" s="9"/>
      <c r="BJ757" s="9"/>
      <c r="BK757" s="9"/>
      <c r="BL757" s="9"/>
    </row>
    <row r="758" ht="15.75" customHeight="1">
      <c r="U758" s="10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11"/>
      <c r="AM758" s="9"/>
      <c r="AN758" s="9"/>
      <c r="AO758" s="10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9"/>
      <c r="BA758" s="9"/>
      <c r="BB758" s="9"/>
      <c r="BC758" s="9"/>
      <c r="BD758" s="9"/>
      <c r="BE758" s="9"/>
      <c r="BF758" s="9"/>
      <c r="BG758" s="9"/>
      <c r="BH758" s="9"/>
      <c r="BI758" s="9"/>
      <c r="BJ758" s="9"/>
      <c r="BK758" s="9"/>
      <c r="BL758" s="9"/>
    </row>
    <row r="759" ht="15.75" customHeight="1">
      <c r="U759" s="10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11"/>
      <c r="AM759" s="9"/>
      <c r="AN759" s="9"/>
      <c r="AO759" s="10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9"/>
      <c r="BA759" s="9"/>
      <c r="BB759" s="9"/>
      <c r="BC759" s="9"/>
      <c r="BD759" s="9"/>
      <c r="BE759" s="9"/>
      <c r="BF759" s="9"/>
      <c r="BG759" s="9"/>
      <c r="BH759" s="9"/>
      <c r="BI759" s="9"/>
      <c r="BJ759" s="9"/>
      <c r="BK759" s="9"/>
      <c r="BL759" s="9"/>
    </row>
    <row r="760" ht="15.75" customHeight="1">
      <c r="U760" s="10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11"/>
      <c r="AM760" s="9"/>
      <c r="AN760" s="9"/>
      <c r="AO760" s="10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9"/>
      <c r="BA760" s="9"/>
      <c r="BB760" s="9"/>
      <c r="BC760" s="9"/>
      <c r="BD760" s="9"/>
      <c r="BE760" s="9"/>
      <c r="BF760" s="9"/>
      <c r="BG760" s="9"/>
      <c r="BH760" s="9"/>
      <c r="BI760" s="9"/>
      <c r="BJ760" s="9"/>
      <c r="BK760" s="9"/>
      <c r="BL760" s="9"/>
    </row>
    <row r="761" ht="15.75" customHeight="1">
      <c r="U761" s="10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11"/>
      <c r="AM761" s="9"/>
      <c r="AN761" s="9"/>
      <c r="AO761" s="10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9"/>
      <c r="BA761" s="9"/>
      <c r="BB761" s="9"/>
      <c r="BC761" s="9"/>
      <c r="BD761" s="9"/>
      <c r="BE761" s="9"/>
      <c r="BF761" s="9"/>
      <c r="BG761" s="9"/>
      <c r="BH761" s="9"/>
      <c r="BI761" s="9"/>
      <c r="BJ761" s="9"/>
      <c r="BK761" s="9"/>
      <c r="BL761" s="9"/>
    </row>
    <row r="762" ht="15.75" customHeight="1">
      <c r="U762" s="10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11"/>
      <c r="AM762" s="9"/>
      <c r="AN762" s="9"/>
      <c r="AO762" s="10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9"/>
      <c r="BA762" s="9"/>
      <c r="BB762" s="9"/>
      <c r="BC762" s="9"/>
      <c r="BD762" s="9"/>
      <c r="BE762" s="9"/>
      <c r="BF762" s="9"/>
      <c r="BG762" s="9"/>
      <c r="BH762" s="9"/>
      <c r="BI762" s="9"/>
      <c r="BJ762" s="9"/>
      <c r="BK762" s="9"/>
      <c r="BL762" s="9"/>
    </row>
    <row r="763" ht="15.75" customHeight="1">
      <c r="U763" s="10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11"/>
      <c r="AM763" s="9"/>
      <c r="AN763" s="9"/>
      <c r="AO763" s="10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9"/>
      <c r="BA763" s="9"/>
      <c r="BB763" s="9"/>
      <c r="BC763" s="9"/>
      <c r="BD763" s="9"/>
      <c r="BE763" s="9"/>
      <c r="BF763" s="9"/>
      <c r="BG763" s="9"/>
      <c r="BH763" s="9"/>
      <c r="BI763" s="9"/>
      <c r="BJ763" s="9"/>
      <c r="BK763" s="9"/>
      <c r="BL763" s="9"/>
    </row>
    <row r="764" ht="15.75" customHeight="1">
      <c r="U764" s="10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11"/>
      <c r="AM764" s="9"/>
      <c r="AN764" s="9"/>
      <c r="AO764" s="10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9"/>
      <c r="BA764" s="9"/>
      <c r="BB764" s="9"/>
      <c r="BC764" s="9"/>
      <c r="BD764" s="9"/>
      <c r="BE764" s="9"/>
      <c r="BF764" s="9"/>
      <c r="BG764" s="9"/>
      <c r="BH764" s="9"/>
      <c r="BI764" s="9"/>
      <c r="BJ764" s="9"/>
      <c r="BK764" s="9"/>
      <c r="BL764" s="9"/>
    </row>
    <row r="765" ht="15.75" customHeight="1">
      <c r="U765" s="10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11"/>
      <c r="AM765" s="9"/>
      <c r="AN765" s="9"/>
      <c r="AO765" s="10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9"/>
      <c r="BA765" s="9"/>
      <c r="BB765" s="9"/>
      <c r="BC765" s="9"/>
      <c r="BD765" s="9"/>
      <c r="BE765" s="9"/>
      <c r="BF765" s="9"/>
      <c r="BG765" s="9"/>
      <c r="BH765" s="9"/>
      <c r="BI765" s="9"/>
      <c r="BJ765" s="9"/>
      <c r="BK765" s="9"/>
      <c r="BL765" s="9"/>
    </row>
    <row r="766" ht="15.75" customHeight="1">
      <c r="U766" s="10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11"/>
      <c r="AM766" s="9"/>
      <c r="AN766" s="9"/>
      <c r="AO766" s="10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9"/>
      <c r="BA766" s="9"/>
      <c r="BB766" s="9"/>
      <c r="BC766" s="9"/>
      <c r="BD766" s="9"/>
      <c r="BE766" s="9"/>
      <c r="BF766" s="9"/>
      <c r="BG766" s="9"/>
      <c r="BH766" s="9"/>
      <c r="BI766" s="9"/>
      <c r="BJ766" s="9"/>
      <c r="BK766" s="9"/>
      <c r="BL766" s="9"/>
    </row>
    <row r="767" ht="15.75" customHeight="1">
      <c r="U767" s="10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11"/>
      <c r="AM767" s="9"/>
      <c r="AN767" s="9"/>
      <c r="AO767" s="10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9"/>
      <c r="BA767" s="9"/>
      <c r="BB767" s="9"/>
      <c r="BC767" s="9"/>
      <c r="BD767" s="9"/>
      <c r="BE767" s="9"/>
      <c r="BF767" s="9"/>
      <c r="BG767" s="9"/>
      <c r="BH767" s="9"/>
      <c r="BI767" s="9"/>
      <c r="BJ767" s="9"/>
      <c r="BK767" s="9"/>
      <c r="BL767" s="9"/>
    </row>
    <row r="768" ht="15.75" customHeight="1">
      <c r="U768" s="10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11"/>
      <c r="AM768" s="9"/>
      <c r="AN768" s="9"/>
      <c r="AO768" s="10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9"/>
      <c r="BA768" s="9"/>
      <c r="BB768" s="9"/>
      <c r="BC768" s="9"/>
      <c r="BD768" s="9"/>
      <c r="BE768" s="9"/>
      <c r="BF768" s="9"/>
      <c r="BG768" s="9"/>
      <c r="BH768" s="9"/>
      <c r="BI768" s="9"/>
      <c r="BJ768" s="9"/>
      <c r="BK768" s="9"/>
      <c r="BL768" s="9"/>
    </row>
    <row r="769" ht="15.75" customHeight="1">
      <c r="U769" s="10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11"/>
      <c r="AM769" s="9"/>
      <c r="AN769" s="9"/>
      <c r="AO769" s="10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9"/>
      <c r="BA769" s="9"/>
      <c r="BB769" s="9"/>
      <c r="BC769" s="9"/>
      <c r="BD769" s="9"/>
      <c r="BE769" s="9"/>
      <c r="BF769" s="9"/>
      <c r="BG769" s="9"/>
      <c r="BH769" s="9"/>
      <c r="BI769" s="9"/>
      <c r="BJ769" s="9"/>
      <c r="BK769" s="9"/>
      <c r="BL769" s="9"/>
    </row>
    <row r="770" ht="15.75" customHeight="1">
      <c r="U770" s="10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11"/>
      <c r="AM770" s="9"/>
      <c r="AN770" s="9"/>
      <c r="AO770" s="10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  <c r="BA770" s="9"/>
      <c r="BB770" s="9"/>
      <c r="BC770" s="9"/>
      <c r="BD770" s="9"/>
      <c r="BE770" s="9"/>
      <c r="BF770" s="9"/>
      <c r="BG770" s="9"/>
      <c r="BH770" s="9"/>
      <c r="BI770" s="9"/>
      <c r="BJ770" s="9"/>
      <c r="BK770" s="9"/>
      <c r="BL770" s="9"/>
    </row>
    <row r="771" ht="15.75" customHeight="1">
      <c r="U771" s="10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11"/>
      <c r="AM771" s="9"/>
      <c r="AN771" s="9"/>
      <c r="AO771" s="10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9"/>
      <c r="BA771" s="9"/>
      <c r="BB771" s="9"/>
      <c r="BC771" s="9"/>
      <c r="BD771" s="9"/>
      <c r="BE771" s="9"/>
      <c r="BF771" s="9"/>
      <c r="BG771" s="9"/>
      <c r="BH771" s="9"/>
      <c r="BI771" s="9"/>
      <c r="BJ771" s="9"/>
      <c r="BK771" s="9"/>
      <c r="BL771" s="9"/>
    </row>
    <row r="772" ht="15.75" customHeight="1">
      <c r="U772" s="10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11"/>
      <c r="AM772" s="9"/>
      <c r="AN772" s="9"/>
      <c r="AO772" s="10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9"/>
      <c r="BA772" s="9"/>
      <c r="BB772" s="9"/>
      <c r="BC772" s="9"/>
      <c r="BD772" s="9"/>
      <c r="BE772" s="9"/>
      <c r="BF772" s="9"/>
      <c r="BG772" s="9"/>
      <c r="BH772" s="9"/>
      <c r="BI772" s="9"/>
      <c r="BJ772" s="9"/>
      <c r="BK772" s="9"/>
      <c r="BL772" s="9"/>
    </row>
    <row r="773" ht="15.75" customHeight="1">
      <c r="U773" s="10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11"/>
      <c r="AM773" s="9"/>
      <c r="AN773" s="9"/>
      <c r="AO773" s="10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9"/>
      <c r="BA773" s="9"/>
      <c r="BB773" s="9"/>
      <c r="BC773" s="9"/>
      <c r="BD773" s="9"/>
      <c r="BE773" s="9"/>
      <c r="BF773" s="9"/>
      <c r="BG773" s="9"/>
      <c r="BH773" s="9"/>
      <c r="BI773" s="9"/>
      <c r="BJ773" s="9"/>
      <c r="BK773" s="9"/>
      <c r="BL773" s="9"/>
    </row>
    <row r="774" ht="15.75" customHeight="1">
      <c r="U774" s="10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11"/>
      <c r="AM774" s="9"/>
      <c r="AN774" s="9"/>
      <c r="AO774" s="10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  <c r="BA774" s="9"/>
      <c r="BB774" s="9"/>
      <c r="BC774" s="9"/>
      <c r="BD774" s="9"/>
      <c r="BE774" s="9"/>
      <c r="BF774" s="9"/>
      <c r="BG774" s="9"/>
      <c r="BH774" s="9"/>
      <c r="BI774" s="9"/>
      <c r="BJ774" s="9"/>
      <c r="BK774" s="9"/>
      <c r="BL774" s="9"/>
    </row>
    <row r="775" ht="15.75" customHeight="1">
      <c r="U775" s="10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11"/>
      <c r="AM775" s="9"/>
      <c r="AN775" s="9"/>
      <c r="AO775" s="10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  <c r="BA775" s="9"/>
      <c r="BB775" s="9"/>
      <c r="BC775" s="9"/>
      <c r="BD775" s="9"/>
      <c r="BE775" s="9"/>
      <c r="BF775" s="9"/>
      <c r="BG775" s="9"/>
      <c r="BH775" s="9"/>
      <c r="BI775" s="9"/>
      <c r="BJ775" s="9"/>
      <c r="BK775" s="9"/>
      <c r="BL775" s="9"/>
    </row>
    <row r="776" ht="15.75" customHeight="1">
      <c r="U776" s="10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11"/>
      <c r="AM776" s="9"/>
      <c r="AN776" s="9"/>
      <c r="AO776" s="10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  <c r="BA776" s="9"/>
      <c r="BB776" s="9"/>
      <c r="BC776" s="9"/>
      <c r="BD776" s="9"/>
      <c r="BE776" s="9"/>
      <c r="BF776" s="9"/>
      <c r="BG776" s="9"/>
      <c r="BH776" s="9"/>
      <c r="BI776" s="9"/>
      <c r="BJ776" s="9"/>
      <c r="BK776" s="9"/>
      <c r="BL776" s="9"/>
    </row>
    <row r="777" ht="15.75" customHeight="1">
      <c r="U777" s="10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11"/>
      <c r="AM777" s="9"/>
      <c r="AN777" s="9"/>
      <c r="AO777" s="10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  <c r="BA777" s="9"/>
      <c r="BB777" s="9"/>
      <c r="BC777" s="9"/>
      <c r="BD777" s="9"/>
      <c r="BE777" s="9"/>
      <c r="BF777" s="9"/>
      <c r="BG777" s="9"/>
      <c r="BH777" s="9"/>
      <c r="BI777" s="9"/>
      <c r="BJ777" s="9"/>
      <c r="BK777" s="9"/>
      <c r="BL777" s="9"/>
    </row>
    <row r="778" ht="15.75" customHeight="1">
      <c r="U778" s="10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11"/>
      <c r="AM778" s="9"/>
      <c r="AN778" s="9"/>
      <c r="AO778" s="10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  <c r="BA778" s="9"/>
      <c r="BB778" s="9"/>
      <c r="BC778" s="9"/>
      <c r="BD778" s="9"/>
      <c r="BE778" s="9"/>
      <c r="BF778" s="9"/>
      <c r="BG778" s="9"/>
      <c r="BH778" s="9"/>
      <c r="BI778" s="9"/>
      <c r="BJ778" s="9"/>
      <c r="BK778" s="9"/>
      <c r="BL778" s="9"/>
    </row>
    <row r="779" ht="15.75" customHeight="1">
      <c r="U779" s="10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11"/>
      <c r="AM779" s="9"/>
      <c r="AN779" s="9"/>
      <c r="AO779" s="10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  <c r="BA779" s="9"/>
      <c r="BB779" s="9"/>
      <c r="BC779" s="9"/>
      <c r="BD779" s="9"/>
      <c r="BE779" s="9"/>
      <c r="BF779" s="9"/>
      <c r="BG779" s="9"/>
      <c r="BH779" s="9"/>
      <c r="BI779" s="9"/>
      <c r="BJ779" s="9"/>
      <c r="BK779" s="9"/>
      <c r="BL779" s="9"/>
    </row>
    <row r="780" ht="15.75" customHeight="1">
      <c r="U780" s="10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11"/>
      <c r="AM780" s="9"/>
      <c r="AN780" s="9"/>
      <c r="AO780" s="10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  <c r="BA780" s="9"/>
      <c r="BB780" s="9"/>
      <c r="BC780" s="9"/>
      <c r="BD780" s="9"/>
      <c r="BE780" s="9"/>
      <c r="BF780" s="9"/>
      <c r="BG780" s="9"/>
      <c r="BH780" s="9"/>
      <c r="BI780" s="9"/>
      <c r="BJ780" s="9"/>
      <c r="BK780" s="9"/>
      <c r="BL780" s="9"/>
    </row>
    <row r="781" ht="15.75" customHeight="1">
      <c r="U781" s="10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11"/>
      <c r="AM781" s="9"/>
      <c r="AN781" s="9"/>
      <c r="AO781" s="10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  <c r="BA781" s="9"/>
      <c r="BB781" s="9"/>
      <c r="BC781" s="9"/>
      <c r="BD781" s="9"/>
      <c r="BE781" s="9"/>
      <c r="BF781" s="9"/>
      <c r="BG781" s="9"/>
      <c r="BH781" s="9"/>
      <c r="BI781" s="9"/>
      <c r="BJ781" s="9"/>
      <c r="BK781" s="9"/>
      <c r="BL781" s="9"/>
    </row>
    <row r="782" ht="15.75" customHeight="1">
      <c r="U782" s="10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11"/>
      <c r="AM782" s="9"/>
      <c r="AN782" s="9"/>
      <c r="AO782" s="10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  <c r="BA782" s="9"/>
      <c r="BB782" s="9"/>
      <c r="BC782" s="9"/>
      <c r="BD782" s="9"/>
      <c r="BE782" s="9"/>
      <c r="BF782" s="9"/>
      <c r="BG782" s="9"/>
      <c r="BH782" s="9"/>
      <c r="BI782" s="9"/>
      <c r="BJ782" s="9"/>
      <c r="BK782" s="9"/>
      <c r="BL782" s="9"/>
    </row>
    <row r="783" ht="15.75" customHeight="1">
      <c r="U783" s="10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11"/>
      <c r="AM783" s="9"/>
      <c r="AN783" s="9"/>
      <c r="AO783" s="10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  <c r="BA783" s="9"/>
      <c r="BB783" s="9"/>
      <c r="BC783" s="9"/>
      <c r="BD783" s="9"/>
      <c r="BE783" s="9"/>
      <c r="BF783" s="9"/>
      <c r="BG783" s="9"/>
      <c r="BH783" s="9"/>
      <c r="BI783" s="9"/>
      <c r="BJ783" s="9"/>
      <c r="BK783" s="9"/>
      <c r="BL783" s="9"/>
    </row>
    <row r="784" ht="15.75" customHeight="1">
      <c r="U784" s="10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11"/>
      <c r="AM784" s="9"/>
      <c r="AN784" s="9"/>
      <c r="AO784" s="10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  <c r="BA784" s="9"/>
      <c r="BB784" s="9"/>
      <c r="BC784" s="9"/>
      <c r="BD784" s="9"/>
      <c r="BE784" s="9"/>
      <c r="BF784" s="9"/>
      <c r="BG784" s="9"/>
      <c r="BH784" s="9"/>
      <c r="BI784" s="9"/>
      <c r="BJ784" s="9"/>
      <c r="BK784" s="9"/>
      <c r="BL784" s="9"/>
    </row>
    <row r="785" ht="15.75" customHeight="1">
      <c r="U785" s="10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11"/>
      <c r="AM785" s="9"/>
      <c r="AN785" s="9"/>
      <c r="AO785" s="10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  <c r="BA785" s="9"/>
      <c r="BB785" s="9"/>
      <c r="BC785" s="9"/>
      <c r="BD785" s="9"/>
      <c r="BE785" s="9"/>
      <c r="BF785" s="9"/>
      <c r="BG785" s="9"/>
      <c r="BH785" s="9"/>
      <c r="BI785" s="9"/>
      <c r="BJ785" s="9"/>
      <c r="BK785" s="9"/>
      <c r="BL785" s="9"/>
    </row>
    <row r="786" ht="15.75" customHeight="1">
      <c r="U786" s="10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11"/>
      <c r="AM786" s="9"/>
      <c r="AN786" s="9"/>
      <c r="AO786" s="10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  <c r="BA786" s="9"/>
      <c r="BB786" s="9"/>
      <c r="BC786" s="9"/>
      <c r="BD786" s="9"/>
      <c r="BE786" s="9"/>
      <c r="BF786" s="9"/>
      <c r="BG786" s="9"/>
      <c r="BH786" s="9"/>
      <c r="BI786" s="9"/>
      <c r="BJ786" s="9"/>
      <c r="BK786" s="9"/>
      <c r="BL786" s="9"/>
    </row>
    <row r="787" ht="15.75" customHeight="1">
      <c r="U787" s="10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11"/>
      <c r="AM787" s="9"/>
      <c r="AN787" s="9"/>
      <c r="AO787" s="10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  <c r="BA787" s="9"/>
      <c r="BB787" s="9"/>
      <c r="BC787" s="9"/>
      <c r="BD787" s="9"/>
      <c r="BE787" s="9"/>
      <c r="BF787" s="9"/>
      <c r="BG787" s="9"/>
      <c r="BH787" s="9"/>
      <c r="BI787" s="9"/>
      <c r="BJ787" s="9"/>
      <c r="BK787" s="9"/>
      <c r="BL787" s="9"/>
    </row>
    <row r="788" ht="15.75" customHeight="1">
      <c r="U788" s="10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11"/>
      <c r="AM788" s="9"/>
      <c r="AN788" s="9"/>
      <c r="AO788" s="10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  <c r="BA788" s="9"/>
      <c r="BB788" s="9"/>
      <c r="BC788" s="9"/>
      <c r="BD788" s="9"/>
      <c r="BE788" s="9"/>
      <c r="BF788" s="9"/>
      <c r="BG788" s="9"/>
      <c r="BH788" s="9"/>
      <c r="BI788" s="9"/>
      <c r="BJ788" s="9"/>
      <c r="BK788" s="9"/>
      <c r="BL788" s="9"/>
    </row>
    <row r="789" ht="15.75" customHeight="1">
      <c r="U789" s="10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11"/>
      <c r="AM789" s="9"/>
      <c r="AN789" s="9"/>
      <c r="AO789" s="10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  <c r="BA789" s="9"/>
      <c r="BB789" s="9"/>
      <c r="BC789" s="9"/>
      <c r="BD789" s="9"/>
      <c r="BE789" s="9"/>
      <c r="BF789" s="9"/>
      <c r="BG789" s="9"/>
      <c r="BH789" s="9"/>
      <c r="BI789" s="9"/>
      <c r="BJ789" s="9"/>
      <c r="BK789" s="9"/>
      <c r="BL789" s="9"/>
    </row>
    <row r="790" ht="15.75" customHeight="1">
      <c r="U790" s="10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11"/>
      <c r="AM790" s="9"/>
      <c r="AN790" s="9"/>
      <c r="AO790" s="10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  <c r="BA790" s="9"/>
      <c r="BB790" s="9"/>
      <c r="BC790" s="9"/>
      <c r="BD790" s="9"/>
      <c r="BE790" s="9"/>
      <c r="BF790" s="9"/>
      <c r="BG790" s="9"/>
      <c r="BH790" s="9"/>
      <c r="BI790" s="9"/>
      <c r="BJ790" s="9"/>
      <c r="BK790" s="9"/>
      <c r="BL790" s="9"/>
    </row>
    <row r="791" ht="15.75" customHeight="1">
      <c r="U791" s="10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11"/>
      <c r="AM791" s="9"/>
      <c r="AN791" s="9"/>
      <c r="AO791" s="10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9"/>
      <c r="BA791" s="9"/>
      <c r="BB791" s="9"/>
      <c r="BC791" s="9"/>
      <c r="BD791" s="9"/>
      <c r="BE791" s="9"/>
      <c r="BF791" s="9"/>
      <c r="BG791" s="9"/>
      <c r="BH791" s="9"/>
      <c r="BI791" s="9"/>
      <c r="BJ791" s="9"/>
      <c r="BK791" s="9"/>
      <c r="BL791" s="9"/>
    </row>
    <row r="792" ht="15.75" customHeight="1">
      <c r="U792" s="10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11"/>
      <c r="AM792" s="9"/>
      <c r="AN792" s="9"/>
      <c r="AO792" s="10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9"/>
      <c r="BA792" s="9"/>
      <c r="BB792" s="9"/>
      <c r="BC792" s="9"/>
      <c r="BD792" s="9"/>
      <c r="BE792" s="9"/>
      <c r="BF792" s="9"/>
      <c r="BG792" s="9"/>
      <c r="BH792" s="9"/>
      <c r="BI792" s="9"/>
      <c r="BJ792" s="9"/>
      <c r="BK792" s="9"/>
      <c r="BL792" s="9"/>
    </row>
    <row r="793" ht="15.75" customHeight="1">
      <c r="U793" s="10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11"/>
      <c r="AM793" s="9"/>
      <c r="AN793" s="9"/>
      <c r="AO793" s="10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9"/>
      <c r="BA793" s="9"/>
      <c r="BB793" s="9"/>
      <c r="BC793" s="9"/>
      <c r="BD793" s="9"/>
      <c r="BE793" s="9"/>
      <c r="BF793" s="9"/>
      <c r="BG793" s="9"/>
      <c r="BH793" s="9"/>
      <c r="BI793" s="9"/>
      <c r="BJ793" s="9"/>
      <c r="BK793" s="9"/>
      <c r="BL793" s="9"/>
    </row>
    <row r="794" ht="15.75" customHeight="1">
      <c r="U794" s="10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11"/>
      <c r="AM794" s="9"/>
      <c r="AN794" s="9"/>
      <c r="AO794" s="10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9"/>
      <c r="BA794" s="9"/>
      <c r="BB794" s="9"/>
      <c r="BC794" s="9"/>
      <c r="BD794" s="9"/>
      <c r="BE794" s="9"/>
      <c r="BF794" s="9"/>
      <c r="BG794" s="9"/>
      <c r="BH794" s="9"/>
      <c r="BI794" s="9"/>
      <c r="BJ794" s="9"/>
      <c r="BK794" s="9"/>
      <c r="BL794" s="9"/>
    </row>
    <row r="795" ht="15.75" customHeight="1">
      <c r="U795" s="10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11"/>
      <c r="AM795" s="9"/>
      <c r="AN795" s="9"/>
      <c r="AO795" s="10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9"/>
      <c r="BA795" s="9"/>
      <c r="BB795" s="9"/>
      <c r="BC795" s="9"/>
      <c r="BD795" s="9"/>
      <c r="BE795" s="9"/>
      <c r="BF795" s="9"/>
      <c r="BG795" s="9"/>
      <c r="BH795" s="9"/>
      <c r="BI795" s="9"/>
      <c r="BJ795" s="9"/>
      <c r="BK795" s="9"/>
      <c r="BL795" s="9"/>
    </row>
    <row r="796" ht="15.75" customHeight="1">
      <c r="U796" s="10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11"/>
      <c r="AM796" s="9"/>
      <c r="AN796" s="9"/>
      <c r="AO796" s="10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9"/>
      <c r="BA796" s="9"/>
      <c r="BB796" s="9"/>
      <c r="BC796" s="9"/>
      <c r="BD796" s="9"/>
      <c r="BE796" s="9"/>
      <c r="BF796" s="9"/>
      <c r="BG796" s="9"/>
      <c r="BH796" s="9"/>
      <c r="BI796" s="9"/>
      <c r="BJ796" s="9"/>
      <c r="BK796" s="9"/>
      <c r="BL796" s="9"/>
    </row>
    <row r="797" ht="15.75" customHeight="1">
      <c r="U797" s="10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11"/>
      <c r="AM797" s="9"/>
      <c r="AN797" s="9"/>
      <c r="AO797" s="10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9"/>
      <c r="BA797" s="9"/>
      <c r="BB797" s="9"/>
      <c r="BC797" s="9"/>
      <c r="BD797" s="9"/>
      <c r="BE797" s="9"/>
      <c r="BF797" s="9"/>
      <c r="BG797" s="9"/>
      <c r="BH797" s="9"/>
      <c r="BI797" s="9"/>
      <c r="BJ797" s="9"/>
      <c r="BK797" s="9"/>
      <c r="BL797" s="9"/>
    </row>
    <row r="798" ht="15.75" customHeight="1">
      <c r="U798" s="10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11"/>
      <c r="AM798" s="9"/>
      <c r="AN798" s="9"/>
      <c r="AO798" s="10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9"/>
      <c r="BA798" s="9"/>
      <c r="BB798" s="9"/>
      <c r="BC798" s="9"/>
      <c r="BD798" s="9"/>
      <c r="BE798" s="9"/>
      <c r="BF798" s="9"/>
      <c r="BG798" s="9"/>
      <c r="BH798" s="9"/>
      <c r="BI798" s="9"/>
      <c r="BJ798" s="9"/>
      <c r="BK798" s="9"/>
      <c r="BL798" s="9"/>
    </row>
    <row r="799" ht="15.75" customHeight="1">
      <c r="U799" s="10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11"/>
      <c r="AM799" s="9"/>
      <c r="AN799" s="9"/>
      <c r="AO799" s="10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9"/>
      <c r="BA799" s="9"/>
      <c r="BB799" s="9"/>
      <c r="BC799" s="9"/>
      <c r="BD799" s="9"/>
      <c r="BE799" s="9"/>
      <c r="BF799" s="9"/>
      <c r="BG799" s="9"/>
      <c r="BH799" s="9"/>
      <c r="BI799" s="9"/>
      <c r="BJ799" s="9"/>
      <c r="BK799" s="9"/>
      <c r="BL799" s="9"/>
    </row>
    <row r="800" ht="15.75" customHeight="1">
      <c r="U800" s="10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11"/>
      <c r="AM800" s="9"/>
      <c r="AN800" s="9"/>
      <c r="AO800" s="10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9"/>
      <c r="BA800" s="9"/>
      <c r="BB800" s="9"/>
      <c r="BC800" s="9"/>
      <c r="BD800" s="9"/>
      <c r="BE800" s="9"/>
      <c r="BF800" s="9"/>
      <c r="BG800" s="9"/>
      <c r="BH800" s="9"/>
      <c r="BI800" s="9"/>
      <c r="BJ800" s="9"/>
      <c r="BK800" s="9"/>
      <c r="BL800" s="9"/>
    </row>
    <row r="801" ht="15.75" customHeight="1">
      <c r="U801" s="10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11"/>
      <c r="AM801" s="9"/>
      <c r="AN801" s="9"/>
      <c r="AO801" s="10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9"/>
      <c r="BA801" s="9"/>
      <c r="BB801" s="9"/>
      <c r="BC801" s="9"/>
      <c r="BD801" s="9"/>
      <c r="BE801" s="9"/>
      <c r="BF801" s="9"/>
      <c r="BG801" s="9"/>
      <c r="BH801" s="9"/>
      <c r="BI801" s="9"/>
      <c r="BJ801" s="9"/>
      <c r="BK801" s="9"/>
      <c r="BL801" s="9"/>
    </row>
    <row r="802" ht="15.75" customHeight="1">
      <c r="U802" s="10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11"/>
      <c r="AM802" s="9"/>
      <c r="AN802" s="9"/>
      <c r="AO802" s="10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9"/>
      <c r="BA802" s="9"/>
      <c r="BB802" s="9"/>
      <c r="BC802" s="9"/>
      <c r="BD802" s="9"/>
      <c r="BE802" s="9"/>
      <c r="BF802" s="9"/>
      <c r="BG802" s="9"/>
      <c r="BH802" s="9"/>
      <c r="BI802" s="9"/>
      <c r="BJ802" s="9"/>
      <c r="BK802" s="9"/>
      <c r="BL802" s="9"/>
    </row>
    <row r="803" ht="15.75" customHeight="1">
      <c r="U803" s="10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11"/>
      <c r="AM803" s="9"/>
      <c r="AN803" s="9"/>
      <c r="AO803" s="10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9"/>
      <c r="BA803" s="9"/>
      <c r="BB803" s="9"/>
      <c r="BC803" s="9"/>
      <c r="BD803" s="9"/>
      <c r="BE803" s="9"/>
      <c r="BF803" s="9"/>
      <c r="BG803" s="9"/>
      <c r="BH803" s="9"/>
      <c r="BI803" s="9"/>
      <c r="BJ803" s="9"/>
      <c r="BK803" s="9"/>
      <c r="BL803" s="9"/>
    </row>
    <row r="804" ht="15.75" customHeight="1">
      <c r="U804" s="10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11"/>
      <c r="AM804" s="9"/>
      <c r="AN804" s="9"/>
      <c r="AO804" s="10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9"/>
      <c r="BA804" s="9"/>
      <c r="BB804" s="9"/>
      <c r="BC804" s="9"/>
      <c r="BD804" s="9"/>
      <c r="BE804" s="9"/>
      <c r="BF804" s="9"/>
      <c r="BG804" s="9"/>
      <c r="BH804" s="9"/>
      <c r="BI804" s="9"/>
      <c r="BJ804" s="9"/>
      <c r="BK804" s="9"/>
      <c r="BL804" s="9"/>
    </row>
    <row r="805" ht="15.75" customHeight="1">
      <c r="U805" s="10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11"/>
      <c r="AM805" s="9"/>
      <c r="AN805" s="9"/>
      <c r="AO805" s="10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9"/>
      <c r="BA805" s="9"/>
      <c r="BB805" s="9"/>
      <c r="BC805" s="9"/>
      <c r="BD805" s="9"/>
      <c r="BE805" s="9"/>
      <c r="BF805" s="9"/>
      <c r="BG805" s="9"/>
      <c r="BH805" s="9"/>
      <c r="BI805" s="9"/>
      <c r="BJ805" s="9"/>
      <c r="BK805" s="9"/>
      <c r="BL805" s="9"/>
    </row>
    <row r="806" ht="15.75" customHeight="1">
      <c r="U806" s="10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11"/>
      <c r="AM806" s="9"/>
      <c r="AN806" s="9"/>
      <c r="AO806" s="10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9"/>
      <c r="BA806" s="9"/>
      <c r="BB806" s="9"/>
      <c r="BC806" s="9"/>
      <c r="BD806" s="9"/>
      <c r="BE806" s="9"/>
      <c r="BF806" s="9"/>
      <c r="BG806" s="9"/>
      <c r="BH806" s="9"/>
      <c r="BI806" s="9"/>
      <c r="BJ806" s="9"/>
      <c r="BK806" s="9"/>
      <c r="BL806" s="9"/>
    </row>
    <row r="807" ht="15.75" customHeight="1">
      <c r="U807" s="10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11"/>
      <c r="AM807" s="9"/>
      <c r="AN807" s="9"/>
      <c r="AO807" s="10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9"/>
      <c r="BA807" s="9"/>
      <c r="BB807" s="9"/>
      <c r="BC807" s="9"/>
      <c r="BD807" s="9"/>
      <c r="BE807" s="9"/>
      <c r="BF807" s="9"/>
      <c r="BG807" s="9"/>
      <c r="BH807" s="9"/>
      <c r="BI807" s="9"/>
      <c r="BJ807" s="9"/>
      <c r="BK807" s="9"/>
      <c r="BL807" s="9"/>
    </row>
    <row r="808" ht="15.75" customHeight="1">
      <c r="U808" s="10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11"/>
      <c r="AM808" s="9"/>
      <c r="AN808" s="9"/>
      <c r="AO808" s="10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9"/>
      <c r="BA808" s="9"/>
      <c r="BB808" s="9"/>
      <c r="BC808" s="9"/>
      <c r="BD808" s="9"/>
      <c r="BE808" s="9"/>
      <c r="BF808" s="9"/>
      <c r="BG808" s="9"/>
      <c r="BH808" s="9"/>
      <c r="BI808" s="9"/>
      <c r="BJ808" s="9"/>
      <c r="BK808" s="9"/>
      <c r="BL808" s="9"/>
    </row>
    <row r="809" ht="15.75" customHeight="1">
      <c r="U809" s="10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11"/>
      <c r="AM809" s="9"/>
      <c r="AN809" s="9"/>
      <c r="AO809" s="10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9"/>
      <c r="BA809" s="9"/>
      <c r="BB809" s="9"/>
      <c r="BC809" s="9"/>
      <c r="BD809" s="9"/>
      <c r="BE809" s="9"/>
      <c r="BF809" s="9"/>
      <c r="BG809" s="9"/>
      <c r="BH809" s="9"/>
      <c r="BI809" s="9"/>
      <c r="BJ809" s="9"/>
      <c r="BK809" s="9"/>
      <c r="BL809" s="9"/>
    </row>
    <row r="810" ht="15.75" customHeight="1">
      <c r="U810" s="10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11"/>
      <c r="AM810" s="9"/>
      <c r="AN810" s="9"/>
      <c r="AO810" s="10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9"/>
      <c r="BA810" s="9"/>
      <c r="BB810" s="9"/>
      <c r="BC810" s="9"/>
      <c r="BD810" s="9"/>
      <c r="BE810" s="9"/>
      <c r="BF810" s="9"/>
      <c r="BG810" s="9"/>
      <c r="BH810" s="9"/>
      <c r="BI810" s="9"/>
      <c r="BJ810" s="9"/>
      <c r="BK810" s="9"/>
      <c r="BL810" s="9"/>
    </row>
    <row r="811" ht="15.75" customHeight="1">
      <c r="U811" s="10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11"/>
      <c r="AM811" s="9"/>
      <c r="AN811" s="9"/>
      <c r="AO811" s="10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9"/>
      <c r="BA811" s="9"/>
      <c r="BB811" s="9"/>
      <c r="BC811" s="9"/>
      <c r="BD811" s="9"/>
      <c r="BE811" s="9"/>
      <c r="BF811" s="9"/>
      <c r="BG811" s="9"/>
      <c r="BH811" s="9"/>
      <c r="BI811" s="9"/>
      <c r="BJ811" s="9"/>
      <c r="BK811" s="9"/>
      <c r="BL811" s="9"/>
    </row>
    <row r="812" ht="15.75" customHeight="1">
      <c r="U812" s="10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11"/>
      <c r="AM812" s="9"/>
      <c r="AN812" s="9"/>
      <c r="AO812" s="10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9"/>
      <c r="BA812" s="9"/>
      <c r="BB812" s="9"/>
      <c r="BC812" s="9"/>
      <c r="BD812" s="9"/>
      <c r="BE812" s="9"/>
      <c r="BF812" s="9"/>
      <c r="BG812" s="9"/>
      <c r="BH812" s="9"/>
      <c r="BI812" s="9"/>
      <c r="BJ812" s="9"/>
      <c r="BK812" s="9"/>
      <c r="BL812" s="9"/>
    </row>
    <row r="813" ht="15.75" customHeight="1">
      <c r="U813" s="10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11"/>
      <c r="AM813" s="9"/>
      <c r="AN813" s="9"/>
      <c r="AO813" s="10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9"/>
      <c r="BA813" s="9"/>
      <c r="BB813" s="9"/>
      <c r="BC813" s="9"/>
      <c r="BD813" s="9"/>
      <c r="BE813" s="9"/>
      <c r="BF813" s="9"/>
      <c r="BG813" s="9"/>
      <c r="BH813" s="9"/>
      <c r="BI813" s="9"/>
      <c r="BJ813" s="9"/>
      <c r="BK813" s="9"/>
      <c r="BL813" s="9"/>
    </row>
    <row r="814" ht="15.75" customHeight="1">
      <c r="U814" s="10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11"/>
      <c r="AM814" s="9"/>
      <c r="AN814" s="9"/>
      <c r="AO814" s="10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9"/>
      <c r="BA814" s="9"/>
      <c r="BB814" s="9"/>
      <c r="BC814" s="9"/>
      <c r="BD814" s="9"/>
      <c r="BE814" s="9"/>
      <c r="BF814" s="9"/>
      <c r="BG814" s="9"/>
      <c r="BH814" s="9"/>
      <c r="BI814" s="9"/>
      <c r="BJ814" s="9"/>
      <c r="BK814" s="9"/>
      <c r="BL814" s="9"/>
    </row>
    <row r="815" ht="15.75" customHeight="1">
      <c r="U815" s="10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11"/>
      <c r="AM815" s="9"/>
      <c r="AN815" s="9"/>
      <c r="AO815" s="10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9"/>
      <c r="BA815" s="9"/>
      <c r="BB815" s="9"/>
      <c r="BC815" s="9"/>
      <c r="BD815" s="9"/>
      <c r="BE815" s="9"/>
      <c r="BF815" s="9"/>
      <c r="BG815" s="9"/>
      <c r="BH815" s="9"/>
      <c r="BI815" s="9"/>
      <c r="BJ815" s="9"/>
      <c r="BK815" s="9"/>
      <c r="BL815" s="9"/>
    </row>
    <row r="816" ht="15.75" customHeight="1">
      <c r="U816" s="10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11"/>
      <c r="AM816" s="9"/>
      <c r="AN816" s="9"/>
      <c r="AO816" s="10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9"/>
      <c r="BA816" s="9"/>
      <c r="BB816" s="9"/>
      <c r="BC816" s="9"/>
      <c r="BD816" s="9"/>
      <c r="BE816" s="9"/>
      <c r="BF816" s="9"/>
      <c r="BG816" s="9"/>
      <c r="BH816" s="9"/>
      <c r="BI816" s="9"/>
      <c r="BJ816" s="9"/>
      <c r="BK816" s="9"/>
      <c r="BL816" s="9"/>
    </row>
    <row r="817" ht="15.75" customHeight="1">
      <c r="U817" s="10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11"/>
      <c r="AM817" s="9"/>
      <c r="AN817" s="9"/>
      <c r="AO817" s="10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9"/>
      <c r="BA817" s="9"/>
      <c r="BB817" s="9"/>
      <c r="BC817" s="9"/>
      <c r="BD817" s="9"/>
      <c r="BE817" s="9"/>
      <c r="BF817" s="9"/>
      <c r="BG817" s="9"/>
      <c r="BH817" s="9"/>
      <c r="BI817" s="9"/>
      <c r="BJ817" s="9"/>
      <c r="BK817" s="9"/>
      <c r="BL817" s="9"/>
    </row>
    <row r="818" ht="15.75" customHeight="1">
      <c r="U818" s="10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11"/>
      <c r="AM818" s="9"/>
      <c r="AN818" s="9"/>
      <c r="AO818" s="10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9"/>
      <c r="BA818" s="9"/>
      <c r="BB818" s="9"/>
      <c r="BC818" s="9"/>
      <c r="BD818" s="9"/>
      <c r="BE818" s="9"/>
      <c r="BF818" s="9"/>
      <c r="BG818" s="9"/>
      <c r="BH818" s="9"/>
      <c r="BI818" s="9"/>
      <c r="BJ818" s="9"/>
      <c r="BK818" s="9"/>
      <c r="BL818" s="9"/>
    </row>
    <row r="819" ht="15.75" customHeight="1">
      <c r="U819" s="10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11"/>
      <c r="AM819" s="9"/>
      <c r="AN819" s="9"/>
      <c r="AO819" s="10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9"/>
      <c r="BA819" s="9"/>
      <c r="BB819" s="9"/>
      <c r="BC819" s="9"/>
      <c r="BD819" s="9"/>
      <c r="BE819" s="9"/>
      <c r="BF819" s="9"/>
      <c r="BG819" s="9"/>
      <c r="BH819" s="9"/>
      <c r="BI819" s="9"/>
      <c r="BJ819" s="9"/>
      <c r="BK819" s="9"/>
      <c r="BL819" s="9"/>
    </row>
    <row r="820" ht="15.75" customHeight="1">
      <c r="U820" s="10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11"/>
      <c r="AM820" s="9"/>
      <c r="AN820" s="9"/>
      <c r="AO820" s="10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9"/>
      <c r="BA820" s="9"/>
      <c r="BB820" s="9"/>
      <c r="BC820" s="9"/>
      <c r="BD820" s="9"/>
      <c r="BE820" s="9"/>
      <c r="BF820" s="9"/>
      <c r="BG820" s="9"/>
      <c r="BH820" s="9"/>
      <c r="BI820" s="9"/>
      <c r="BJ820" s="9"/>
      <c r="BK820" s="9"/>
      <c r="BL820" s="9"/>
    </row>
    <row r="821" ht="15.75" customHeight="1">
      <c r="U821" s="10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11"/>
      <c r="AM821" s="9"/>
      <c r="AN821" s="9"/>
      <c r="AO821" s="10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9"/>
      <c r="BA821" s="9"/>
      <c r="BB821" s="9"/>
      <c r="BC821" s="9"/>
      <c r="BD821" s="9"/>
      <c r="BE821" s="9"/>
      <c r="BF821" s="9"/>
      <c r="BG821" s="9"/>
      <c r="BH821" s="9"/>
      <c r="BI821" s="9"/>
      <c r="BJ821" s="9"/>
      <c r="BK821" s="9"/>
      <c r="BL821" s="9"/>
    </row>
    <row r="822" ht="15.75" customHeight="1">
      <c r="U822" s="10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11"/>
      <c r="AM822" s="9"/>
      <c r="AN822" s="9"/>
      <c r="AO822" s="10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9"/>
      <c r="BA822" s="9"/>
      <c r="BB822" s="9"/>
      <c r="BC822" s="9"/>
      <c r="BD822" s="9"/>
      <c r="BE822" s="9"/>
      <c r="BF822" s="9"/>
      <c r="BG822" s="9"/>
      <c r="BH822" s="9"/>
      <c r="BI822" s="9"/>
      <c r="BJ822" s="9"/>
      <c r="BK822" s="9"/>
      <c r="BL822" s="9"/>
    </row>
    <row r="823" ht="15.75" customHeight="1">
      <c r="U823" s="10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11"/>
      <c r="AM823" s="9"/>
      <c r="AN823" s="9"/>
      <c r="AO823" s="10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9"/>
      <c r="BA823" s="9"/>
      <c r="BB823" s="9"/>
      <c r="BC823" s="9"/>
      <c r="BD823" s="9"/>
      <c r="BE823" s="9"/>
      <c r="BF823" s="9"/>
      <c r="BG823" s="9"/>
      <c r="BH823" s="9"/>
      <c r="BI823" s="9"/>
      <c r="BJ823" s="9"/>
      <c r="BK823" s="9"/>
      <c r="BL823" s="9"/>
    </row>
    <row r="824" ht="15.75" customHeight="1">
      <c r="U824" s="10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11"/>
      <c r="AM824" s="9"/>
      <c r="AN824" s="9"/>
      <c r="AO824" s="10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9"/>
      <c r="BA824" s="9"/>
      <c r="BB824" s="9"/>
      <c r="BC824" s="9"/>
      <c r="BD824" s="9"/>
      <c r="BE824" s="9"/>
      <c r="BF824" s="9"/>
      <c r="BG824" s="9"/>
      <c r="BH824" s="9"/>
      <c r="BI824" s="9"/>
      <c r="BJ824" s="9"/>
      <c r="BK824" s="9"/>
      <c r="BL824" s="9"/>
    </row>
    <row r="825" ht="15.75" customHeight="1">
      <c r="U825" s="10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11"/>
      <c r="AM825" s="9"/>
      <c r="AN825" s="9"/>
      <c r="AO825" s="10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9"/>
      <c r="BA825" s="9"/>
      <c r="BB825" s="9"/>
      <c r="BC825" s="9"/>
      <c r="BD825" s="9"/>
      <c r="BE825" s="9"/>
      <c r="BF825" s="9"/>
      <c r="BG825" s="9"/>
      <c r="BH825" s="9"/>
      <c r="BI825" s="9"/>
      <c r="BJ825" s="9"/>
      <c r="BK825" s="9"/>
      <c r="BL825" s="9"/>
    </row>
    <row r="826" ht="15.75" customHeight="1">
      <c r="U826" s="10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11"/>
      <c r="AM826" s="9"/>
      <c r="AN826" s="9"/>
      <c r="AO826" s="10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9"/>
      <c r="BA826" s="9"/>
      <c r="BB826" s="9"/>
      <c r="BC826" s="9"/>
      <c r="BD826" s="9"/>
      <c r="BE826" s="9"/>
      <c r="BF826" s="9"/>
      <c r="BG826" s="9"/>
      <c r="BH826" s="9"/>
      <c r="BI826" s="9"/>
      <c r="BJ826" s="9"/>
      <c r="BK826" s="9"/>
      <c r="BL826" s="9"/>
    </row>
    <row r="827" ht="15.75" customHeight="1">
      <c r="U827" s="10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11"/>
      <c r="AM827" s="9"/>
      <c r="AN827" s="9"/>
      <c r="AO827" s="10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9"/>
      <c r="BA827" s="9"/>
      <c r="BB827" s="9"/>
      <c r="BC827" s="9"/>
      <c r="BD827" s="9"/>
      <c r="BE827" s="9"/>
      <c r="BF827" s="9"/>
      <c r="BG827" s="9"/>
      <c r="BH827" s="9"/>
      <c r="BI827" s="9"/>
      <c r="BJ827" s="9"/>
      <c r="BK827" s="9"/>
      <c r="BL827" s="9"/>
    </row>
    <row r="828" ht="15.75" customHeight="1">
      <c r="U828" s="10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11"/>
      <c r="AM828" s="9"/>
      <c r="AN828" s="9"/>
      <c r="AO828" s="10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9"/>
      <c r="BA828" s="9"/>
      <c r="BB828" s="9"/>
      <c r="BC828" s="9"/>
      <c r="BD828" s="9"/>
      <c r="BE828" s="9"/>
      <c r="BF828" s="9"/>
      <c r="BG828" s="9"/>
      <c r="BH828" s="9"/>
      <c r="BI828" s="9"/>
      <c r="BJ828" s="9"/>
      <c r="BK828" s="9"/>
      <c r="BL828" s="9"/>
    </row>
    <row r="829" ht="15.75" customHeight="1">
      <c r="U829" s="10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11"/>
      <c r="AM829" s="9"/>
      <c r="AN829" s="9"/>
      <c r="AO829" s="10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9"/>
      <c r="BA829" s="9"/>
      <c r="BB829" s="9"/>
      <c r="BC829" s="9"/>
      <c r="BD829" s="9"/>
      <c r="BE829" s="9"/>
      <c r="BF829" s="9"/>
      <c r="BG829" s="9"/>
      <c r="BH829" s="9"/>
      <c r="BI829" s="9"/>
      <c r="BJ829" s="9"/>
      <c r="BK829" s="9"/>
      <c r="BL829" s="9"/>
    </row>
    <row r="830" ht="15.75" customHeight="1">
      <c r="U830" s="10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11"/>
      <c r="AM830" s="9"/>
      <c r="AN830" s="9"/>
      <c r="AO830" s="10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9"/>
      <c r="BA830" s="9"/>
      <c r="BB830" s="9"/>
      <c r="BC830" s="9"/>
      <c r="BD830" s="9"/>
      <c r="BE830" s="9"/>
      <c r="BF830" s="9"/>
      <c r="BG830" s="9"/>
      <c r="BH830" s="9"/>
      <c r="BI830" s="9"/>
      <c r="BJ830" s="9"/>
      <c r="BK830" s="9"/>
      <c r="BL830" s="9"/>
    </row>
    <row r="831" ht="15.75" customHeight="1">
      <c r="U831" s="10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11"/>
      <c r="AM831" s="9"/>
      <c r="AN831" s="9"/>
      <c r="AO831" s="10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9"/>
      <c r="BA831" s="9"/>
      <c r="BB831" s="9"/>
      <c r="BC831" s="9"/>
      <c r="BD831" s="9"/>
      <c r="BE831" s="9"/>
      <c r="BF831" s="9"/>
      <c r="BG831" s="9"/>
      <c r="BH831" s="9"/>
      <c r="BI831" s="9"/>
      <c r="BJ831" s="9"/>
      <c r="BK831" s="9"/>
      <c r="BL831" s="9"/>
    </row>
    <row r="832" ht="15.75" customHeight="1">
      <c r="U832" s="10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11"/>
      <c r="AM832" s="9"/>
      <c r="AN832" s="9"/>
      <c r="AO832" s="10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9"/>
      <c r="BA832" s="9"/>
      <c r="BB832" s="9"/>
      <c r="BC832" s="9"/>
      <c r="BD832" s="9"/>
      <c r="BE832" s="9"/>
      <c r="BF832" s="9"/>
      <c r="BG832" s="9"/>
      <c r="BH832" s="9"/>
      <c r="BI832" s="9"/>
      <c r="BJ832" s="9"/>
      <c r="BK832" s="9"/>
      <c r="BL832" s="9"/>
    </row>
    <row r="833" ht="15.75" customHeight="1">
      <c r="U833" s="10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11"/>
      <c r="AM833" s="9"/>
      <c r="AN833" s="9"/>
      <c r="AO833" s="10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9"/>
      <c r="BA833" s="9"/>
      <c r="BB833" s="9"/>
      <c r="BC833" s="9"/>
      <c r="BD833" s="9"/>
      <c r="BE833" s="9"/>
      <c r="BF833" s="9"/>
      <c r="BG833" s="9"/>
      <c r="BH833" s="9"/>
      <c r="BI833" s="9"/>
      <c r="BJ833" s="9"/>
      <c r="BK833" s="9"/>
      <c r="BL833" s="9"/>
    </row>
    <row r="834" ht="15.75" customHeight="1">
      <c r="U834" s="10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11"/>
      <c r="AM834" s="9"/>
      <c r="AN834" s="9"/>
      <c r="AO834" s="10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9"/>
      <c r="BA834" s="9"/>
      <c r="BB834" s="9"/>
      <c r="BC834" s="9"/>
      <c r="BD834" s="9"/>
      <c r="BE834" s="9"/>
      <c r="BF834" s="9"/>
      <c r="BG834" s="9"/>
      <c r="BH834" s="9"/>
      <c r="BI834" s="9"/>
      <c r="BJ834" s="9"/>
      <c r="BK834" s="9"/>
      <c r="BL834" s="9"/>
    </row>
    <row r="835" ht="15.75" customHeight="1">
      <c r="U835" s="10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11"/>
      <c r="AM835" s="9"/>
      <c r="AN835" s="9"/>
      <c r="AO835" s="10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9"/>
      <c r="BA835" s="9"/>
      <c r="BB835" s="9"/>
      <c r="BC835" s="9"/>
      <c r="BD835" s="9"/>
      <c r="BE835" s="9"/>
      <c r="BF835" s="9"/>
      <c r="BG835" s="9"/>
      <c r="BH835" s="9"/>
      <c r="BI835" s="9"/>
      <c r="BJ835" s="9"/>
      <c r="BK835" s="9"/>
      <c r="BL835" s="9"/>
    </row>
    <row r="836" ht="15.75" customHeight="1">
      <c r="U836" s="10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11"/>
      <c r="AM836" s="9"/>
      <c r="AN836" s="9"/>
      <c r="AO836" s="10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9"/>
      <c r="BA836" s="9"/>
      <c r="BB836" s="9"/>
      <c r="BC836" s="9"/>
      <c r="BD836" s="9"/>
      <c r="BE836" s="9"/>
      <c r="BF836" s="9"/>
      <c r="BG836" s="9"/>
      <c r="BH836" s="9"/>
      <c r="BI836" s="9"/>
      <c r="BJ836" s="9"/>
      <c r="BK836" s="9"/>
      <c r="BL836" s="9"/>
    </row>
    <row r="837" ht="15.75" customHeight="1">
      <c r="U837" s="10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11"/>
      <c r="AM837" s="9"/>
      <c r="AN837" s="9"/>
      <c r="AO837" s="10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9"/>
      <c r="BA837" s="9"/>
      <c r="BB837" s="9"/>
      <c r="BC837" s="9"/>
      <c r="BD837" s="9"/>
      <c r="BE837" s="9"/>
      <c r="BF837" s="9"/>
      <c r="BG837" s="9"/>
      <c r="BH837" s="9"/>
      <c r="BI837" s="9"/>
      <c r="BJ837" s="9"/>
      <c r="BK837" s="9"/>
      <c r="BL837" s="9"/>
    </row>
    <row r="838" ht="15.75" customHeight="1">
      <c r="U838" s="10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11"/>
      <c r="AM838" s="9"/>
      <c r="AN838" s="9"/>
      <c r="AO838" s="10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9"/>
      <c r="BA838" s="9"/>
      <c r="BB838" s="9"/>
      <c r="BC838" s="9"/>
      <c r="BD838" s="9"/>
      <c r="BE838" s="9"/>
      <c r="BF838" s="9"/>
      <c r="BG838" s="9"/>
      <c r="BH838" s="9"/>
      <c r="BI838" s="9"/>
      <c r="BJ838" s="9"/>
      <c r="BK838" s="9"/>
      <c r="BL838" s="9"/>
    </row>
    <row r="839" ht="15.75" customHeight="1">
      <c r="U839" s="10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11"/>
      <c r="AM839" s="9"/>
      <c r="AN839" s="9"/>
      <c r="AO839" s="10"/>
      <c r="AP839" s="9"/>
      <c r="AQ839" s="9"/>
      <c r="AR839" s="9"/>
      <c r="AS839" s="9"/>
      <c r="AT839" s="9"/>
      <c r="AU839" s="9"/>
      <c r="AV839" s="9"/>
      <c r="AW839" s="9"/>
      <c r="AX839" s="9"/>
      <c r="AY839" s="9"/>
      <c r="AZ839" s="9"/>
      <c r="BA839" s="9"/>
      <c r="BB839" s="9"/>
      <c r="BC839" s="9"/>
      <c r="BD839" s="9"/>
      <c r="BE839" s="9"/>
      <c r="BF839" s="9"/>
      <c r="BG839" s="9"/>
      <c r="BH839" s="9"/>
      <c r="BI839" s="9"/>
      <c r="BJ839" s="9"/>
      <c r="BK839" s="9"/>
      <c r="BL839" s="9"/>
    </row>
    <row r="840" ht="15.75" customHeight="1">
      <c r="U840" s="10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11"/>
      <c r="AM840" s="9"/>
      <c r="AN840" s="9"/>
      <c r="AO840" s="10"/>
      <c r="AP840" s="9"/>
      <c r="AQ840" s="9"/>
      <c r="AR840" s="9"/>
      <c r="AS840" s="9"/>
      <c r="AT840" s="9"/>
      <c r="AU840" s="9"/>
      <c r="AV840" s="9"/>
      <c r="AW840" s="9"/>
      <c r="AX840" s="9"/>
      <c r="AY840" s="9"/>
      <c r="AZ840" s="9"/>
      <c r="BA840" s="9"/>
      <c r="BB840" s="9"/>
      <c r="BC840" s="9"/>
      <c r="BD840" s="9"/>
      <c r="BE840" s="9"/>
      <c r="BF840" s="9"/>
      <c r="BG840" s="9"/>
      <c r="BH840" s="9"/>
      <c r="BI840" s="9"/>
      <c r="BJ840" s="9"/>
      <c r="BK840" s="9"/>
      <c r="BL840" s="9"/>
    </row>
    <row r="841" ht="15.75" customHeight="1">
      <c r="U841" s="10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11"/>
      <c r="AM841" s="9"/>
      <c r="AN841" s="9"/>
      <c r="AO841" s="10"/>
      <c r="AP841" s="9"/>
      <c r="AQ841" s="9"/>
      <c r="AR841" s="9"/>
      <c r="AS841" s="9"/>
      <c r="AT841" s="9"/>
      <c r="AU841" s="9"/>
      <c r="AV841" s="9"/>
      <c r="AW841" s="9"/>
      <c r="AX841" s="9"/>
      <c r="AY841" s="9"/>
      <c r="AZ841" s="9"/>
      <c r="BA841" s="9"/>
      <c r="BB841" s="9"/>
      <c r="BC841" s="9"/>
      <c r="BD841" s="9"/>
      <c r="BE841" s="9"/>
      <c r="BF841" s="9"/>
      <c r="BG841" s="9"/>
      <c r="BH841" s="9"/>
      <c r="BI841" s="9"/>
      <c r="BJ841" s="9"/>
      <c r="BK841" s="9"/>
      <c r="BL841" s="9"/>
    </row>
    <row r="842" ht="15.75" customHeight="1">
      <c r="U842" s="10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11"/>
      <c r="AM842" s="9"/>
      <c r="AN842" s="9"/>
      <c r="AO842" s="10"/>
      <c r="AP842" s="9"/>
      <c r="AQ842" s="9"/>
      <c r="AR842" s="9"/>
      <c r="AS842" s="9"/>
      <c r="AT842" s="9"/>
      <c r="AU842" s="9"/>
      <c r="AV842" s="9"/>
      <c r="AW842" s="9"/>
      <c r="AX842" s="9"/>
      <c r="AY842" s="9"/>
      <c r="AZ842" s="9"/>
      <c r="BA842" s="9"/>
      <c r="BB842" s="9"/>
      <c r="BC842" s="9"/>
      <c r="BD842" s="9"/>
      <c r="BE842" s="9"/>
      <c r="BF842" s="9"/>
      <c r="BG842" s="9"/>
      <c r="BH842" s="9"/>
      <c r="BI842" s="9"/>
      <c r="BJ842" s="9"/>
      <c r="BK842" s="9"/>
      <c r="BL842" s="9"/>
    </row>
    <row r="843" ht="15.75" customHeight="1">
      <c r="U843" s="10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11"/>
      <c r="AM843" s="9"/>
      <c r="AN843" s="9"/>
      <c r="AO843" s="10"/>
      <c r="AP843" s="9"/>
      <c r="AQ843" s="9"/>
      <c r="AR843" s="9"/>
      <c r="AS843" s="9"/>
      <c r="AT843" s="9"/>
      <c r="AU843" s="9"/>
      <c r="AV843" s="9"/>
      <c r="AW843" s="9"/>
      <c r="AX843" s="9"/>
      <c r="AY843" s="9"/>
      <c r="AZ843" s="9"/>
      <c r="BA843" s="9"/>
      <c r="BB843" s="9"/>
      <c r="BC843" s="9"/>
      <c r="BD843" s="9"/>
      <c r="BE843" s="9"/>
      <c r="BF843" s="9"/>
      <c r="BG843" s="9"/>
      <c r="BH843" s="9"/>
      <c r="BI843" s="9"/>
      <c r="BJ843" s="9"/>
      <c r="BK843" s="9"/>
      <c r="BL843" s="9"/>
    </row>
    <row r="844" ht="15.75" customHeight="1">
      <c r="U844" s="10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11"/>
      <c r="AM844" s="9"/>
      <c r="AN844" s="9"/>
      <c r="AO844" s="10"/>
      <c r="AP844" s="9"/>
      <c r="AQ844" s="9"/>
      <c r="AR844" s="9"/>
      <c r="AS844" s="9"/>
      <c r="AT844" s="9"/>
      <c r="AU844" s="9"/>
      <c r="AV844" s="9"/>
      <c r="AW844" s="9"/>
      <c r="AX844" s="9"/>
      <c r="AY844" s="9"/>
      <c r="AZ844" s="9"/>
      <c r="BA844" s="9"/>
      <c r="BB844" s="9"/>
      <c r="BC844" s="9"/>
      <c r="BD844" s="9"/>
      <c r="BE844" s="9"/>
      <c r="BF844" s="9"/>
      <c r="BG844" s="9"/>
      <c r="BH844" s="9"/>
      <c r="BI844" s="9"/>
      <c r="BJ844" s="9"/>
      <c r="BK844" s="9"/>
      <c r="BL844" s="9"/>
    </row>
    <row r="845" ht="15.75" customHeight="1">
      <c r="U845" s="10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11"/>
      <c r="AM845" s="9"/>
      <c r="AN845" s="9"/>
      <c r="AO845" s="10"/>
      <c r="AP845" s="9"/>
      <c r="AQ845" s="9"/>
      <c r="AR845" s="9"/>
      <c r="AS845" s="9"/>
      <c r="AT845" s="9"/>
      <c r="AU845" s="9"/>
      <c r="AV845" s="9"/>
      <c r="AW845" s="9"/>
      <c r="AX845" s="9"/>
      <c r="AY845" s="9"/>
      <c r="AZ845" s="9"/>
      <c r="BA845" s="9"/>
      <c r="BB845" s="9"/>
      <c r="BC845" s="9"/>
      <c r="BD845" s="9"/>
      <c r="BE845" s="9"/>
      <c r="BF845" s="9"/>
      <c r="BG845" s="9"/>
      <c r="BH845" s="9"/>
      <c r="BI845" s="9"/>
      <c r="BJ845" s="9"/>
      <c r="BK845" s="9"/>
      <c r="BL845" s="9"/>
    </row>
    <row r="846" ht="15.75" customHeight="1">
      <c r="U846" s="10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11"/>
      <c r="AM846" s="9"/>
      <c r="AN846" s="9"/>
      <c r="AO846" s="10"/>
      <c r="AP846" s="9"/>
      <c r="AQ846" s="9"/>
      <c r="AR846" s="9"/>
      <c r="AS846" s="9"/>
      <c r="AT846" s="9"/>
      <c r="AU846" s="9"/>
      <c r="AV846" s="9"/>
      <c r="AW846" s="9"/>
      <c r="AX846" s="9"/>
      <c r="AY846" s="9"/>
      <c r="AZ846" s="9"/>
      <c r="BA846" s="9"/>
      <c r="BB846" s="9"/>
      <c r="BC846" s="9"/>
      <c r="BD846" s="9"/>
      <c r="BE846" s="9"/>
      <c r="BF846" s="9"/>
      <c r="BG846" s="9"/>
      <c r="BH846" s="9"/>
      <c r="BI846" s="9"/>
      <c r="BJ846" s="9"/>
      <c r="BK846" s="9"/>
      <c r="BL846" s="9"/>
    </row>
    <row r="847" ht="15.75" customHeight="1">
      <c r="U847" s="10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11"/>
      <c r="AM847" s="9"/>
      <c r="AN847" s="9"/>
      <c r="AO847" s="10"/>
      <c r="AP847" s="9"/>
      <c r="AQ847" s="9"/>
      <c r="AR847" s="9"/>
      <c r="AS847" s="9"/>
      <c r="AT847" s="9"/>
      <c r="AU847" s="9"/>
      <c r="AV847" s="9"/>
      <c r="AW847" s="9"/>
      <c r="AX847" s="9"/>
      <c r="AY847" s="9"/>
      <c r="AZ847" s="9"/>
      <c r="BA847" s="9"/>
      <c r="BB847" s="9"/>
      <c r="BC847" s="9"/>
      <c r="BD847" s="9"/>
      <c r="BE847" s="9"/>
      <c r="BF847" s="9"/>
      <c r="BG847" s="9"/>
      <c r="BH847" s="9"/>
      <c r="BI847" s="9"/>
      <c r="BJ847" s="9"/>
      <c r="BK847" s="9"/>
      <c r="BL847" s="9"/>
    </row>
    <row r="848" ht="15.75" customHeight="1">
      <c r="U848" s="10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11"/>
      <c r="AM848" s="9"/>
      <c r="AN848" s="9"/>
      <c r="AO848" s="10"/>
      <c r="AP848" s="9"/>
      <c r="AQ848" s="9"/>
      <c r="AR848" s="9"/>
      <c r="AS848" s="9"/>
      <c r="AT848" s="9"/>
      <c r="AU848" s="9"/>
      <c r="AV848" s="9"/>
      <c r="AW848" s="9"/>
      <c r="AX848" s="9"/>
      <c r="AY848" s="9"/>
      <c r="AZ848" s="9"/>
      <c r="BA848" s="9"/>
      <c r="BB848" s="9"/>
      <c r="BC848" s="9"/>
      <c r="BD848" s="9"/>
      <c r="BE848" s="9"/>
      <c r="BF848" s="9"/>
      <c r="BG848" s="9"/>
      <c r="BH848" s="9"/>
      <c r="BI848" s="9"/>
      <c r="BJ848" s="9"/>
      <c r="BK848" s="9"/>
      <c r="BL848" s="9"/>
    </row>
    <row r="849" ht="15.75" customHeight="1">
      <c r="U849" s="10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11"/>
      <c r="AM849" s="9"/>
      <c r="AN849" s="9"/>
      <c r="AO849" s="10"/>
      <c r="AP849" s="9"/>
      <c r="AQ849" s="9"/>
      <c r="AR849" s="9"/>
      <c r="AS849" s="9"/>
      <c r="AT849" s="9"/>
      <c r="AU849" s="9"/>
      <c r="AV849" s="9"/>
      <c r="AW849" s="9"/>
      <c r="AX849" s="9"/>
      <c r="AY849" s="9"/>
      <c r="AZ849" s="9"/>
      <c r="BA849" s="9"/>
      <c r="BB849" s="9"/>
      <c r="BC849" s="9"/>
      <c r="BD849" s="9"/>
      <c r="BE849" s="9"/>
      <c r="BF849" s="9"/>
      <c r="BG849" s="9"/>
      <c r="BH849" s="9"/>
      <c r="BI849" s="9"/>
      <c r="BJ849" s="9"/>
      <c r="BK849" s="9"/>
      <c r="BL849" s="9"/>
    </row>
    <row r="850" ht="15.75" customHeight="1">
      <c r="U850" s="10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11"/>
      <c r="AM850" s="9"/>
      <c r="AN850" s="9"/>
      <c r="AO850" s="10"/>
      <c r="AP850" s="9"/>
      <c r="AQ850" s="9"/>
      <c r="AR850" s="9"/>
      <c r="AS850" s="9"/>
      <c r="AT850" s="9"/>
      <c r="AU850" s="9"/>
      <c r="AV850" s="9"/>
      <c r="AW850" s="9"/>
      <c r="AX850" s="9"/>
      <c r="AY850" s="9"/>
      <c r="AZ850" s="9"/>
      <c r="BA850" s="9"/>
      <c r="BB850" s="9"/>
      <c r="BC850" s="9"/>
      <c r="BD850" s="9"/>
      <c r="BE850" s="9"/>
      <c r="BF850" s="9"/>
      <c r="BG850" s="9"/>
      <c r="BH850" s="9"/>
      <c r="BI850" s="9"/>
      <c r="BJ850" s="9"/>
      <c r="BK850" s="9"/>
      <c r="BL850" s="9"/>
    </row>
    <row r="851" ht="15.75" customHeight="1">
      <c r="U851" s="10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11"/>
      <c r="AM851" s="9"/>
      <c r="AN851" s="9"/>
      <c r="AO851" s="10"/>
      <c r="AP851" s="9"/>
      <c r="AQ851" s="9"/>
      <c r="AR851" s="9"/>
      <c r="AS851" s="9"/>
      <c r="AT851" s="9"/>
      <c r="AU851" s="9"/>
      <c r="AV851" s="9"/>
      <c r="AW851" s="9"/>
      <c r="AX851" s="9"/>
      <c r="AY851" s="9"/>
      <c r="AZ851" s="9"/>
      <c r="BA851" s="9"/>
      <c r="BB851" s="9"/>
      <c r="BC851" s="9"/>
      <c r="BD851" s="9"/>
      <c r="BE851" s="9"/>
      <c r="BF851" s="9"/>
      <c r="BG851" s="9"/>
      <c r="BH851" s="9"/>
      <c r="BI851" s="9"/>
      <c r="BJ851" s="9"/>
      <c r="BK851" s="9"/>
      <c r="BL851" s="9"/>
    </row>
    <row r="852" ht="15.75" customHeight="1">
      <c r="U852" s="10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11"/>
      <c r="AM852" s="9"/>
      <c r="AN852" s="9"/>
      <c r="AO852" s="10"/>
      <c r="AP852" s="9"/>
      <c r="AQ852" s="9"/>
      <c r="AR852" s="9"/>
      <c r="AS852" s="9"/>
      <c r="AT852" s="9"/>
      <c r="AU852" s="9"/>
      <c r="AV852" s="9"/>
      <c r="AW852" s="9"/>
      <c r="AX852" s="9"/>
      <c r="AY852" s="9"/>
      <c r="AZ852" s="9"/>
      <c r="BA852" s="9"/>
      <c r="BB852" s="9"/>
      <c r="BC852" s="9"/>
      <c r="BD852" s="9"/>
      <c r="BE852" s="9"/>
      <c r="BF852" s="9"/>
      <c r="BG852" s="9"/>
      <c r="BH852" s="9"/>
      <c r="BI852" s="9"/>
      <c r="BJ852" s="9"/>
      <c r="BK852" s="9"/>
      <c r="BL852" s="9"/>
    </row>
    <row r="853" ht="15.75" customHeight="1">
      <c r="U853" s="10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11"/>
      <c r="AM853" s="9"/>
      <c r="AN853" s="9"/>
      <c r="AO853" s="10"/>
      <c r="AP853" s="9"/>
      <c r="AQ853" s="9"/>
      <c r="AR853" s="9"/>
      <c r="AS853" s="9"/>
      <c r="AT853" s="9"/>
      <c r="AU853" s="9"/>
      <c r="AV853" s="9"/>
      <c r="AW853" s="9"/>
      <c r="AX853" s="9"/>
      <c r="AY853" s="9"/>
      <c r="AZ853" s="9"/>
      <c r="BA853" s="9"/>
      <c r="BB853" s="9"/>
      <c r="BC853" s="9"/>
      <c r="BD853" s="9"/>
      <c r="BE853" s="9"/>
      <c r="BF853" s="9"/>
      <c r="BG853" s="9"/>
      <c r="BH853" s="9"/>
      <c r="BI853" s="9"/>
      <c r="BJ853" s="9"/>
      <c r="BK853" s="9"/>
      <c r="BL853" s="9"/>
    </row>
    <row r="854" ht="15.75" customHeight="1">
      <c r="U854" s="10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11"/>
      <c r="AM854" s="9"/>
      <c r="AN854" s="9"/>
      <c r="AO854" s="10"/>
      <c r="AP854" s="9"/>
      <c r="AQ854" s="9"/>
      <c r="AR854" s="9"/>
      <c r="AS854" s="9"/>
      <c r="AT854" s="9"/>
      <c r="AU854" s="9"/>
      <c r="AV854" s="9"/>
      <c r="AW854" s="9"/>
      <c r="AX854" s="9"/>
      <c r="AY854" s="9"/>
      <c r="AZ854" s="9"/>
      <c r="BA854" s="9"/>
      <c r="BB854" s="9"/>
      <c r="BC854" s="9"/>
      <c r="BD854" s="9"/>
      <c r="BE854" s="9"/>
      <c r="BF854" s="9"/>
      <c r="BG854" s="9"/>
      <c r="BH854" s="9"/>
      <c r="BI854" s="9"/>
      <c r="BJ854" s="9"/>
      <c r="BK854" s="9"/>
      <c r="BL854" s="9"/>
    </row>
    <row r="855" ht="15.75" customHeight="1">
      <c r="U855" s="10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11"/>
      <c r="AM855" s="9"/>
      <c r="AN855" s="9"/>
      <c r="AO855" s="10"/>
      <c r="AP855" s="9"/>
      <c r="AQ855" s="9"/>
      <c r="AR855" s="9"/>
      <c r="AS855" s="9"/>
      <c r="AT855" s="9"/>
      <c r="AU855" s="9"/>
      <c r="AV855" s="9"/>
      <c r="AW855" s="9"/>
      <c r="AX855" s="9"/>
      <c r="AY855" s="9"/>
      <c r="AZ855" s="9"/>
      <c r="BA855" s="9"/>
      <c r="BB855" s="9"/>
      <c r="BC855" s="9"/>
      <c r="BD855" s="9"/>
      <c r="BE855" s="9"/>
      <c r="BF855" s="9"/>
      <c r="BG855" s="9"/>
      <c r="BH855" s="9"/>
      <c r="BI855" s="9"/>
      <c r="BJ855" s="9"/>
      <c r="BK855" s="9"/>
      <c r="BL855" s="9"/>
    </row>
    <row r="856" ht="15.75" customHeight="1">
      <c r="U856" s="10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11"/>
      <c r="AM856" s="9"/>
      <c r="AN856" s="9"/>
      <c r="AO856" s="10"/>
      <c r="AP856" s="9"/>
      <c r="AQ856" s="9"/>
      <c r="AR856" s="9"/>
      <c r="AS856" s="9"/>
      <c r="AT856" s="9"/>
      <c r="AU856" s="9"/>
      <c r="AV856" s="9"/>
      <c r="AW856" s="9"/>
      <c r="AX856" s="9"/>
      <c r="AY856" s="9"/>
      <c r="AZ856" s="9"/>
      <c r="BA856" s="9"/>
      <c r="BB856" s="9"/>
      <c r="BC856" s="9"/>
      <c r="BD856" s="9"/>
      <c r="BE856" s="9"/>
      <c r="BF856" s="9"/>
      <c r="BG856" s="9"/>
      <c r="BH856" s="9"/>
      <c r="BI856" s="9"/>
      <c r="BJ856" s="9"/>
      <c r="BK856" s="9"/>
      <c r="BL856" s="9"/>
    </row>
    <row r="857" ht="15.75" customHeight="1">
      <c r="U857" s="10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11"/>
      <c r="AM857" s="9"/>
      <c r="AN857" s="9"/>
      <c r="AO857" s="10"/>
      <c r="AP857" s="9"/>
      <c r="AQ857" s="9"/>
      <c r="AR857" s="9"/>
      <c r="AS857" s="9"/>
      <c r="AT857" s="9"/>
      <c r="AU857" s="9"/>
      <c r="AV857" s="9"/>
      <c r="AW857" s="9"/>
      <c r="AX857" s="9"/>
      <c r="AY857" s="9"/>
      <c r="AZ857" s="9"/>
      <c r="BA857" s="9"/>
      <c r="BB857" s="9"/>
      <c r="BC857" s="9"/>
      <c r="BD857" s="9"/>
      <c r="BE857" s="9"/>
      <c r="BF857" s="9"/>
      <c r="BG857" s="9"/>
      <c r="BH857" s="9"/>
      <c r="BI857" s="9"/>
      <c r="BJ857" s="9"/>
      <c r="BK857" s="9"/>
      <c r="BL857" s="9"/>
    </row>
    <row r="858" ht="15.75" customHeight="1">
      <c r="U858" s="10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11"/>
      <c r="AM858" s="9"/>
      <c r="AN858" s="9"/>
      <c r="AO858" s="10"/>
      <c r="AP858" s="9"/>
      <c r="AQ858" s="9"/>
      <c r="AR858" s="9"/>
      <c r="AS858" s="9"/>
      <c r="AT858" s="9"/>
      <c r="AU858" s="9"/>
      <c r="AV858" s="9"/>
      <c r="AW858" s="9"/>
      <c r="AX858" s="9"/>
      <c r="AY858" s="9"/>
      <c r="AZ858" s="9"/>
      <c r="BA858" s="9"/>
      <c r="BB858" s="9"/>
      <c r="BC858" s="9"/>
      <c r="BD858" s="9"/>
      <c r="BE858" s="9"/>
      <c r="BF858" s="9"/>
      <c r="BG858" s="9"/>
      <c r="BH858" s="9"/>
      <c r="BI858" s="9"/>
      <c r="BJ858" s="9"/>
      <c r="BK858" s="9"/>
      <c r="BL858" s="9"/>
    </row>
    <row r="859" ht="15.75" customHeight="1">
      <c r="U859" s="10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11"/>
      <c r="AM859" s="9"/>
      <c r="AN859" s="9"/>
      <c r="AO859" s="10"/>
      <c r="AP859" s="9"/>
      <c r="AQ859" s="9"/>
      <c r="AR859" s="9"/>
      <c r="AS859" s="9"/>
      <c r="AT859" s="9"/>
      <c r="AU859" s="9"/>
      <c r="AV859" s="9"/>
      <c r="AW859" s="9"/>
      <c r="AX859" s="9"/>
      <c r="AY859" s="9"/>
      <c r="AZ859" s="9"/>
      <c r="BA859" s="9"/>
      <c r="BB859" s="9"/>
      <c r="BC859" s="9"/>
      <c r="BD859" s="9"/>
      <c r="BE859" s="9"/>
      <c r="BF859" s="9"/>
      <c r="BG859" s="9"/>
      <c r="BH859" s="9"/>
      <c r="BI859" s="9"/>
      <c r="BJ859" s="9"/>
      <c r="BK859" s="9"/>
      <c r="BL859" s="9"/>
    </row>
    <row r="860" ht="15.75" customHeight="1">
      <c r="U860" s="10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11"/>
      <c r="AM860" s="9"/>
      <c r="AN860" s="9"/>
      <c r="AO860" s="10"/>
      <c r="AP860" s="9"/>
      <c r="AQ860" s="9"/>
      <c r="AR860" s="9"/>
      <c r="AS860" s="9"/>
      <c r="AT860" s="9"/>
      <c r="AU860" s="9"/>
      <c r="AV860" s="9"/>
      <c r="AW860" s="9"/>
      <c r="AX860" s="9"/>
      <c r="AY860" s="9"/>
      <c r="AZ860" s="9"/>
      <c r="BA860" s="9"/>
      <c r="BB860" s="9"/>
      <c r="BC860" s="9"/>
      <c r="BD860" s="9"/>
      <c r="BE860" s="9"/>
      <c r="BF860" s="9"/>
      <c r="BG860" s="9"/>
      <c r="BH860" s="9"/>
      <c r="BI860" s="9"/>
      <c r="BJ860" s="9"/>
      <c r="BK860" s="9"/>
      <c r="BL860" s="9"/>
    </row>
    <row r="861" ht="15.75" customHeight="1">
      <c r="U861" s="10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11"/>
      <c r="AM861" s="9"/>
      <c r="AN861" s="9"/>
      <c r="AO861" s="10"/>
      <c r="AP861" s="9"/>
      <c r="AQ861" s="9"/>
      <c r="AR861" s="9"/>
      <c r="AS861" s="9"/>
      <c r="AT861" s="9"/>
      <c r="AU861" s="9"/>
      <c r="AV861" s="9"/>
      <c r="AW861" s="9"/>
      <c r="AX861" s="9"/>
      <c r="AY861" s="9"/>
      <c r="AZ861" s="9"/>
      <c r="BA861" s="9"/>
      <c r="BB861" s="9"/>
      <c r="BC861" s="9"/>
      <c r="BD861" s="9"/>
      <c r="BE861" s="9"/>
      <c r="BF861" s="9"/>
      <c r="BG861" s="9"/>
      <c r="BH861" s="9"/>
      <c r="BI861" s="9"/>
      <c r="BJ861" s="9"/>
      <c r="BK861" s="9"/>
      <c r="BL861" s="9"/>
    </row>
    <row r="862" ht="15.75" customHeight="1">
      <c r="U862" s="10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11"/>
      <c r="AM862" s="9"/>
      <c r="AN862" s="9"/>
      <c r="AO862" s="10"/>
      <c r="AP862" s="9"/>
      <c r="AQ862" s="9"/>
      <c r="AR862" s="9"/>
      <c r="AS862" s="9"/>
      <c r="AT862" s="9"/>
      <c r="AU862" s="9"/>
      <c r="AV862" s="9"/>
      <c r="AW862" s="9"/>
      <c r="AX862" s="9"/>
      <c r="AY862" s="9"/>
      <c r="AZ862" s="9"/>
      <c r="BA862" s="9"/>
      <c r="BB862" s="9"/>
      <c r="BC862" s="9"/>
      <c r="BD862" s="9"/>
      <c r="BE862" s="9"/>
      <c r="BF862" s="9"/>
      <c r="BG862" s="9"/>
      <c r="BH862" s="9"/>
      <c r="BI862" s="9"/>
      <c r="BJ862" s="9"/>
      <c r="BK862" s="9"/>
      <c r="BL862" s="9"/>
    </row>
    <row r="863" ht="15.75" customHeight="1">
      <c r="U863" s="10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11"/>
      <c r="AM863" s="9"/>
      <c r="AN863" s="9"/>
      <c r="AO863" s="10"/>
      <c r="AP863" s="9"/>
      <c r="AQ863" s="9"/>
      <c r="AR863" s="9"/>
      <c r="AS863" s="9"/>
      <c r="AT863" s="9"/>
      <c r="AU863" s="9"/>
      <c r="AV863" s="9"/>
      <c r="AW863" s="9"/>
      <c r="AX863" s="9"/>
      <c r="AY863" s="9"/>
      <c r="AZ863" s="9"/>
      <c r="BA863" s="9"/>
      <c r="BB863" s="9"/>
      <c r="BC863" s="9"/>
      <c r="BD863" s="9"/>
      <c r="BE863" s="9"/>
      <c r="BF863" s="9"/>
      <c r="BG863" s="9"/>
      <c r="BH863" s="9"/>
      <c r="BI863" s="9"/>
      <c r="BJ863" s="9"/>
      <c r="BK863" s="9"/>
      <c r="BL863" s="9"/>
    </row>
    <row r="864" ht="15.75" customHeight="1">
      <c r="U864" s="10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11"/>
      <c r="AM864" s="9"/>
      <c r="AN864" s="9"/>
      <c r="AO864" s="10"/>
      <c r="AP864" s="9"/>
      <c r="AQ864" s="9"/>
      <c r="AR864" s="9"/>
      <c r="AS864" s="9"/>
      <c r="AT864" s="9"/>
      <c r="AU864" s="9"/>
      <c r="AV864" s="9"/>
      <c r="AW864" s="9"/>
      <c r="AX864" s="9"/>
      <c r="AY864" s="9"/>
      <c r="AZ864" s="9"/>
      <c r="BA864" s="9"/>
      <c r="BB864" s="9"/>
      <c r="BC864" s="9"/>
      <c r="BD864" s="9"/>
      <c r="BE864" s="9"/>
      <c r="BF864" s="9"/>
      <c r="BG864" s="9"/>
      <c r="BH864" s="9"/>
      <c r="BI864" s="9"/>
      <c r="BJ864" s="9"/>
      <c r="BK864" s="9"/>
      <c r="BL864" s="9"/>
    </row>
    <row r="865" ht="15.75" customHeight="1">
      <c r="U865" s="10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11"/>
      <c r="AM865" s="9"/>
      <c r="AN865" s="9"/>
      <c r="AO865" s="10"/>
      <c r="AP865" s="9"/>
      <c r="AQ865" s="9"/>
      <c r="AR865" s="9"/>
      <c r="AS865" s="9"/>
      <c r="AT865" s="9"/>
      <c r="AU865" s="9"/>
      <c r="AV865" s="9"/>
      <c r="AW865" s="9"/>
      <c r="AX865" s="9"/>
      <c r="AY865" s="9"/>
      <c r="AZ865" s="9"/>
      <c r="BA865" s="9"/>
      <c r="BB865" s="9"/>
      <c r="BC865" s="9"/>
      <c r="BD865" s="9"/>
      <c r="BE865" s="9"/>
      <c r="BF865" s="9"/>
      <c r="BG865" s="9"/>
      <c r="BH865" s="9"/>
      <c r="BI865" s="9"/>
      <c r="BJ865" s="9"/>
      <c r="BK865" s="9"/>
      <c r="BL865" s="9"/>
    </row>
    <row r="866" ht="15.75" customHeight="1">
      <c r="U866" s="10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11"/>
      <c r="AM866" s="9"/>
      <c r="AN866" s="9"/>
      <c r="AO866" s="10"/>
      <c r="AP866" s="9"/>
      <c r="AQ866" s="9"/>
      <c r="AR866" s="9"/>
      <c r="AS866" s="9"/>
      <c r="AT866" s="9"/>
      <c r="AU866" s="9"/>
      <c r="AV866" s="9"/>
      <c r="AW866" s="9"/>
      <c r="AX866" s="9"/>
      <c r="AY866" s="9"/>
      <c r="AZ866" s="9"/>
      <c r="BA866" s="9"/>
      <c r="BB866" s="9"/>
      <c r="BC866" s="9"/>
      <c r="BD866" s="9"/>
      <c r="BE866" s="9"/>
      <c r="BF866" s="9"/>
      <c r="BG866" s="9"/>
      <c r="BH866" s="9"/>
      <c r="BI866" s="9"/>
      <c r="BJ866" s="9"/>
      <c r="BK866" s="9"/>
      <c r="BL866" s="9"/>
    </row>
    <row r="867" ht="15.75" customHeight="1">
      <c r="U867" s="10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11"/>
      <c r="AM867" s="9"/>
      <c r="AN867" s="9"/>
      <c r="AO867" s="10"/>
      <c r="AP867" s="9"/>
      <c r="AQ867" s="9"/>
      <c r="AR867" s="9"/>
      <c r="AS867" s="9"/>
      <c r="AT867" s="9"/>
      <c r="AU867" s="9"/>
      <c r="AV867" s="9"/>
      <c r="AW867" s="9"/>
      <c r="AX867" s="9"/>
      <c r="AY867" s="9"/>
      <c r="AZ867" s="9"/>
      <c r="BA867" s="9"/>
      <c r="BB867" s="9"/>
      <c r="BC867" s="9"/>
      <c r="BD867" s="9"/>
      <c r="BE867" s="9"/>
      <c r="BF867" s="9"/>
      <c r="BG867" s="9"/>
      <c r="BH867" s="9"/>
      <c r="BI867" s="9"/>
      <c r="BJ867" s="9"/>
      <c r="BK867" s="9"/>
      <c r="BL867" s="9"/>
    </row>
    <row r="868" ht="15.75" customHeight="1">
      <c r="U868" s="10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11"/>
      <c r="AM868" s="9"/>
      <c r="AN868" s="9"/>
      <c r="AO868" s="10"/>
      <c r="AP868" s="9"/>
      <c r="AQ868" s="9"/>
      <c r="AR868" s="9"/>
      <c r="AS868" s="9"/>
      <c r="AT868" s="9"/>
      <c r="AU868" s="9"/>
      <c r="AV868" s="9"/>
      <c r="AW868" s="9"/>
      <c r="AX868" s="9"/>
      <c r="AY868" s="9"/>
      <c r="AZ868" s="9"/>
      <c r="BA868" s="9"/>
      <c r="BB868" s="9"/>
      <c r="BC868" s="9"/>
      <c r="BD868" s="9"/>
      <c r="BE868" s="9"/>
      <c r="BF868" s="9"/>
      <c r="BG868" s="9"/>
      <c r="BH868" s="9"/>
      <c r="BI868" s="9"/>
      <c r="BJ868" s="9"/>
      <c r="BK868" s="9"/>
      <c r="BL868" s="9"/>
    </row>
    <row r="869" ht="15.75" customHeight="1">
      <c r="U869" s="10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11"/>
      <c r="AM869" s="9"/>
      <c r="AN869" s="9"/>
      <c r="AO869" s="10"/>
      <c r="AP869" s="9"/>
      <c r="AQ869" s="9"/>
      <c r="AR869" s="9"/>
      <c r="AS869" s="9"/>
      <c r="AT869" s="9"/>
      <c r="AU869" s="9"/>
      <c r="AV869" s="9"/>
      <c r="AW869" s="9"/>
      <c r="AX869" s="9"/>
      <c r="AY869" s="9"/>
      <c r="AZ869" s="9"/>
      <c r="BA869" s="9"/>
      <c r="BB869" s="9"/>
      <c r="BC869" s="9"/>
      <c r="BD869" s="9"/>
      <c r="BE869" s="9"/>
      <c r="BF869" s="9"/>
      <c r="BG869" s="9"/>
      <c r="BH869" s="9"/>
      <c r="BI869" s="9"/>
      <c r="BJ869" s="9"/>
      <c r="BK869" s="9"/>
      <c r="BL869" s="9"/>
    </row>
    <row r="870" ht="15.75" customHeight="1">
      <c r="U870" s="10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11"/>
      <c r="AM870" s="9"/>
      <c r="AN870" s="9"/>
      <c r="AO870" s="10"/>
      <c r="AP870" s="9"/>
      <c r="AQ870" s="9"/>
      <c r="AR870" s="9"/>
      <c r="AS870" s="9"/>
      <c r="AT870" s="9"/>
      <c r="AU870" s="9"/>
      <c r="AV870" s="9"/>
      <c r="AW870" s="9"/>
      <c r="AX870" s="9"/>
      <c r="AY870" s="9"/>
      <c r="AZ870" s="9"/>
      <c r="BA870" s="9"/>
      <c r="BB870" s="9"/>
      <c r="BC870" s="9"/>
      <c r="BD870" s="9"/>
      <c r="BE870" s="9"/>
      <c r="BF870" s="9"/>
      <c r="BG870" s="9"/>
      <c r="BH870" s="9"/>
      <c r="BI870" s="9"/>
      <c r="BJ870" s="9"/>
      <c r="BK870" s="9"/>
      <c r="BL870" s="9"/>
    </row>
    <row r="871" ht="15.75" customHeight="1">
      <c r="U871" s="10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11"/>
      <c r="AM871" s="9"/>
      <c r="AN871" s="9"/>
      <c r="AO871" s="10"/>
      <c r="AP871" s="9"/>
      <c r="AQ871" s="9"/>
      <c r="AR871" s="9"/>
      <c r="AS871" s="9"/>
      <c r="AT871" s="9"/>
      <c r="AU871" s="9"/>
      <c r="AV871" s="9"/>
      <c r="AW871" s="9"/>
      <c r="AX871" s="9"/>
      <c r="AY871" s="9"/>
      <c r="AZ871" s="9"/>
      <c r="BA871" s="9"/>
      <c r="BB871" s="9"/>
      <c r="BC871" s="9"/>
      <c r="BD871" s="9"/>
      <c r="BE871" s="9"/>
      <c r="BF871" s="9"/>
      <c r="BG871" s="9"/>
      <c r="BH871" s="9"/>
      <c r="BI871" s="9"/>
      <c r="BJ871" s="9"/>
      <c r="BK871" s="9"/>
      <c r="BL871" s="9"/>
    </row>
    <row r="872" ht="15.75" customHeight="1">
      <c r="U872" s="10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11"/>
      <c r="AM872" s="9"/>
      <c r="AN872" s="9"/>
      <c r="AO872" s="10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9"/>
      <c r="BA872" s="9"/>
      <c r="BB872" s="9"/>
      <c r="BC872" s="9"/>
      <c r="BD872" s="9"/>
      <c r="BE872" s="9"/>
      <c r="BF872" s="9"/>
      <c r="BG872" s="9"/>
      <c r="BH872" s="9"/>
      <c r="BI872" s="9"/>
      <c r="BJ872" s="9"/>
      <c r="BK872" s="9"/>
      <c r="BL872" s="9"/>
    </row>
    <row r="873" ht="15.75" customHeight="1">
      <c r="U873" s="10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11"/>
      <c r="AM873" s="9"/>
      <c r="AN873" s="9"/>
      <c r="AO873" s="10"/>
      <c r="AP873" s="9"/>
      <c r="AQ873" s="9"/>
      <c r="AR873" s="9"/>
      <c r="AS873" s="9"/>
      <c r="AT873" s="9"/>
      <c r="AU873" s="9"/>
      <c r="AV873" s="9"/>
      <c r="AW873" s="9"/>
      <c r="AX873" s="9"/>
      <c r="AY873" s="9"/>
      <c r="AZ873" s="9"/>
      <c r="BA873" s="9"/>
      <c r="BB873" s="9"/>
      <c r="BC873" s="9"/>
      <c r="BD873" s="9"/>
      <c r="BE873" s="9"/>
      <c r="BF873" s="9"/>
      <c r="BG873" s="9"/>
      <c r="BH873" s="9"/>
      <c r="BI873" s="9"/>
      <c r="BJ873" s="9"/>
      <c r="BK873" s="9"/>
      <c r="BL873" s="9"/>
    </row>
    <row r="874" ht="15.75" customHeight="1">
      <c r="U874" s="10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11"/>
      <c r="AM874" s="9"/>
      <c r="AN874" s="9"/>
      <c r="AO874" s="10"/>
      <c r="AP874" s="9"/>
      <c r="AQ874" s="9"/>
      <c r="AR874" s="9"/>
      <c r="AS874" s="9"/>
      <c r="AT874" s="9"/>
      <c r="AU874" s="9"/>
      <c r="AV874" s="9"/>
      <c r="AW874" s="9"/>
      <c r="AX874" s="9"/>
      <c r="AY874" s="9"/>
      <c r="AZ874" s="9"/>
      <c r="BA874" s="9"/>
      <c r="BB874" s="9"/>
      <c r="BC874" s="9"/>
      <c r="BD874" s="9"/>
      <c r="BE874" s="9"/>
      <c r="BF874" s="9"/>
      <c r="BG874" s="9"/>
      <c r="BH874" s="9"/>
      <c r="BI874" s="9"/>
      <c r="BJ874" s="9"/>
      <c r="BK874" s="9"/>
      <c r="BL874" s="9"/>
    </row>
    <row r="875" ht="15.75" customHeight="1">
      <c r="U875" s="10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11"/>
      <c r="AM875" s="9"/>
      <c r="AN875" s="9"/>
      <c r="AO875" s="10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9"/>
      <c r="BA875" s="9"/>
      <c r="BB875" s="9"/>
      <c r="BC875" s="9"/>
      <c r="BD875" s="9"/>
      <c r="BE875" s="9"/>
      <c r="BF875" s="9"/>
      <c r="BG875" s="9"/>
      <c r="BH875" s="9"/>
      <c r="BI875" s="9"/>
      <c r="BJ875" s="9"/>
      <c r="BK875" s="9"/>
      <c r="BL875" s="9"/>
    </row>
    <row r="876" ht="15.75" customHeight="1">
      <c r="U876" s="10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11"/>
      <c r="AM876" s="9"/>
      <c r="AN876" s="9"/>
      <c r="AO876" s="10"/>
      <c r="AP876" s="9"/>
      <c r="AQ876" s="9"/>
      <c r="AR876" s="9"/>
      <c r="AS876" s="9"/>
      <c r="AT876" s="9"/>
      <c r="AU876" s="9"/>
      <c r="AV876" s="9"/>
      <c r="AW876" s="9"/>
      <c r="AX876" s="9"/>
      <c r="AY876" s="9"/>
      <c r="AZ876" s="9"/>
      <c r="BA876" s="9"/>
      <c r="BB876" s="9"/>
      <c r="BC876" s="9"/>
      <c r="BD876" s="9"/>
      <c r="BE876" s="9"/>
      <c r="BF876" s="9"/>
      <c r="BG876" s="9"/>
      <c r="BH876" s="9"/>
      <c r="BI876" s="9"/>
      <c r="BJ876" s="9"/>
      <c r="BK876" s="9"/>
      <c r="BL876" s="9"/>
    </row>
    <row r="877" ht="15.75" customHeight="1">
      <c r="U877" s="10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11"/>
      <c r="AM877" s="9"/>
      <c r="AN877" s="9"/>
      <c r="AO877" s="10"/>
      <c r="AP877" s="9"/>
      <c r="AQ877" s="9"/>
      <c r="AR877" s="9"/>
      <c r="AS877" s="9"/>
      <c r="AT877" s="9"/>
      <c r="AU877" s="9"/>
      <c r="AV877" s="9"/>
      <c r="AW877" s="9"/>
      <c r="AX877" s="9"/>
      <c r="AY877" s="9"/>
      <c r="AZ877" s="9"/>
      <c r="BA877" s="9"/>
      <c r="BB877" s="9"/>
      <c r="BC877" s="9"/>
      <c r="BD877" s="9"/>
      <c r="BE877" s="9"/>
      <c r="BF877" s="9"/>
      <c r="BG877" s="9"/>
      <c r="BH877" s="9"/>
      <c r="BI877" s="9"/>
      <c r="BJ877" s="9"/>
      <c r="BK877" s="9"/>
      <c r="BL877" s="9"/>
    </row>
    <row r="878" ht="15.75" customHeight="1">
      <c r="U878" s="10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11"/>
      <c r="AM878" s="9"/>
      <c r="AN878" s="9"/>
      <c r="AO878" s="10"/>
      <c r="AP878" s="9"/>
      <c r="AQ878" s="9"/>
      <c r="AR878" s="9"/>
      <c r="AS878" s="9"/>
      <c r="AT878" s="9"/>
      <c r="AU878" s="9"/>
      <c r="AV878" s="9"/>
      <c r="AW878" s="9"/>
      <c r="AX878" s="9"/>
      <c r="AY878" s="9"/>
      <c r="AZ878" s="9"/>
      <c r="BA878" s="9"/>
      <c r="BB878" s="9"/>
      <c r="BC878" s="9"/>
      <c r="BD878" s="9"/>
      <c r="BE878" s="9"/>
      <c r="BF878" s="9"/>
      <c r="BG878" s="9"/>
      <c r="BH878" s="9"/>
      <c r="BI878" s="9"/>
      <c r="BJ878" s="9"/>
      <c r="BK878" s="9"/>
      <c r="BL878" s="9"/>
    </row>
    <row r="879" ht="15.75" customHeight="1">
      <c r="U879" s="10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11"/>
      <c r="AM879" s="9"/>
      <c r="AN879" s="9"/>
      <c r="AO879" s="10"/>
      <c r="AP879" s="9"/>
      <c r="AQ879" s="9"/>
      <c r="AR879" s="9"/>
      <c r="AS879" s="9"/>
      <c r="AT879" s="9"/>
      <c r="AU879" s="9"/>
      <c r="AV879" s="9"/>
      <c r="AW879" s="9"/>
      <c r="AX879" s="9"/>
      <c r="AY879" s="9"/>
      <c r="AZ879" s="9"/>
      <c r="BA879" s="9"/>
      <c r="BB879" s="9"/>
      <c r="BC879" s="9"/>
      <c r="BD879" s="9"/>
      <c r="BE879" s="9"/>
      <c r="BF879" s="9"/>
      <c r="BG879" s="9"/>
      <c r="BH879" s="9"/>
      <c r="BI879" s="9"/>
      <c r="BJ879" s="9"/>
      <c r="BK879" s="9"/>
      <c r="BL879" s="9"/>
    </row>
    <row r="880" ht="15.75" customHeight="1">
      <c r="U880" s="10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11"/>
      <c r="AM880" s="9"/>
      <c r="AN880" s="9"/>
      <c r="AO880" s="10"/>
      <c r="AP880" s="9"/>
      <c r="AQ880" s="9"/>
      <c r="AR880" s="9"/>
      <c r="AS880" s="9"/>
      <c r="AT880" s="9"/>
      <c r="AU880" s="9"/>
      <c r="AV880" s="9"/>
      <c r="AW880" s="9"/>
      <c r="AX880" s="9"/>
      <c r="AY880" s="9"/>
      <c r="AZ880" s="9"/>
      <c r="BA880" s="9"/>
      <c r="BB880" s="9"/>
      <c r="BC880" s="9"/>
      <c r="BD880" s="9"/>
      <c r="BE880" s="9"/>
      <c r="BF880" s="9"/>
      <c r="BG880" s="9"/>
      <c r="BH880" s="9"/>
      <c r="BI880" s="9"/>
      <c r="BJ880" s="9"/>
      <c r="BK880" s="9"/>
      <c r="BL880" s="9"/>
    </row>
    <row r="881" ht="15.75" customHeight="1">
      <c r="U881" s="10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11"/>
      <c r="AM881" s="9"/>
      <c r="AN881" s="9"/>
      <c r="AO881" s="10"/>
      <c r="AP881" s="9"/>
      <c r="AQ881" s="9"/>
      <c r="AR881" s="9"/>
      <c r="AS881" s="9"/>
      <c r="AT881" s="9"/>
      <c r="AU881" s="9"/>
      <c r="AV881" s="9"/>
      <c r="AW881" s="9"/>
      <c r="AX881" s="9"/>
      <c r="AY881" s="9"/>
      <c r="AZ881" s="9"/>
      <c r="BA881" s="9"/>
      <c r="BB881" s="9"/>
      <c r="BC881" s="9"/>
      <c r="BD881" s="9"/>
      <c r="BE881" s="9"/>
      <c r="BF881" s="9"/>
      <c r="BG881" s="9"/>
      <c r="BH881" s="9"/>
      <c r="BI881" s="9"/>
      <c r="BJ881" s="9"/>
      <c r="BK881" s="9"/>
      <c r="BL881" s="9"/>
    </row>
    <row r="882" ht="15.75" customHeight="1">
      <c r="U882" s="10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11"/>
      <c r="AM882" s="9"/>
      <c r="AN882" s="9"/>
      <c r="AO882" s="10"/>
      <c r="AP882" s="9"/>
      <c r="AQ882" s="9"/>
      <c r="AR882" s="9"/>
      <c r="AS882" s="9"/>
      <c r="AT882" s="9"/>
      <c r="AU882" s="9"/>
      <c r="AV882" s="9"/>
      <c r="AW882" s="9"/>
      <c r="AX882" s="9"/>
      <c r="AY882" s="9"/>
      <c r="AZ882" s="9"/>
      <c r="BA882" s="9"/>
      <c r="BB882" s="9"/>
      <c r="BC882" s="9"/>
      <c r="BD882" s="9"/>
      <c r="BE882" s="9"/>
      <c r="BF882" s="9"/>
      <c r="BG882" s="9"/>
      <c r="BH882" s="9"/>
      <c r="BI882" s="9"/>
      <c r="BJ882" s="9"/>
      <c r="BK882" s="9"/>
      <c r="BL882" s="9"/>
    </row>
    <row r="883" ht="15.75" customHeight="1">
      <c r="U883" s="10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11"/>
      <c r="AM883" s="9"/>
      <c r="AN883" s="9"/>
      <c r="AO883" s="10"/>
      <c r="AP883" s="9"/>
      <c r="AQ883" s="9"/>
      <c r="AR883" s="9"/>
      <c r="AS883" s="9"/>
      <c r="AT883" s="9"/>
      <c r="AU883" s="9"/>
      <c r="AV883" s="9"/>
      <c r="AW883" s="9"/>
      <c r="AX883" s="9"/>
      <c r="AY883" s="9"/>
      <c r="AZ883" s="9"/>
      <c r="BA883" s="9"/>
      <c r="BB883" s="9"/>
      <c r="BC883" s="9"/>
      <c r="BD883" s="9"/>
      <c r="BE883" s="9"/>
      <c r="BF883" s="9"/>
      <c r="BG883" s="9"/>
      <c r="BH883" s="9"/>
      <c r="BI883" s="9"/>
      <c r="BJ883" s="9"/>
      <c r="BK883" s="9"/>
      <c r="BL883" s="9"/>
    </row>
    <row r="884" ht="15.75" customHeight="1">
      <c r="U884" s="10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11"/>
      <c r="AM884" s="9"/>
      <c r="AN884" s="9"/>
      <c r="AO884" s="10"/>
      <c r="AP884" s="9"/>
      <c r="AQ884" s="9"/>
      <c r="AR884" s="9"/>
      <c r="AS884" s="9"/>
      <c r="AT884" s="9"/>
      <c r="AU884" s="9"/>
      <c r="AV884" s="9"/>
      <c r="AW884" s="9"/>
      <c r="AX884" s="9"/>
      <c r="AY884" s="9"/>
      <c r="AZ884" s="9"/>
      <c r="BA884" s="9"/>
      <c r="BB884" s="9"/>
      <c r="BC884" s="9"/>
      <c r="BD884" s="9"/>
      <c r="BE884" s="9"/>
      <c r="BF884" s="9"/>
      <c r="BG884" s="9"/>
      <c r="BH884" s="9"/>
      <c r="BI884" s="9"/>
      <c r="BJ884" s="9"/>
      <c r="BK884" s="9"/>
      <c r="BL884" s="9"/>
    </row>
    <row r="885" ht="15.75" customHeight="1">
      <c r="U885" s="10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11"/>
      <c r="AM885" s="9"/>
      <c r="AN885" s="9"/>
      <c r="AO885" s="10"/>
      <c r="AP885" s="9"/>
      <c r="AQ885" s="9"/>
      <c r="AR885" s="9"/>
      <c r="AS885" s="9"/>
      <c r="AT885" s="9"/>
      <c r="AU885" s="9"/>
      <c r="AV885" s="9"/>
      <c r="AW885" s="9"/>
      <c r="AX885" s="9"/>
      <c r="AY885" s="9"/>
      <c r="AZ885" s="9"/>
      <c r="BA885" s="9"/>
      <c r="BB885" s="9"/>
      <c r="BC885" s="9"/>
      <c r="BD885" s="9"/>
      <c r="BE885" s="9"/>
      <c r="BF885" s="9"/>
      <c r="BG885" s="9"/>
      <c r="BH885" s="9"/>
      <c r="BI885" s="9"/>
      <c r="BJ885" s="9"/>
      <c r="BK885" s="9"/>
      <c r="BL885" s="9"/>
    </row>
    <row r="886" ht="15.75" customHeight="1">
      <c r="U886" s="10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11"/>
      <c r="AM886" s="9"/>
      <c r="AN886" s="9"/>
      <c r="AO886" s="10"/>
      <c r="AP886" s="9"/>
      <c r="AQ886" s="9"/>
      <c r="AR886" s="9"/>
      <c r="AS886" s="9"/>
      <c r="AT886" s="9"/>
      <c r="AU886" s="9"/>
      <c r="AV886" s="9"/>
      <c r="AW886" s="9"/>
      <c r="AX886" s="9"/>
      <c r="AY886" s="9"/>
      <c r="AZ886" s="9"/>
      <c r="BA886" s="9"/>
      <c r="BB886" s="9"/>
      <c r="BC886" s="9"/>
      <c r="BD886" s="9"/>
      <c r="BE886" s="9"/>
      <c r="BF886" s="9"/>
      <c r="BG886" s="9"/>
      <c r="BH886" s="9"/>
      <c r="BI886" s="9"/>
      <c r="BJ886" s="9"/>
      <c r="BK886" s="9"/>
      <c r="BL886" s="9"/>
    </row>
    <row r="887" ht="15.75" customHeight="1">
      <c r="U887" s="10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11"/>
      <c r="AM887" s="9"/>
      <c r="AN887" s="9"/>
      <c r="AO887" s="10"/>
      <c r="AP887" s="9"/>
      <c r="AQ887" s="9"/>
      <c r="AR887" s="9"/>
      <c r="AS887" s="9"/>
      <c r="AT887" s="9"/>
      <c r="AU887" s="9"/>
      <c r="AV887" s="9"/>
      <c r="AW887" s="9"/>
      <c r="AX887" s="9"/>
      <c r="AY887" s="9"/>
      <c r="AZ887" s="9"/>
      <c r="BA887" s="9"/>
      <c r="BB887" s="9"/>
      <c r="BC887" s="9"/>
      <c r="BD887" s="9"/>
      <c r="BE887" s="9"/>
      <c r="BF887" s="9"/>
      <c r="BG887" s="9"/>
      <c r="BH887" s="9"/>
      <c r="BI887" s="9"/>
      <c r="BJ887" s="9"/>
      <c r="BK887" s="9"/>
      <c r="BL887" s="9"/>
    </row>
    <row r="888" ht="15.75" customHeight="1">
      <c r="U888" s="10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11"/>
      <c r="AM888" s="9"/>
      <c r="AN888" s="9"/>
      <c r="AO888" s="10"/>
      <c r="AP888" s="9"/>
      <c r="AQ888" s="9"/>
      <c r="AR888" s="9"/>
      <c r="AS888" s="9"/>
      <c r="AT888" s="9"/>
      <c r="AU888" s="9"/>
      <c r="AV888" s="9"/>
      <c r="AW888" s="9"/>
      <c r="AX888" s="9"/>
      <c r="AY888" s="9"/>
      <c r="AZ888" s="9"/>
      <c r="BA888" s="9"/>
      <c r="BB888" s="9"/>
      <c r="BC888" s="9"/>
      <c r="BD888" s="9"/>
      <c r="BE888" s="9"/>
      <c r="BF888" s="9"/>
      <c r="BG888" s="9"/>
      <c r="BH888" s="9"/>
      <c r="BI888" s="9"/>
      <c r="BJ888" s="9"/>
      <c r="BK888" s="9"/>
      <c r="BL888" s="9"/>
    </row>
    <row r="889" ht="15.75" customHeight="1">
      <c r="U889" s="10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11"/>
      <c r="AM889" s="9"/>
      <c r="AN889" s="9"/>
      <c r="AO889" s="10"/>
      <c r="AP889" s="9"/>
      <c r="AQ889" s="9"/>
      <c r="AR889" s="9"/>
      <c r="AS889" s="9"/>
      <c r="AT889" s="9"/>
      <c r="AU889" s="9"/>
      <c r="AV889" s="9"/>
      <c r="AW889" s="9"/>
      <c r="AX889" s="9"/>
      <c r="AY889" s="9"/>
      <c r="AZ889" s="9"/>
      <c r="BA889" s="9"/>
      <c r="BB889" s="9"/>
      <c r="BC889" s="9"/>
      <c r="BD889" s="9"/>
      <c r="BE889" s="9"/>
      <c r="BF889" s="9"/>
      <c r="BG889" s="9"/>
      <c r="BH889" s="9"/>
      <c r="BI889" s="9"/>
      <c r="BJ889" s="9"/>
      <c r="BK889" s="9"/>
      <c r="BL889" s="9"/>
    </row>
    <row r="890" ht="15.75" customHeight="1">
      <c r="U890" s="10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11"/>
      <c r="AM890" s="9"/>
      <c r="AN890" s="9"/>
      <c r="AO890" s="10"/>
      <c r="AP890" s="9"/>
      <c r="AQ890" s="9"/>
      <c r="AR890" s="9"/>
      <c r="AS890" s="9"/>
      <c r="AT890" s="9"/>
      <c r="AU890" s="9"/>
      <c r="AV890" s="9"/>
      <c r="AW890" s="9"/>
      <c r="AX890" s="9"/>
      <c r="AY890" s="9"/>
      <c r="AZ890" s="9"/>
      <c r="BA890" s="9"/>
      <c r="BB890" s="9"/>
      <c r="BC890" s="9"/>
      <c r="BD890" s="9"/>
      <c r="BE890" s="9"/>
      <c r="BF890" s="9"/>
      <c r="BG890" s="9"/>
      <c r="BH890" s="9"/>
      <c r="BI890" s="9"/>
      <c r="BJ890" s="9"/>
      <c r="BK890" s="9"/>
      <c r="BL890" s="9"/>
    </row>
    <row r="891" ht="15.75" customHeight="1">
      <c r="U891" s="10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11"/>
      <c r="AM891" s="9"/>
      <c r="AN891" s="9"/>
      <c r="AO891" s="10"/>
      <c r="AP891" s="9"/>
      <c r="AQ891" s="9"/>
      <c r="AR891" s="9"/>
      <c r="AS891" s="9"/>
      <c r="AT891" s="9"/>
      <c r="AU891" s="9"/>
      <c r="AV891" s="9"/>
      <c r="AW891" s="9"/>
      <c r="AX891" s="9"/>
      <c r="AY891" s="9"/>
      <c r="AZ891" s="9"/>
      <c r="BA891" s="9"/>
      <c r="BB891" s="9"/>
      <c r="BC891" s="9"/>
      <c r="BD891" s="9"/>
      <c r="BE891" s="9"/>
      <c r="BF891" s="9"/>
      <c r="BG891" s="9"/>
      <c r="BH891" s="9"/>
      <c r="BI891" s="9"/>
      <c r="BJ891" s="9"/>
      <c r="BK891" s="9"/>
      <c r="BL891" s="9"/>
    </row>
    <row r="892" ht="15.75" customHeight="1">
      <c r="U892" s="10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11"/>
      <c r="AM892" s="9"/>
      <c r="AN892" s="9"/>
      <c r="AO892" s="10"/>
      <c r="AP892" s="9"/>
      <c r="AQ892" s="9"/>
      <c r="AR892" s="9"/>
      <c r="AS892" s="9"/>
      <c r="AT892" s="9"/>
      <c r="AU892" s="9"/>
      <c r="AV892" s="9"/>
      <c r="AW892" s="9"/>
      <c r="AX892" s="9"/>
      <c r="AY892" s="9"/>
      <c r="AZ892" s="9"/>
      <c r="BA892" s="9"/>
      <c r="BB892" s="9"/>
      <c r="BC892" s="9"/>
      <c r="BD892" s="9"/>
      <c r="BE892" s="9"/>
      <c r="BF892" s="9"/>
      <c r="BG892" s="9"/>
      <c r="BH892" s="9"/>
      <c r="BI892" s="9"/>
      <c r="BJ892" s="9"/>
      <c r="BK892" s="9"/>
      <c r="BL892" s="9"/>
    </row>
    <row r="893" ht="15.75" customHeight="1">
      <c r="U893" s="10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11"/>
      <c r="AM893" s="9"/>
      <c r="AN893" s="9"/>
      <c r="AO893" s="10"/>
      <c r="AP893" s="9"/>
      <c r="AQ893" s="9"/>
      <c r="AR893" s="9"/>
      <c r="AS893" s="9"/>
      <c r="AT893" s="9"/>
      <c r="AU893" s="9"/>
      <c r="AV893" s="9"/>
      <c r="AW893" s="9"/>
      <c r="AX893" s="9"/>
      <c r="AY893" s="9"/>
      <c r="AZ893" s="9"/>
      <c r="BA893" s="9"/>
      <c r="BB893" s="9"/>
      <c r="BC893" s="9"/>
      <c r="BD893" s="9"/>
      <c r="BE893" s="9"/>
      <c r="BF893" s="9"/>
      <c r="BG893" s="9"/>
      <c r="BH893" s="9"/>
      <c r="BI893" s="9"/>
      <c r="BJ893" s="9"/>
      <c r="BK893" s="9"/>
      <c r="BL893" s="9"/>
    </row>
    <row r="894" ht="15.75" customHeight="1">
      <c r="U894" s="10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11"/>
      <c r="AM894" s="9"/>
      <c r="AN894" s="9"/>
      <c r="AO894" s="10"/>
      <c r="AP894" s="9"/>
      <c r="AQ894" s="9"/>
      <c r="AR894" s="9"/>
      <c r="AS894" s="9"/>
      <c r="AT894" s="9"/>
      <c r="AU894" s="9"/>
      <c r="AV894" s="9"/>
      <c r="AW894" s="9"/>
      <c r="AX894" s="9"/>
      <c r="AY894" s="9"/>
      <c r="AZ894" s="9"/>
      <c r="BA894" s="9"/>
      <c r="BB894" s="9"/>
      <c r="BC894" s="9"/>
      <c r="BD894" s="9"/>
      <c r="BE894" s="9"/>
      <c r="BF894" s="9"/>
      <c r="BG894" s="9"/>
      <c r="BH894" s="9"/>
      <c r="BI894" s="9"/>
      <c r="BJ894" s="9"/>
      <c r="BK894" s="9"/>
      <c r="BL894" s="9"/>
    </row>
    <row r="895" ht="15.75" customHeight="1">
      <c r="U895" s="10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11"/>
      <c r="AM895" s="9"/>
      <c r="AN895" s="9"/>
      <c r="AO895" s="10"/>
      <c r="AP895" s="9"/>
      <c r="AQ895" s="9"/>
      <c r="AR895" s="9"/>
      <c r="AS895" s="9"/>
      <c r="AT895" s="9"/>
      <c r="AU895" s="9"/>
      <c r="AV895" s="9"/>
      <c r="AW895" s="9"/>
      <c r="AX895" s="9"/>
      <c r="AY895" s="9"/>
      <c r="AZ895" s="9"/>
      <c r="BA895" s="9"/>
      <c r="BB895" s="9"/>
      <c r="BC895" s="9"/>
      <c r="BD895" s="9"/>
      <c r="BE895" s="9"/>
      <c r="BF895" s="9"/>
      <c r="BG895" s="9"/>
      <c r="BH895" s="9"/>
      <c r="BI895" s="9"/>
      <c r="BJ895" s="9"/>
      <c r="BK895" s="9"/>
      <c r="BL895" s="9"/>
    </row>
    <row r="896" ht="15.75" customHeight="1">
      <c r="U896" s="10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11"/>
      <c r="AM896" s="9"/>
      <c r="AN896" s="9"/>
      <c r="AO896" s="10"/>
      <c r="AP896" s="9"/>
      <c r="AQ896" s="9"/>
      <c r="AR896" s="9"/>
      <c r="AS896" s="9"/>
      <c r="AT896" s="9"/>
      <c r="AU896" s="9"/>
      <c r="AV896" s="9"/>
      <c r="AW896" s="9"/>
      <c r="AX896" s="9"/>
      <c r="AY896" s="9"/>
      <c r="AZ896" s="9"/>
      <c r="BA896" s="9"/>
      <c r="BB896" s="9"/>
      <c r="BC896" s="9"/>
      <c r="BD896" s="9"/>
      <c r="BE896" s="9"/>
      <c r="BF896" s="9"/>
      <c r="BG896" s="9"/>
      <c r="BH896" s="9"/>
      <c r="BI896" s="9"/>
      <c r="BJ896" s="9"/>
      <c r="BK896" s="9"/>
      <c r="BL896" s="9"/>
    </row>
    <row r="897" ht="15.75" customHeight="1">
      <c r="U897" s="10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11"/>
      <c r="AM897" s="9"/>
      <c r="AN897" s="9"/>
      <c r="AO897" s="10"/>
      <c r="AP897" s="9"/>
      <c r="AQ897" s="9"/>
      <c r="AR897" s="9"/>
      <c r="AS897" s="9"/>
      <c r="AT897" s="9"/>
      <c r="AU897" s="9"/>
      <c r="AV897" s="9"/>
      <c r="AW897" s="9"/>
      <c r="AX897" s="9"/>
      <c r="AY897" s="9"/>
      <c r="AZ897" s="9"/>
      <c r="BA897" s="9"/>
      <c r="BB897" s="9"/>
      <c r="BC897" s="9"/>
      <c r="BD897" s="9"/>
      <c r="BE897" s="9"/>
      <c r="BF897" s="9"/>
      <c r="BG897" s="9"/>
      <c r="BH897" s="9"/>
      <c r="BI897" s="9"/>
      <c r="BJ897" s="9"/>
      <c r="BK897" s="9"/>
      <c r="BL897" s="9"/>
    </row>
    <row r="898" ht="15.75" customHeight="1">
      <c r="U898" s="10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11"/>
      <c r="AM898" s="9"/>
      <c r="AN898" s="9"/>
      <c r="AO898" s="10"/>
      <c r="AP898" s="9"/>
      <c r="AQ898" s="9"/>
      <c r="AR898" s="9"/>
      <c r="AS898" s="9"/>
      <c r="AT898" s="9"/>
      <c r="AU898" s="9"/>
      <c r="AV898" s="9"/>
      <c r="AW898" s="9"/>
      <c r="AX898" s="9"/>
      <c r="AY898" s="9"/>
      <c r="AZ898" s="9"/>
      <c r="BA898" s="9"/>
      <c r="BB898" s="9"/>
      <c r="BC898" s="9"/>
      <c r="BD898" s="9"/>
      <c r="BE898" s="9"/>
      <c r="BF898" s="9"/>
      <c r="BG898" s="9"/>
      <c r="BH898" s="9"/>
      <c r="BI898" s="9"/>
      <c r="BJ898" s="9"/>
      <c r="BK898" s="9"/>
      <c r="BL898" s="9"/>
    </row>
    <row r="899" ht="15.75" customHeight="1">
      <c r="U899" s="10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11"/>
      <c r="AM899" s="9"/>
      <c r="AN899" s="9"/>
      <c r="AO899" s="10"/>
      <c r="AP899" s="9"/>
      <c r="AQ899" s="9"/>
      <c r="AR899" s="9"/>
      <c r="AS899" s="9"/>
      <c r="AT899" s="9"/>
      <c r="AU899" s="9"/>
      <c r="AV899" s="9"/>
      <c r="AW899" s="9"/>
      <c r="AX899" s="9"/>
      <c r="AY899" s="9"/>
      <c r="AZ899" s="9"/>
      <c r="BA899" s="9"/>
      <c r="BB899" s="9"/>
      <c r="BC899" s="9"/>
      <c r="BD899" s="9"/>
      <c r="BE899" s="9"/>
      <c r="BF899" s="9"/>
      <c r="BG899" s="9"/>
      <c r="BH899" s="9"/>
      <c r="BI899" s="9"/>
      <c r="BJ899" s="9"/>
      <c r="BK899" s="9"/>
      <c r="BL899" s="9"/>
    </row>
    <row r="900" ht="15.75" customHeight="1">
      <c r="U900" s="10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11"/>
      <c r="AM900" s="9"/>
      <c r="AN900" s="9"/>
      <c r="AO900" s="10"/>
      <c r="AP900" s="9"/>
      <c r="AQ900" s="9"/>
      <c r="AR900" s="9"/>
      <c r="AS900" s="9"/>
      <c r="AT900" s="9"/>
      <c r="AU900" s="9"/>
      <c r="AV900" s="9"/>
      <c r="AW900" s="9"/>
      <c r="AX900" s="9"/>
      <c r="AY900" s="9"/>
      <c r="AZ900" s="9"/>
      <c r="BA900" s="9"/>
      <c r="BB900" s="9"/>
      <c r="BC900" s="9"/>
      <c r="BD900" s="9"/>
      <c r="BE900" s="9"/>
      <c r="BF900" s="9"/>
      <c r="BG900" s="9"/>
      <c r="BH900" s="9"/>
      <c r="BI900" s="9"/>
      <c r="BJ900" s="9"/>
      <c r="BK900" s="9"/>
      <c r="BL900" s="9"/>
    </row>
    <row r="901" ht="15.75" customHeight="1">
      <c r="U901" s="10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11"/>
      <c r="AM901" s="9"/>
      <c r="AN901" s="9"/>
      <c r="AO901" s="10"/>
      <c r="AP901" s="9"/>
      <c r="AQ901" s="9"/>
      <c r="AR901" s="9"/>
      <c r="AS901" s="9"/>
      <c r="AT901" s="9"/>
      <c r="AU901" s="9"/>
      <c r="AV901" s="9"/>
      <c r="AW901" s="9"/>
      <c r="AX901" s="9"/>
      <c r="AY901" s="9"/>
      <c r="AZ901" s="9"/>
      <c r="BA901" s="9"/>
      <c r="BB901" s="9"/>
      <c r="BC901" s="9"/>
      <c r="BD901" s="9"/>
      <c r="BE901" s="9"/>
      <c r="BF901" s="9"/>
      <c r="BG901" s="9"/>
      <c r="BH901" s="9"/>
      <c r="BI901" s="9"/>
      <c r="BJ901" s="9"/>
      <c r="BK901" s="9"/>
      <c r="BL901" s="9"/>
    </row>
    <row r="902" ht="15.75" customHeight="1">
      <c r="U902" s="10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11"/>
      <c r="AM902" s="9"/>
      <c r="AN902" s="9"/>
      <c r="AO902" s="10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9"/>
      <c r="BA902" s="9"/>
      <c r="BB902" s="9"/>
      <c r="BC902" s="9"/>
      <c r="BD902" s="9"/>
      <c r="BE902" s="9"/>
      <c r="BF902" s="9"/>
      <c r="BG902" s="9"/>
      <c r="BH902" s="9"/>
      <c r="BI902" s="9"/>
      <c r="BJ902" s="9"/>
      <c r="BK902" s="9"/>
      <c r="BL902" s="9"/>
    </row>
    <row r="903" ht="15.75" customHeight="1">
      <c r="U903" s="10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11"/>
      <c r="AM903" s="9"/>
      <c r="AN903" s="9"/>
      <c r="AO903" s="10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9"/>
      <c r="BA903" s="9"/>
      <c r="BB903" s="9"/>
      <c r="BC903" s="9"/>
      <c r="BD903" s="9"/>
      <c r="BE903" s="9"/>
      <c r="BF903" s="9"/>
      <c r="BG903" s="9"/>
      <c r="BH903" s="9"/>
      <c r="BI903" s="9"/>
      <c r="BJ903" s="9"/>
      <c r="BK903" s="9"/>
      <c r="BL903" s="9"/>
    </row>
    <row r="904" ht="15.75" customHeight="1">
      <c r="U904" s="10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11"/>
      <c r="AM904" s="9"/>
      <c r="AN904" s="9"/>
      <c r="AO904" s="10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9"/>
      <c r="BA904" s="9"/>
      <c r="BB904" s="9"/>
      <c r="BC904" s="9"/>
      <c r="BD904" s="9"/>
      <c r="BE904" s="9"/>
      <c r="BF904" s="9"/>
      <c r="BG904" s="9"/>
      <c r="BH904" s="9"/>
      <c r="BI904" s="9"/>
      <c r="BJ904" s="9"/>
      <c r="BK904" s="9"/>
      <c r="BL904" s="9"/>
    </row>
    <row r="905" ht="15.75" customHeight="1">
      <c r="U905" s="10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11"/>
      <c r="AM905" s="9"/>
      <c r="AN905" s="9"/>
      <c r="AO905" s="10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9"/>
      <c r="BA905" s="9"/>
      <c r="BB905" s="9"/>
      <c r="BC905" s="9"/>
      <c r="BD905" s="9"/>
      <c r="BE905" s="9"/>
      <c r="BF905" s="9"/>
      <c r="BG905" s="9"/>
      <c r="BH905" s="9"/>
      <c r="BI905" s="9"/>
      <c r="BJ905" s="9"/>
      <c r="BK905" s="9"/>
      <c r="BL905" s="9"/>
    </row>
    <row r="906" ht="15.75" customHeight="1">
      <c r="U906" s="10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11"/>
      <c r="AM906" s="9"/>
      <c r="AN906" s="9"/>
      <c r="AO906" s="10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9"/>
      <c r="BA906" s="9"/>
      <c r="BB906" s="9"/>
      <c r="BC906" s="9"/>
      <c r="BD906" s="9"/>
      <c r="BE906" s="9"/>
      <c r="BF906" s="9"/>
      <c r="BG906" s="9"/>
      <c r="BH906" s="9"/>
      <c r="BI906" s="9"/>
      <c r="BJ906" s="9"/>
      <c r="BK906" s="9"/>
      <c r="BL906" s="9"/>
    </row>
    <row r="907" ht="15.75" customHeight="1">
      <c r="U907" s="10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11"/>
      <c r="AM907" s="9"/>
      <c r="AN907" s="9"/>
      <c r="AO907" s="10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9"/>
      <c r="BA907" s="9"/>
      <c r="BB907" s="9"/>
      <c r="BC907" s="9"/>
      <c r="BD907" s="9"/>
      <c r="BE907" s="9"/>
      <c r="BF907" s="9"/>
      <c r="BG907" s="9"/>
      <c r="BH907" s="9"/>
      <c r="BI907" s="9"/>
      <c r="BJ907" s="9"/>
      <c r="BK907" s="9"/>
      <c r="BL907" s="9"/>
    </row>
    <row r="908" ht="15.75" customHeight="1">
      <c r="U908" s="10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11"/>
      <c r="AM908" s="9"/>
      <c r="AN908" s="9"/>
      <c r="AO908" s="10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9"/>
      <c r="BA908" s="9"/>
      <c r="BB908" s="9"/>
      <c r="BC908" s="9"/>
      <c r="BD908" s="9"/>
      <c r="BE908" s="9"/>
      <c r="BF908" s="9"/>
      <c r="BG908" s="9"/>
      <c r="BH908" s="9"/>
      <c r="BI908" s="9"/>
      <c r="BJ908" s="9"/>
      <c r="BK908" s="9"/>
      <c r="BL908" s="9"/>
    </row>
    <row r="909" ht="15.75" customHeight="1">
      <c r="U909" s="10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11"/>
      <c r="AM909" s="9"/>
      <c r="AN909" s="9"/>
      <c r="AO909" s="10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9"/>
      <c r="BA909" s="9"/>
      <c r="BB909" s="9"/>
      <c r="BC909" s="9"/>
      <c r="BD909" s="9"/>
      <c r="BE909" s="9"/>
      <c r="BF909" s="9"/>
      <c r="BG909" s="9"/>
      <c r="BH909" s="9"/>
      <c r="BI909" s="9"/>
      <c r="BJ909" s="9"/>
      <c r="BK909" s="9"/>
      <c r="BL909" s="9"/>
    </row>
    <row r="910" ht="15.75" customHeight="1">
      <c r="U910" s="10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11"/>
      <c r="AM910" s="9"/>
      <c r="AN910" s="9"/>
      <c r="AO910" s="10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9"/>
      <c r="BA910" s="9"/>
      <c r="BB910" s="9"/>
      <c r="BC910" s="9"/>
      <c r="BD910" s="9"/>
      <c r="BE910" s="9"/>
      <c r="BF910" s="9"/>
      <c r="BG910" s="9"/>
      <c r="BH910" s="9"/>
      <c r="BI910" s="9"/>
      <c r="BJ910" s="9"/>
      <c r="BK910" s="9"/>
      <c r="BL910" s="9"/>
    </row>
    <row r="911" ht="15.75" customHeight="1">
      <c r="U911" s="10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11"/>
      <c r="AM911" s="9"/>
      <c r="AN911" s="9"/>
      <c r="AO911" s="10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9"/>
      <c r="BA911" s="9"/>
      <c r="BB911" s="9"/>
      <c r="BC911" s="9"/>
      <c r="BD911" s="9"/>
      <c r="BE911" s="9"/>
      <c r="BF911" s="9"/>
      <c r="BG911" s="9"/>
      <c r="BH911" s="9"/>
      <c r="BI911" s="9"/>
      <c r="BJ911" s="9"/>
      <c r="BK911" s="9"/>
      <c r="BL911" s="9"/>
    </row>
    <row r="912" ht="15.75" customHeight="1">
      <c r="U912" s="10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11"/>
      <c r="AM912" s="9"/>
      <c r="AN912" s="9"/>
      <c r="AO912" s="10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9"/>
      <c r="BA912" s="9"/>
      <c r="BB912" s="9"/>
      <c r="BC912" s="9"/>
      <c r="BD912" s="9"/>
      <c r="BE912" s="9"/>
      <c r="BF912" s="9"/>
      <c r="BG912" s="9"/>
      <c r="BH912" s="9"/>
      <c r="BI912" s="9"/>
      <c r="BJ912" s="9"/>
      <c r="BK912" s="9"/>
      <c r="BL912" s="9"/>
    </row>
    <row r="913" ht="15.75" customHeight="1">
      <c r="U913" s="10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11"/>
      <c r="AM913" s="9"/>
      <c r="AN913" s="9"/>
      <c r="AO913" s="10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9"/>
      <c r="BA913" s="9"/>
      <c r="BB913" s="9"/>
      <c r="BC913" s="9"/>
      <c r="BD913" s="9"/>
      <c r="BE913" s="9"/>
      <c r="BF913" s="9"/>
      <c r="BG913" s="9"/>
      <c r="BH913" s="9"/>
      <c r="BI913" s="9"/>
      <c r="BJ913" s="9"/>
      <c r="BK913" s="9"/>
      <c r="BL913" s="9"/>
    </row>
    <row r="914" ht="15.75" customHeight="1">
      <c r="U914" s="10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11"/>
      <c r="AM914" s="9"/>
      <c r="AN914" s="9"/>
      <c r="AO914" s="10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9"/>
      <c r="BA914" s="9"/>
      <c r="BB914" s="9"/>
      <c r="BC914" s="9"/>
      <c r="BD914" s="9"/>
      <c r="BE914" s="9"/>
      <c r="BF914" s="9"/>
      <c r="BG914" s="9"/>
      <c r="BH914" s="9"/>
      <c r="BI914" s="9"/>
      <c r="BJ914" s="9"/>
      <c r="BK914" s="9"/>
      <c r="BL914" s="9"/>
    </row>
    <row r="915" ht="15.75" customHeight="1">
      <c r="U915" s="10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11"/>
      <c r="AM915" s="9"/>
      <c r="AN915" s="9"/>
      <c r="AO915" s="10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9"/>
      <c r="BA915" s="9"/>
      <c r="BB915" s="9"/>
      <c r="BC915" s="9"/>
      <c r="BD915" s="9"/>
      <c r="BE915" s="9"/>
      <c r="BF915" s="9"/>
      <c r="BG915" s="9"/>
      <c r="BH915" s="9"/>
      <c r="BI915" s="9"/>
      <c r="BJ915" s="9"/>
      <c r="BK915" s="9"/>
      <c r="BL915" s="9"/>
    </row>
    <row r="916" ht="15.75" customHeight="1">
      <c r="U916" s="10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11"/>
      <c r="AM916" s="9"/>
      <c r="AN916" s="9"/>
      <c r="AO916" s="10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9"/>
      <c r="BA916" s="9"/>
      <c r="BB916" s="9"/>
      <c r="BC916" s="9"/>
      <c r="BD916" s="9"/>
      <c r="BE916" s="9"/>
      <c r="BF916" s="9"/>
      <c r="BG916" s="9"/>
      <c r="BH916" s="9"/>
      <c r="BI916" s="9"/>
      <c r="BJ916" s="9"/>
      <c r="BK916" s="9"/>
      <c r="BL916" s="9"/>
    </row>
    <row r="917" ht="15.75" customHeight="1">
      <c r="U917" s="10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11"/>
      <c r="AM917" s="9"/>
      <c r="AN917" s="9"/>
      <c r="AO917" s="10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9"/>
      <c r="BA917" s="9"/>
      <c r="BB917" s="9"/>
      <c r="BC917" s="9"/>
      <c r="BD917" s="9"/>
      <c r="BE917" s="9"/>
      <c r="BF917" s="9"/>
      <c r="BG917" s="9"/>
      <c r="BH917" s="9"/>
      <c r="BI917" s="9"/>
      <c r="BJ917" s="9"/>
      <c r="BK917" s="9"/>
      <c r="BL917" s="9"/>
    </row>
    <row r="918" ht="15.75" customHeight="1">
      <c r="U918" s="10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11"/>
      <c r="AM918" s="9"/>
      <c r="AN918" s="9"/>
      <c r="AO918" s="10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9"/>
      <c r="BA918" s="9"/>
      <c r="BB918" s="9"/>
      <c r="BC918" s="9"/>
      <c r="BD918" s="9"/>
      <c r="BE918" s="9"/>
      <c r="BF918" s="9"/>
      <c r="BG918" s="9"/>
      <c r="BH918" s="9"/>
      <c r="BI918" s="9"/>
      <c r="BJ918" s="9"/>
      <c r="BK918" s="9"/>
      <c r="BL918" s="9"/>
    </row>
    <row r="919" ht="15.75" customHeight="1">
      <c r="U919" s="10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11"/>
      <c r="AM919" s="9"/>
      <c r="AN919" s="9"/>
      <c r="AO919" s="10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9"/>
      <c r="BA919" s="9"/>
      <c r="BB919" s="9"/>
      <c r="BC919" s="9"/>
      <c r="BD919" s="9"/>
      <c r="BE919" s="9"/>
      <c r="BF919" s="9"/>
      <c r="BG919" s="9"/>
      <c r="BH919" s="9"/>
      <c r="BI919" s="9"/>
      <c r="BJ919" s="9"/>
      <c r="BK919" s="9"/>
      <c r="BL919" s="9"/>
    </row>
    <row r="920" ht="15.75" customHeight="1">
      <c r="U920" s="10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11"/>
      <c r="AM920" s="9"/>
      <c r="AN920" s="9"/>
      <c r="AO920" s="10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9"/>
      <c r="BA920" s="9"/>
      <c r="BB920" s="9"/>
      <c r="BC920" s="9"/>
      <c r="BD920" s="9"/>
      <c r="BE920" s="9"/>
      <c r="BF920" s="9"/>
      <c r="BG920" s="9"/>
      <c r="BH920" s="9"/>
      <c r="BI920" s="9"/>
      <c r="BJ920" s="9"/>
      <c r="BK920" s="9"/>
      <c r="BL920" s="9"/>
    </row>
    <row r="921" ht="15.75" customHeight="1">
      <c r="U921" s="10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11"/>
      <c r="AM921" s="9"/>
      <c r="AN921" s="9"/>
      <c r="AO921" s="10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9"/>
      <c r="BA921" s="9"/>
      <c r="BB921" s="9"/>
      <c r="BC921" s="9"/>
      <c r="BD921" s="9"/>
      <c r="BE921" s="9"/>
      <c r="BF921" s="9"/>
      <c r="BG921" s="9"/>
      <c r="BH921" s="9"/>
      <c r="BI921" s="9"/>
      <c r="BJ921" s="9"/>
      <c r="BK921" s="9"/>
      <c r="BL921" s="9"/>
    </row>
    <row r="922" ht="15.75" customHeight="1">
      <c r="U922" s="10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11"/>
      <c r="AM922" s="9"/>
      <c r="AN922" s="9"/>
      <c r="AO922" s="10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9"/>
      <c r="BA922" s="9"/>
      <c r="BB922" s="9"/>
      <c r="BC922" s="9"/>
      <c r="BD922" s="9"/>
      <c r="BE922" s="9"/>
      <c r="BF922" s="9"/>
      <c r="BG922" s="9"/>
      <c r="BH922" s="9"/>
      <c r="BI922" s="9"/>
      <c r="BJ922" s="9"/>
      <c r="BK922" s="9"/>
      <c r="BL922" s="9"/>
    </row>
    <row r="923" ht="15.75" customHeight="1">
      <c r="U923" s="10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11"/>
      <c r="AM923" s="9"/>
      <c r="AN923" s="9"/>
      <c r="AO923" s="10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9"/>
      <c r="BA923" s="9"/>
      <c r="BB923" s="9"/>
      <c r="BC923" s="9"/>
      <c r="BD923" s="9"/>
      <c r="BE923" s="9"/>
      <c r="BF923" s="9"/>
      <c r="BG923" s="9"/>
      <c r="BH923" s="9"/>
      <c r="BI923" s="9"/>
      <c r="BJ923" s="9"/>
      <c r="BK923" s="9"/>
      <c r="BL923" s="9"/>
    </row>
    <row r="924" ht="15.75" customHeight="1">
      <c r="U924" s="10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11"/>
      <c r="AM924" s="9"/>
      <c r="AN924" s="9"/>
      <c r="AO924" s="10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9"/>
      <c r="BA924" s="9"/>
      <c r="BB924" s="9"/>
      <c r="BC924" s="9"/>
      <c r="BD924" s="9"/>
      <c r="BE924" s="9"/>
      <c r="BF924" s="9"/>
      <c r="BG924" s="9"/>
      <c r="BH924" s="9"/>
      <c r="BI924" s="9"/>
      <c r="BJ924" s="9"/>
      <c r="BK924" s="9"/>
      <c r="BL924" s="9"/>
    </row>
    <row r="925" ht="15.75" customHeight="1">
      <c r="U925" s="10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11"/>
      <c r="AM925" s="9"/>
      <c r="AN925" s="9"/>
      <c r="AO925" s="10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9"/>
      <c r="BA925" s="9"/>
      <c r="BB925" s="9"/>
      <c r="BC925" s="9"/>
      <c r="BD925" s="9"/>
      <c r="BE925" s="9"/>
      <c r="BF925" s="9"/>
      <c r="BG925" s="9"/>
      <c r="BH925" s="9"/>
      <c r="BI925" s="9"/>
      <c r="BJ925" s="9"/>
      <c r="BK925" s="9"/>
      <c r="BL925" s="9"/>
    </row>
    <row r="926" ht="15.75" customHeight="1">
      <c r="U926" s="10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11"/>
      <c r="AM926" s="9"/>
      <c r="AN926" s="9"/>
      <c r="AO926" s="10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9"/>
      <c r="BA926" s="9"/>
      <c r="BB926" s="9"/>
      <c r="BC926" s="9"/>
      <c r="BD926" s="9"/>
      <c r="BE926" s="9"/>
      <c r="BF926" s="9"/>
      <c r="BG926" s="9"/>
      <c r="BH926" s="9"/>
      <c r="BI926" s="9"/>
      <c r="BJ926" s="9"/>
      <c r="BK926" s="9"/>
      <c r="BL926" s="9"/>
    </row>
    <row r="927" ht="15.75" customHeight="1">
      <c r="U927" s="10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11"/>
      <c r="AM927" s="9"/>
      <c r="AN927" s="9"/>
      <c r="AO927" s="10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9"/>
      <c r="BA927" s="9"/>
      <c r="BB927" s="9"/>
      <c r="BC927" s="9"/>
      <c r="BD927" s="9"/>
      <c r="BE927" s="9"/>
      <c r="BF927" s="9"/>
      <c r="BG927" s="9"/>
      <c r="BH927" s="9"/>
      <c r="BI927" s="9"/>
      <c r="BJ927" s="9"/>
      <c r="BK927" s="9"/>
      <c r="BL927" s="9"/>
    </row>
    <row r="928" ht="15.75" customHeight="1">
      <c r="U928" s="10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11"/>
      <c r="AM928" s="9"/>
      <c r="AN928" s="9"/>
      <c r="AO928" s="10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9"/>
      <c r="BA928" s="9"/>
      <c r="BB928" s="9"/>
      <c r="BC928" s="9"/>
      <c r="BD928" s="9"/>
      <c r="BE928" s="9"/>
      <c r="BF928" s="9"/>
      <c r="BG928" s="9"/>
      <c r="BH928" s="9"/>
      <c r="BI928" s="9"/>
      <c r="BJ928" s="9"/>
      <c r="BK928" s="9"/>
      <c r="BL928" s="9"/>
    </row>
    <row r="929" ht="15.75" customHeight="1">
      <c r="U929" s="10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11"/>
      <c r="AM929" s="9"/>
      <c r="AN929" s="9"/>
      <c r="AO929" s="10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9"/>
      <c r="BA929" s="9"/>
      <c r="BB929" s="9"/>
      <c r="BC929" s="9"/>
      <c r="BD929" s="9"/>
      <c r="BE929" s="9"/>
      <c r="BF929" s="9"/>
      <c r="BG929" s="9"/>
      <c r="BH929" s="9"/>
      <c r="BI929" s="9"/>
      <c r="BJ929" s="9"/>
      <c r="BK929" s="9"/>
      <c r="BL929" s="9"/>
    </row>
    <row r="930" ht="15.75" customHeight="1">
      <c r="U930" s="10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11"/>
      <c r="AM930" s="9"/>
      <c r="AN930" s="9"/>
      <c r="AO930" s="10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9"/>
      <c r="BA930" s="9"/>
      <c r="BB930" s="9"/>
      <c r="BC930" s="9"/>
      <c r="BD930" s="9"/>
      <c r="BE930" s="9"/>
      <c r="BF930" s="9"/>
      <c r="BG930" s="9"/>
      <c r="BH930" s="9"/>
      <c r="BI930" s="9"/>
      <c r="BJ930" s="9"/>
      <c r="BK930" s="9"/>
      <c r="BL930" s="9"/>
    </row>
    <row r="931" ht="15.75" customHeight="1">
      <c r="U931" s="10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11"/>
      <c r="AM931" s="9"/>
      <c r="AN931" s="9"/>
      <c r="AO931" s="10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9"/>
      <c r="BA931" s="9"/>
      <c r="BB931" s="9"/>
      <c r="BC931" s="9"/>
      <c r="BD931" s="9"/>
      <c r="BE931" s="9"/>
      <c r="BF931" s="9"/>
      <c r="BG931" s="9"/>
      <c r="BH931" s="9"/>
      <c r="BI931" s="9"/>
      <c r="BJ931" s="9"/>
      <c r="BK931" s="9"/>
      <c r="BL931" s="9"/>
    </row>
    <row r="932" ht="15.75" customHeight="1">
      <c r="U932" s="10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11"/>
      <c r="AM932" s="9"/>
      <c r="AN932" s="9"/>
      <c r="AO932" s="10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9"/>
      <c r="BA932" s="9"/>
      <c r="BB932" s="9"/>
      <c r="BC932" s="9"/>
      <c r="BD932" s="9"/>
      <c r="BE932" s="9"/>
      <c r="BF932" s="9"/>
      <c r="BG932" s="9"/>
      <c r="BH932" s="9"/>
      <c r="BI932" s="9"/>
      <c r="BJ932" s="9"/>
      <c r="BK932" s="9"/>
      <c r="BL932" s="9"/>
    </row>
    <row r="933" ht="15.75" customHeight="1">
      <c r="U933" s="10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11"/>
      <c r="AM933" s="9"/>
      <c r="AN933" s="9"/>
      <c r="AO933" s="10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9"/>
      <c r="BA933" s="9"/>
      <c r="BB933" s="9"/>
      <c r="BC933" s="9"/>
      <c r="BD933" s="9"/>
      <c r="BE933" s="9"/>
      <c r="BF933" s="9"/>
      <c r="BG933" s="9"/>
      <c r="BH933" s="9"/>
      <c r="BI933" s="9"/>
      <c r="BJ933" s="9"/>
      <c r="BK933" s="9"/>
      <c r="BL933" s="9"/>
    </row>
    <row r="934" ht="15.75" customHeight="1">
      <c r="U934" s="10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11"/>
      <c r="AM934" s="9"/>
      <c r="AN934" s="9"/>
      <c r="AO934" s="10"/>
      <c r="AP934" s="9"/>
      <c r="AQ934" s="9"/>
      <c r="AR934" s="9"/>
      <c r="AS934" s="9"/>
      <c r="AT934" s="9"/>
      <c r="AU934" s="9"/>
      <c r="AV934" s="9"/>
      <c r="AW934" s="9"/>
      <c r="AX934" s="9"/>
      <c r="AY934" s="9"/>
      <c r="AZ934" s="9"/>
      <c r="BA934" s="9"/>
      <c r="BB934" s="9"/>
      <c r="BC934" s="9"/>
      <c r="BD934" s="9"/>
      <c r="BE934" s="9"/>
      <c r="BF934" s="9"/>
      <c r="BG934" s="9"/>
      <c r="BH934" s="9"/>
      <c r="BI934" s="9"/>
      <c r="BJ934" s="9"/>
      <c r="BK934" s="9"/>
      <c r="BL934" s="9"/>
    </row>
    <row r="935" ht="15.75" customHeight="1">
      <c r="U935" s="10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11"/>
      <c r="AM935" s="9"/>
      <c r="AN935" s="9"/>
      <c r="AO935" s="10"/>
      <c r="AP935" s="9"/>
      <c r="AQ935" s="9"/>
      <c r="AR935" s="9"/>
      <c r="AS935" s="9"/>
      <c r="AT935" s="9"/>
      <c r="AU935" s="9"/>
      <c r="AV935" s="9"/>
      <c r="AW935" s="9"/>
      <c r="AX935" s="9"/>
      <c r="AY935" s="9"/>
      <c r="AZ935" s="9"/>
      <c r="BA935" s="9"/>
      <c r="BB935" s="9"/>
      <c r="BC935" s="9"/>
      <c r="BD935" s="9"/>
      <c r="BE935" s="9"/>
      <c r="BF935" s="9"/>
      <c r="BG935" s="9"/>
      <c r="BH935" s="9"/>
      <c r="BI935" s="9"/>
      <c r="BJ935" s="9"/>
      <c r="BK935" s="9"/>
      <c r="BL935" s="9"/>
    </row>
    <row r="936" ht="15.75" customHeight="1">
      <c r="U936" s="10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11"/>
      <c r="AM936" s="9"/>
      <c r="AN936" s="9"/>
      <c r="AO936" s="10"/>
      <c r="AP936" s="9"/>
      <c r="AQ936" s="9"/>
      <c r="AR936" s="9"/>
      <c r="AS936" s="9"/>
      <c r="AT936" s="9"/>
      <c r="AU936" s="9"/>
      <c r="AV936" s="9"/>
      <c r="AW936" s="9"/>
      <c r="AX936" s="9"/>
      <c r="AY936" s="9"/>
      <c r="AZ936" s="9"/>
      <c r="BA936" s="9"/>
      <c r="BB936" s="9"/>
      <c r="BC936" s="9"/>
      <c r="BD936" s="9"/>
      <c r="BE936" s="9"/>
      <c r="BF936" s="9"/>
      <c r="BG936" s="9"/>
      <c r="BH936" s="9"/>
      <c r="BI936" s="9"/>
      <c r="BJ936" s="9"/>
      <c r="BK936" s="9"/>
      <c r="BL936" s="9"/>
    </row>
    <row r="937" ht="15.75" customHeight="1">
      <c r="U937" s="10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11"/>
      <c r="AM937" s="9"/>
      <c r="AN937" s="9"/>
      <c r="AO937" s="10"/>
      <c r="AP937" s="9"/>
      <c r="AQ937" s="9"/>
      <c r="AR937" s="9"/>
      <c r="AS937" s="9"/>
      <c r="AT937" s="9"/>
      <c r="AU937" s="9"/>
      <c r="AV937" s="9"/>
      <c r="AW937" s="9"/>
      <c r="AX937" s="9"/>
      <c r="AY937" s="9"/>
      <c r="AZ937" s="9"/>
      <c r="BA937" s="9"/>
      <c r="BB937" s="9"/>
      <c r="BC937" s="9"/>
      <c r="BD937" s="9"/>
      <c r="BE937" s="9"/>
      <c r="BF937" s="9"/>
      <c r="BG937" s="9"/>
      <c r="BH937" s="9"/>
      <c r="BI937" s="9"/>
      <c r="BJ937" s="9"/>
      <c r="BK937" s="9"/>
      <c r="BL937" s="9"/>
    </row>
    <row r="938" ht="15.75" customHeight="1">
      <c r="U938" s="10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11"/>
      <c r="AM938" s="9"/>
      <c r="AN938" s="9"/>
      <c r="AO938" s="10"/>
      <c r="AP938" s="9"/>
      <c r="AQ938" s="9"/>
      <c r="AR938" s="9"/>
      <c r="AS938" s="9"/>
      <c r="AT938" s="9"/>
      <c r="AU938" s="9"/>
      <c r="AV938" s="9"/>
      <c r="AW938" s="9"/>
      <c r="AX938" s="9"/>
      <c r="AY938" s="9"/>
      <c r="AZ938" s="9"/>
      <c r="BA938" s="9"/>
      <c r="BB938" s="9"/>
      <c r="BC938" s="9"/>
      <c r="BD938" s="9"/>
      <c r="BE938" s="9"/>
      <c r="BF938" s="9"/>
      <c r="BG938" s="9"/>
      <c r="BH938" s="9"/>
      <c r="BI938" s="9"/>
      <c r="BJ938" s="9"/>
      <c r="BK938" s="9"/>
      <c r="BL938" s="9"/>
    </row>
    <row r="939" ht="15.75" customHeight="1">
      <c r="U939" s="10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11"/>
      <c r="AM939" s="9"/>
      <c r="AN939" s="9"/>
      <c r="AO939" s="10"/>
      <c r="AP939" s="9"/>
      <c r="AQ939" s="9"/>
      <c r="AR939" s="9"/>
      <c r="AS939" s="9"/>
      <c r="AT939" s="9"/>
      <c r="AU939" s="9"/>
      <c r="AV939" s="9"/>
      <c r="AW939" s="9"/>
      <c r="AX939" s="9"/>
      <c r="AY939" s="9"/>
      <c r="AZ939" s="9"/>
      <c r="BA939" s="9"/>
      <c r="BB939" s="9"/>
      <c r="BC939" s="9"/>
      <c r="BD939" s="9"/>
      <c r="BE939" s="9"/>
      <c r="BF939" s="9"/>
      <c r="BG939" s="9"/>
      <c r="BH939" s="9"/>
      <c r="BI939" s="9"/>
      <c r="BJ939" s="9"/>
      <c r="BK939" s="9"/>
      <c r="BL939" s="9"/>
    </row>
    <row r="940" ht="15.75" customHeight="1">
      <c r="U940" s="10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11"/>
      <c r="AM940" s="9"/>
      <c r="AN940" s="9"/>
      <c r="AO940" s="10"/>
      <c r="AP940" s="9"/>
      <c r="AQ940" s="9"/>
      <c r="AR940" s="9"/>
      <c r="AS940" s="9"/>
      <c r="AT940" s="9"/>
      <c r="AU940" s="9"/>
      <c r="AV940" s="9"/>
      <c r="AW940" s="9"/>
      <c r="AX940" s="9"/>
      <c r="AY940" s="9"/>
      <c r="AZ940" s="9"/>
      <c r="BA940" s="9"/>
      <c r="BB940" s="9"/>
      <c r="BC940" s="9"/>
      <c r="BD940" s="9"/>
      <c r="BE940" s="9"/>
      <c r="BF940" s="9"/>
      <c r="BG940" s="9"/>
      <c r="BH940" s="9"/>
      <c r="BI940" s="9"/>
      <c r="BJ940" s="9"/>
      <c r="BK940" s="9"/>
      <c r="BL940" s="9"/>
    </row>
    <row r="941" ht="15.75" customHeight="1">
      <c r="U941" s="10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11"/>
      <c r="AM941" s="9"/>
      <c r="AN941" s="9"/>
      <c r="AO941" s="10"/>
      <c r="AP941" s="9"/>
      <c r="AQ941" s="9"/>
      <c r="AR941" s="9"/>
      <c r="AS941" s="9"/>
      <c r="AT941" s="9"/>
      <c r="AU941" s="9"/>
      <c r="AV941" s="9"/>
      <c r="AW941" s="9"/>
      <c r="AX941" s="9"/>
      <c r="AY941" s="9"/>
      <c r="AZ941" s="9"/>
      <c r="BA941" s="9"/>
      <c r="BB941" s="9"/>
      <c r="BC941" s="9"/>
      <c r="BD941" s="9"/>
      <c r="BE941" s="9"/>
      <c r="BF941" s="9"/>
      <c r="BG941" s="9"/>
      <c r="BH941" s="9"/>
      <c r="BI941" s="9"/>
      <c r="BJ941" s="9"/>
      <c r="BK941" s="9"/>
      <c r="BL941" s="9"/>
    </row>
    <row r="942" ht="15.75" customHeight="1">
      <c r="U942" s="10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11"/>
      <c r="AM942" s="9"/>
      <c r="AN942" s="9"/>
      <c r="AO942" s="10"/>
      <c r="AP942" s="9"/>
      <c r="AQ942" s="9"/>
      <c r="AR942" s="9"/>
      <c r="AS942" s="9"/>
      <c r="AT942" s="9"/>
      <c r="AU942" s="9"/>
      <c r="AV942" s="9"/>
      <c r="AW942" s="9"/>
      <c r="AX942" s="9"/>
      <c r="AY942" s="9"/>
      <c r="AZ942" s="9"/>
      <c r="BA942" s="9"/>
      <c r="BB942" s="9"/>
      <c r="BC942" s="9"/>
      <c r="BD942" s="9"/>
      <c r="BE942" s="9"/>
      <c r="BF942" s="9"/>
      <c r="BG942" s="9"/>
      <c r="BH942" s="9"/>
      <c r="BI942" s="9"/>
      <c r="BJ942" s="9"/>
      <c r="BK942" s="9"/>
      <c r="BL942" s="9"/>
    </row>
    <row r="943" ht="15.75" customHeight="1">
      <c r="U943" s="10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11"/>
      <c r="AM943" s="9"/>
      <c r="AN943" s="9"/>
      <c r="AO943" s="10"/>
      <c r="AP943" s="9"/>
      <c r="AQ943" s="9"/>
      <c r="AR943" s="9"/>
      <c r="AS943" s="9"/>
      <c r="AT943" s="9"/>
      <c r="AU943" s="9"/>
      <c r="AV943" s="9"/>
      <c r="AW943" s="9"/>
      <c r="AX943" s="9"/>
      <c r="AY943" s="9"/>
      <c r="AZ943" s="9"/>
      <c r="BA943" s="9"/>
      <c r="BB943" s="9"/>
      <c r="BC943" s="9"/>
      <c r="BD943" s="9"/>
      <c r="BE943" s="9"/>
      <c r="BF943" s="9"/>
      <c r="BG943" s="9"/>
      <c r="BH943" s="9"/>
      <c r="BI943" s="9"/>
      <c r="BJ943" s="9"/>
      <c r="BK943" s="9"/>
      <c r="BL943" s="9"/>
    </row>
    <row r="944" ht="15.75" customHeight="1">
      <c r="U944" s="10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11"/>
      <c r="AM944" s="9"/>
      <c r="AN944" s="9"/>
      <c r="AO944" s="10"/>
      <c r="AP944" s="9"/>
      <c r="AQ944" s="9"/>
      <c r="AR944" s="9"/>
      <c r="AS944" s="9"/>
      <c r="AT944" s="9"/>
      <c r="AU944" s="9"/>
      <c r="AV944" s="9"/>
      <c r="AW944" s="9"/>
      <c r="AX944" s="9"/>
      <c r="AY944" s="9"/>
      <c r="AZ944" s="9"/>
      <c r="BA944" s="9"/>
      <c r="BB944" s="9"/>
      <c r="BC944" s="9"/>
      <c r="BD944" s="9"/>
      <c r="BE944" s="9"/>
      <c r="BF944" s="9"/>
      <c r="BG944" s="9"/>
      <c r="BH944" s="9"/>
      <c r="BI944" s="9"/>
      <c r="BJ944" s="9"/>
      <c r="BK944" s="9"/>
      <c r="BL944" s="9"/>
    </row>
    <row r="945" ht="15.75" customHeight="1">
      <c r="U945" s="10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11"/>
      <c r="AM945" s="9"/>
      <c r="AN945" s="9"/>
      <c r="AO945" s="10"/>
      <c r="AP945" s="9"/>
      <c r="AQ945" s="9"/>
      <c r="AR945" s="9"/>
      <c r="AS945" s="9"/>
      <c r="AT945" s="9"/>
      <c r="AU945" s="9"/>
      <c r="AV945" s="9"/>
      <c r="AW945" s="9"/>
      <c r="AX945" s="9"/>
      <c r="AY945" s="9"/>
      <c r="AZ945" s="9"/>
      <c r="BA945" s="9"/>
      <c r="BB945" s="9"/>
      <c r="BC945" s="9"/>
      <c r="BD945" s="9"/>
      <c r="BE945" s="9"/>
      <c r="BF945" s="9"/>
      <c r="BG945" s="9"/>
      <c r="BH945" s="9"/>
      <c r="BI945" s="9"/>
      <c r="BJ945" s="9"/>
      <c r="BK945" s="9"/>
      <c r="BL945" s="9"/>
    </row>
    <row r="946" ht="15.75" customHeight="1">
      <c r="U946" s="10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11"/>
      <c r="AM946" s="9"/>
      <c r="AN946" s="9"/>
      <c r="AO946" s="10"/>
      <c r="AP946" s="9"/>
      <c r="AQ946" s="9"/>
      <c r="AR946" s="9"/>
      <c r="AS946" s="9"/>
      <c r="AT946" s="9"/>
      <c r="AU946" s="9"/>
      <c r="AV946" s="9"/>
      <c r="AW946" s="9"/>
      <c r="AX946" s="9"/>
      <c r="AY946" s="9"/>
      <c r="AZ946" s="9"/>
      <c r="BA946" s="9"/>
      <c r="BB946" s="9"/>
      <c r="BC946" s="9"/>
      <c r="BD946" s="9"/>
      <c r="BE946" s="9"/>
      <c r="BF946" s="9"/>
      <c r="BG946" s="9"/>
      <c r="BH946" s="9"/>
      <c r="BI946" s="9"/>
      <c r="BJ946" s="9"/>
      <c r="BK946" s="9"/>
      <c r="BL946" s="9"/>
    </row>
    <row r="947" ht="15.75" customHeight="1">
      <c r="U947" s="10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11"/>
      <c r="AM947" s="9"/>
      <c r="AN947" s="9"/>
      <c r="AO947" s="10"/>
      <c r="AP947" s="9"/>
      <c r="AQ947" s="9"/>
      <c r="AR947" s="9"/>
      <c r="AS947" s="9"/>
      <c r="AT947" s="9"/>
      <c r="AU947" s="9"/>
      <c r="AV947" s="9"/>
      <c r="AW947" s="9"/>
      <c r="AX947" s="9"/>
      <c r="AY947" s="9"/>
      <c r="AZ947" s="9"/>
      <c r="BA947" s="9"/>
      <c r="BB947" s="9"/>
      <c r="BC947" s="9"/>
      <c r="BD947" s="9"/>
      <c r="BE947" s="9"/>
      <c r="BF947" s="9"/>
      <c r="BG947" s="9"/>
      <c r="BH947" s="9"/>
      <c r="BI947" s="9"/>
      <c r="BJ947" s="9"/>
      <c r="BK947" s="9"/>
      <c r="BL947" s="9"/>
    </row>
    <row r="948" ht="15.75" customHeight="1">
      <c r="U948" s="10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11"/>
      <c r="AM948" s="9"/>
      <c r="AN948" s="9"/>
      <c r="AO948" s="10"/>
      <c r="AP948" s="9"/>
      <c r="AQ948" s="9"/>
      <c r="AR948" s="9"/>
      <c r="AS948" s="9"/>
      <c r="AT948" s="9"/>
      <c r="AU948" s="9"/>
      <c r="AV948" s="9"/>
      <c r="AW948" s="9"/>
      <c r="AX948" s="9"/>
      <c r="AY948" s="9"/>
      <c r="AZ948" s="9"/>
      <c r="BA948" s="9"/>
      <c r="BB948" s="9"/>
      <c r="BC948" s="9"/>
      <c r="BD948" s="9"/>
      <c r="BE948" s="9"/>
      <c r="BF948" s="9"/>
      <c r="BG948" s="9"/>
      <c r="BH948" s="9"/>
      <c r="BI948" s="9"/>
      <c r="BJ948" s="9"/>
      <c r="BK948" s="9"/>
      <c r="BL948" s="9"/>
    </row>
    <row r="949" ht="15.75" customHeight="1">
      <c r="U949" s="10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11"/>
      <c r="AM949" s="9"/>
      <c r="AN949" s="9"/>
      <c r="AO949" s="10"/>
      <c r="AP949" s="9"/>
      <c r="AQ949" s="9"/>
      <c r="AR949" s="9"/>
      <c r="AS949" s="9"/>
      <c r="AT949" s="9"/>
      <c r="AU949" s="9"/>
      <c r="AV949" s="9"/>
      <c r="AW949" s="9"/>
      <c r="AX949" s="9"/>
      <c r="AY949" s="9"/>
      <c r="AZ949" s="9"/>
      <c r="BA949" s="9"/>
      <c r="BB949" s="9"/>
      <c r="BC949" s="9"/>
      <c r="BD949" s="9"/>
      <c r="BE949" s="9"/>
      <c r="BF949" s="9"/>
      <c r="BG949" s="9"/>
      <c r="BH949" s="9"/>
      <c r="BI949" s="9"/>
      <c r="BJ949" s="9"/>
      <c r="BK949" s="9"/>
      <c r="BL949" s="9"/>
    </row>
    <row r="950" ht="15.75" customHeight="1">
      <c r="U950" s="10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11"/>
      <c r="AM950" s="9"/>
      <c r="AN950" s="9"/>
      <c r="AO950" s="10"/>
      <c r="AP950" s="9"/>
      <c r="AQ950" s="9"/>
      <c r="AR950" s="9"/>
      <c r="AS950" s="9"/>
      <c r="AT950" s="9"/>
      <c r="AU950" s="9"/>
      <c r="AV950" s="9"/>
      <c r="AW950" s="9"/>
      <c r="AX950" s="9"/>
      <c r="AY950" s="9"/>
      <c r="AZ950" s="9"/>
      <c r="BA950" s="9"/>
      <c r="BB950" s="9"/>
      <c r="BC950" s="9"/>
      <c r="BD950" s="9"/>
      <c r="BE950" s="9"/>
      <c r="BF950" s="9"/>
      <c r="BG950" s="9"/>
      <c r="BH950" s="9"/>
      <c r="BI950" s="9"/>
      <c r="BJ950" s="9"/>
      <c r="BK950" s="9"/>
      <c r="BL950" s="9"/>
    </row>
    <row r="951" ht="15.75" customHeight="1">
      <c r="U951" s="10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11"/>
      <c r="AM951" s="9"/>
      <c r="AN951" s="9"/>
      <c r="AO951" s="10"/>
      <c r="AP951" s="9"/>
      <c r="AQ951" s="9"/>
      <c r="AR951" s="9"/>
      <c r="AS951" s="9"/>
      <c r="AT951" s="9"/>
      <c r="AU951" s="9"/>
      <c r="AV951" s="9"/>
      <c r="AW951" s="9"/>
      <c r="AX951" s="9"/>
      <c r="AY951" s="9"/>
      <c r="AZ951" s="9"/>
      <c r="BA951" s="9"/>
      <c r="BB951" s="9"/>
      <c r="BC951" s="9"/>
      <c r="BD951" s="9"/>
      <c r="BE951" s="9"/>
      <c r="BF951" s="9"/>
      <c r="BG951" s="9"/>
      <c r="BH951" s="9"/>
      <c r="BI951" s="9"/>
      <c r="BJ951" s="9"/>
      <c r="BK951" s="9"/>
      <c r="BL951" s="9"/>
    </row>
    <row r="952" ht="15.75" customHeight="1">
      <c r="U952" s="10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11"/>
      <c r="AM952" s="9"/>
      <c r="AN952" s="9"/>
      <c r="AO952" s="10"/>
      <c r="AP952" s="9"/>
      <c r="AQ952" s="9"/>
      <c r="AR952" s="9"/>
      <c r="AS952" s="9"/>
      <c r="AT952" s="9"/>
      <c r="AU952" s="9"/>
      <c r="AV952" s="9"/>
      <c r="AW952" s="9"/>
      <c r="AX952" s="9"/>
      <c r="AY952" s="9"/>
      <c r="AZ952" s="9"/>
      <c r="BA952" s="9"/>
      <c r="BB952" s="9"/>
      <c r="BC952" s="9"/>
      <c r="BD952" s="9"/>
      <c r="BE952" s="9"/>
      <c r="BF952" s="9"/>
      <c r="BG952" s="9"/>
      <c r="BH952" s="9"/>
      <c r="BI952" s="9"/>
      <c r="BJ952" s="9"/>
      <c r="BK952" s="9"/>
      <c r="BL952" s="9"/>
    </row>
    <row r="953" ht="15.75" customHeight="1">
      <c r="U953" s="10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11"/>
      <c r="AM953" s="9"/>
      <c r="AN953" s="9"/>
      <c r="AO953" s="10"/>
      <c r="AP953" s="9"/>
      <c r="AQ953" s="9"/>
      <c r="AR953" s="9"/>
      <c r="AS953" s="9"/>
      <c r="AT953" s="9"/>
      <c r="AU953" s="9"/>
      <c r="AV953" s="9"/>
      <c r="AW953" s="9"/>
      <c r="AX953" s="9"/>
      <c r="AY953" s="9"/>
      <c r="AZ953" s="9"/>
      <c r="BA953" s="9"/>
      <c r="BB953" s="9"/>
      <c r="BC953" s="9"/>
      <c r="BD953" s="9"/>
      <c r="BE953" s="9"/>
      <c r="BF953" s="9"/>
      <c r="BG953" s="9"/>
      <c r="BH953" s="9"/>
      <c r="BI953" s="9"/>
      <c r="BJ953" s="9"/>
      <c r="BK953" s="9"/>
      <c r="BL953" s="9"/>
    </row>
    <row r="954" ht="15.75" customHeight="1">
      <c r="U954" s="10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11"/>
      <c r="AM954" s="9"/>
      <c r="AN954" s="9"/>
      <c r="AO954" s="10"/>
      <c r="AP954" s="9"/>
      <c r="AQ954" s="9"/>
      <c r="AR954" s="9"/>
      <c r="AS954" s="9"/>
      <c r="AT954" s="9"/>
      <c r="AU954" s="9"/>
      <c r="AV954" s="9"/>
      <c r="AW954" s="9"/>
      <c r="AX954" s="9"/>
      <c r="AY954" s="9"/>
      <c r="AZ954" s="9"/>
      <c r="BA954" s="9"/>
      <c r="BB954" s="9"/>
      <c r="BC954" s="9"/>
      <c r="BD954" s="9"/>
      <c r="BE954" s="9"/>
      <c r="BF954" s="9"/>
      <c r="BG954" s="9"/>
      <c r="BH954" s="9"/>
      <c r="BI954" s="9"/>
      <c r="BJ954" s="9"/>
      <c r="BK954" s="9"/>
      <c r="BL954" s="9"/>
    </row>
    <row r="955" ht="15.75" customHeight="1">
      <c r="U955" s="10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11"/>
      <c r="AM955" s="9"/>
      <c r="AN955" s="9"/>
      <c r="AO955" s="10"/>
      <c r="AP955" s="9"/>
      <c r="AQ955" s="9"/>
      <c r="AR955" s="9"/>
      <c r="AS955" s="9"/>
      <c r="AT955" s="9"/>
      <c r="AU955" s="9"/>
      <c r="AV955" s="9"/>
      <c r="AW955" s="9"/>
      <c r="AX955" s="9"/>
      <c r="AY955" s="9"/>
      <c r="AZ955" s="9"/>
      <c r="BA955" s="9"/>
      <c r="BB955" s="9"/>
      <c r="BC955" s="9"/>
      <c r="BD955" s="9"/>
      <c r="BE955" s="9"/>
      <c r="BF955" s="9"/>
      <c r="BG955" s="9"/>
      <c r="BH955" s="9"/>
      <c r="BI955" s="9"/>
      <c r="BJ955" s="9"/>
      <c r="BK955" s="9"/>
      <c r="BL955" s="9"/>
    </row>
    <row r="956" ht="15.75" customHeight="1">
      <c r="U956" s="10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11"/>
      <c r="AM956" s="9"/>
      <c r="AN956" s="9"/>
      <c r="AO956" s="10"/>
      <c r="AP956" s="9"/>
      <c r="AQ956" s="9"/>
      <c r="AR956" s="9"/>
      <c r="AS956" s="9"/>
      <c r="AT956" s="9"/>
      <c r="AU956" s="9"/>
      <c r="AV956" s="9"/>
      <c r="AW956" s="9"/>
      <c r="AX956" s="9"/>
      <c r="AY956" s="9"/>
      <c r="AZ956" s="9"/>
      <c r="BA956" s="9"/>
      <c r="BB956" s="9"/>
      <c r="BC956" s="9"/>
      <c r="BD956" s="9"/>
      <c r="BE956" s="9"/>
      <c r="BF956" s="9"/>
      <c r="BG956" s="9"/>
      <c r="BH956" s="9"/>
      <c r="BI956" s="9"/>
      <c r="BJ956" s="9"/>
      <c r="BK956" s="9"/>
      <c r="BL956" s="9"/>
    </row>
    <row r="957" ht="15.75" customHeight="1">
      <c r="U957" s="10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11"/>
      <c r="AM957" s="9"/>
      <c r="AN957" s="9"/>
      <c r="AO957" s="10"/>
      <c r="AP957" s="9"/>
      <c r="AQ957" s="9"/>
      <c r="AR957" s="9"/>
      <c r="AS957" s="9"/>
      <c r="AT957" s="9"/>
      <c r="AU957" s="9"/>
      <c r="AV957" s="9"/>
      <c r="AW957" s="9"/>
      <c r="AX957" s="9"/>
      <c r="AY957" s="9"/>
      <c r="AZ957" s="9"/>
      <c r="BA957" s="9"/>
      <c r="BB957" s="9"/>
      <c r="BC957" s="9"/>
      <c r="BD957" s="9"/>
      <c r="BE957" s="9"/>
      <c r="BF957" s="9"/>
      <c r="BG957" s="9"/>
      <c r="BH957" s="9"/>
      <c r="BI957" s="9"/>
      <c r="BJ957" s="9"/>
      <c r="BK957" s="9"/>
      <c r="BL957" s="9"/>
    </row>
    <row r="958" ht="15.75" customHeight="1">
      <c r="U958" s="10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11"/>
      <c r="AM958" s="9"/>
      <c r="AN958" s="9"/>
      <c r="AO958" s="10"/>
      <c r="AP958" s="9"/>
      <c r="AQ958" s="9"/>
      <c r="AR958" s="9"/>
      <c r="AS958" s="9"/>
      <c r="AT958" s="9"/>
      <c r="AU958" s="9"/>
      <c r="AV958" s="9"/>
      <c r="AW958" s="9"/>
      <c r="AX958" s="9"/>
      <c r="AY958" s="9"/>
      <c r="AZ958" s="9"/>
      <c r="BA958" s="9"/>
      <c r="BB958" s="9"/>
      <c r="BC958" s="9"/>
      <c r="BD958" s="9"/>
      <c r="BE958" s="9"/>
      <c r="BF958" s="9"/>
      <c r="BG958" s="9"/>
      <c r="BH958" s="9"/>
      <c r="BI958" s="9"/>
      <c r="BJ958" s="9"/>
      <c r="BK958" s="9"/>
      <c r="BL958" s="9"/>
    </row>
    <row r="959" ht="15.75" customHeight="1">
      <c r="U959" s="10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11"/>
      <c r="AM959" s="9"/>
      <c r="AN959" s="9"/>
      <c r="AO959" s="10"/>
      <c r="AP959" s="9"/>
      <c r="AQ959" s="9"/>
      <c r="AR959" s="9"/>
      <c r="AS959" s="9"/>
      <c r="AT959" s="9"/>
      <c r="AU959" s="9"/>
      <c r="AV959" s="9"/>
      <c r="AW959" s="9"/>
      <c r="AX959" s="9"/>
      <c r="AY959" s="9"/>
      <c r="AZ959" s="9"/>
      <c r="BA959" s="9"/>
      <c r="BB959" s="9"/>
      <c r="BC959" s="9"/>
      <c r="BD959" s="9"/>
      <c r="BE959" s="9"/>
      <c r="BF959" s="9"/>
      <c r="BG959" s="9"/>
      <c r="BH959" s="9"/>
      <c r="BI959" s="9"/>
      <c r="BJ959" s="9"/>
      <c r="BK959" s="9"/>
      <c r="BL959" s="9"/>
    </row>
    <row r="960" ht="15.75" customHeight="1">
      <c r="U960" s="10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11"/>
      <c r="AM960" s="9"/>
      <c r="AN960" s="9"/>
      <c r="AO960" s="10"/>
      <c r="AP960" s="9"/>
      <c r="AQ960" s="9"/>
      <c r="AR960" s="9"/>
      <c r="AS960" s="9"/>
      <c r="AT960" s="9"/>
      <c r="AU960" s="9"/>
      <c r="AV960" s="9"/>
      <c r="AW960" s="9"/>
      <c r="AX960" s="9"/>
      <c r="AY960" s="9"/>
      <c r="AZ960" s="9"/>
      <c r="BA960" s="9"/>
      <c r="BB960" s="9"/>
      <c r="BC960" s="9"/>
      <c r="BD960" s="9"/>
      <c r="BE960" s="9"/>
      <c r="BF960" s="9"/>
      <c r="BG960" s="9"/>
      <c r="BH960" s="9"/>
      <c r="BI960" s="9"/>
      <c r="BJ960" s="9"/>
      <c r="BK960" s="9"/>
      <c r="BL960" s="9"/>
    </row>
    <row r="961" ht="15.75" customHeight="1">
      <c r="U961" s="10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11"/>
      <c r="AM961" s="9"/>
      <c r="AN961" s="9"/>
      <c r="AO961" s="10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9"/>
      <c r="BA961" s="9"/>
      <c r="BB961" s="9"/>
      <c r="BC961" s="9"/>
      <c r="BD961" s="9"/>
      <c r="BE961" s="9"/>
      <c r="BF961" s="9"/>
      <c r="BG961" s="9"/>
      <c r="BH961" s="9"/>
      <c r="BI961" s="9"/>
      <c r="BJ961" s="9"/>
      <c r="BK961" s="9"/>
      <c r="BL961" s="9"/>
    </row>
    <row r="962" ht="15.75" customHeight="1">
      <c r="U962" s="10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11"/>
      <c r="AM962" s="9"/>
      <c r="AN962" s="9"/>
      <c r="AO962" s="10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9"/>
      <c r="BA962" s="9"/>
      <c r="BB962" s="9"/>
      <c r="BC962" s="9"/>
      <c r="BD962" s="9"/>
      <c r="BE962" s="9"/>
      <c r="BF962" s="9"/>
      <c r="BG962" s="9"/>
      <c r="BH962" s="9"/>
      <c r="BI962" s="9"/>
      <c r="BJ962" s="9"/>
      <c r="BK962" s="9"/>
      <c r="BL962" s="9"/>
    </row>
    <row r="963" ht="15.75" customHeight="1">
      <c r="U963" s="10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11"/>
      <c r="AM963" s="9"/>
      <c r="AN963" s="9"/>
      <c r="AO963" s="10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9"/>
      <c r="BA963" s="9"/>
      <c r="BB963" s="9"/>
      <c r="BC963" s="9"/>
      <c r="BD963" s="9"/>
      <c r="BE963" s="9"/>
      <c r="BF963" s="9"/>
      <c r="BG963" s="9"/>
      <c r="BH963" s="9"/>
      <c r="BI963" s="9"/>
      <c r="BJ963" s="9"/>
      <c r="BK963" s="9"/>
      <c r="BL963" s="9"/>
    </row>
    <row r="964" ht="15.75" customHeight="1">
      <c r="U964" s="10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11"/>
      <c r="AM964" s="9"/>
      <c r="AN964" s="9"/>
      <c r="AO964" s="10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9"/>
      <c r="BA964" s="9"/>
      <c r="BB964" s="9"/>
      <c r="BC964" s="9"/>
      <c r="BD964" s="9"/>
      <c r="BE964" s="9"/>
      <c r="BF964" s="9"/>
      <c r="BG964" s="9"/>
      <c r="BH964" s="9"/>
      <c r="BI964" s="9"/>
      <c r="BJ964" s="9"/>
      <c r="BK964" s="9"/>
      <c r="BL964" s="9"/>
    </row>
    <row r="965" ht="15.75" customHeight="1">
      <c r="U965" s="10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11"/>
      <c r="AM965" s="9"/>
      <c r="AN965" s="9"/>
      <c r="AO965" s="10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9"/>
      <c r="BA965" s="9"/>
      <c r="BB965" s="9"/>
      <c r="BC965" s="9"/>
      <c r="BD965" s="9"/>
      <c r="BE965" s="9"/>
      <c r="BF965" s="9"/>
      <c r="BG965" s="9"/>
      <c r="BH965" s="9"/>
      <c r="BI965" s="9"/>
      <c r="BJ965" s="9"/>
      <c r="BK965" s="9"/>
      <c r="BL965" s="9"/>
    </row>
    <row r="966" ht="15.75" customHeight="1">
      <c r="U966" s="10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11"/>
      <c r="AM966" s="9"/>
      <c r="AN966" s="9"/>
      <c r="AO966" s="10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9"/>
      <c r="BA966" s="9"/>
      <c r="BB966" s="9"/>
      <c r="BC966" s="9"/>
      <c r="BD966" s="9"/>
      <c r="BE966" s="9"/>
      <c r="BF966" s="9"/>
      <c r="BG966" s="9"/>
      <c r="BH966" s="9"/>
      <c r="BI966" s="9"/>
      <c r="BJ966" s="9"/>
      <c r="BK966" s="9"/>
      <c r="BL966" s="9"/>
    </row>
    <row r="967" ht="15.75" customHeight="1">
      <c r="U967" s="10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11"/>
      <c r="AM967" s="9"/>
      <c r="AN967" s="9"/>
      <c r="AO967" s="10"/>
      <c r="AP967" s="9"/>
      <c r="AQ967" s="9"/>
      <c r="AR967" s="9"/>
      <c r="AS967" s="9"/>
      <c r="AT967" s="9"/>
      <c r="AU967" s="9"/>
      <c r="AV967" s="9"/>
      <c r="AW967" s="9"/>
      <c r="AX967" s="9"/>
      <c r="AY967" s="9"/>
      <c r="AZ967" s="9"/>
      <c r="BA967" s="9"/>
      <c r="BB967" s="9"/>
      <c r="BC967" s="9"/>
      <c r="BD967" s="9"/>
      <c r="BE967" s="9"/>
      <c r="BF967" s="9"/>
      <c r="BG967" s="9"/>
      <c r="BH967" s="9"/>
      <c r="BI967" s="9"/>
      <c r="BJ967" s="9"/>
      <c r="BK967" s="9"/>
      <c r="BL967" s="9"/>
    </row>
    <row r="968" ht="15.75" customHeight="1">
      <c r="U968" s="10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11"/>
      <c r="AM968" s="9"/>
      <c r="AN968" s="9"/>
      <c r="AO968" s="10"/>
      <c r="AP968" s="9"/>
      <c r="AQ968" s="9"/>
      <c r="AR968" s="9"/>
      <c r="AS968" s="9"/>
      <c r="AT968" s="9"/>
      <c r="AU968" s="9"/>
      <c r="AV968" s="9"/>
      <c r="AW968" s="9"/>
      <c r="AX968" s="9"/>
      <c r="AY968" s="9"/>
      <c r="AZ968" s="9"/>
      <c r="BA968" s="9"/>
      <c r="BB968" s="9"/>
      <c r="BC968" s="9"/>
      <c r="BD968" s="9"/>
      <c r="BE968" s="9"/>
      <c r="BF968" s="9"/>
      <c r="BG968" s="9"/>
      <c r="BH968" s="9"/>
      <c r="BI968" s="9"/>
      <c r="BJ968" s="9"/>
      <c r="BK968" s="9"/>
      <c r="BL968" s="9"/>
    </row>
    <row r="969" ht="15.75" customHeight="1">
      <c r="U969" s="10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11"/>
      <c r="AM969" s="9"/>
      <c r="AN969" s="9"/>
      <c r="AO969" s="10"/>
      <c r="AP969" s="9"/>
      <c r="AQ969" s="9"/>
      <c r="AR969" s="9"/>
      <c r="AS969" s="9"/>
      <c r="AT969" s="9"/>
      <c r="AU969" s="9"/>
      <c r="AV969" s="9"/>
      <c r="AW969" s="9"/>
      <c r="AX969" s="9"/>
      <c r="AY969" s="9"/>
      <c r="AZ969" s="9"/>
      <c r="BA969" s="9"/>
      <c r="BB969" s="9"/>
      <c r="BC969" s="9"/>
      <c r="BD969" s="9"/>
      <c r="BE969" s="9"/>
      <c r="BF969" s="9"/>
      <c r="BG969" s="9"/>
      <c r="BH969" s="9"/>
      <c r="BI969" s="9"/>
      <c r="BJ969" s="9"/>
      <c r="BK969" s="9"/>
      <c r="BL969" s="9"/>
    </row>
    <row r="970" ht="15.75" customHeight="1">
      <c r="U970" s="10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11"/>
      <c r="AM970" s="9"/>
      <c r="AN970" s="9"/>
      <c r="AO970" s="10"/>
      <c r="AP970" s="9"/>
      <c r="AQ970" s="9"/>
      <c r="AR970" s="9"/>
      <c r="AS970" s="9"/>
      <c r="AT970" s="9"/>
      <c r="AU970" s="9"/>
      <c r="AV970" s="9"/>
      <c r="AW970" s="9"/>
      <c r="AX970" s="9"/>
      <c r="AY970" s="9"/>
      <c r="AZ970" s="9"/>
      <c r="BA970" s="9"/>
      <c r="BB970" s="9"/>
      <c r="BC970" s="9"/>
      <c r="BD970" s="9"/>
      <c r="BE970" s="9"/>
      <c r="BF970" s="9"/>
      <c r="BG970" s="9"/>
      <c r="BH970" s="9"/>
      <c r="BI970" s="9"/>
      <c r="BJ970" s="9"/>
      <c r="BK970" s="9"/>
      <c r="BL970" s="9"/>
    </row>
    <row r="971" ht="15.75" customHeight="1">
      <c r="U971" s="10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11"/>
      <c r="AM971" s="9"/>
      <c r="AN971" s="9"/>
      <c r="AO971" s="10"/>
      <c r="AP971" s="9"/>
      <c r="AQ971" s="9"/>
      <c r="AR971" s="9"/>
      <c r="AS971" s="9"/>
      <c r="AT971" s="9"/>
      <c r="AU971" s="9"/>
      <c r="AV971" s="9"/>
      <c r="AW971" s="9"/>
      <c r="AX971" s="9"/>
      <c r="AY971" s="9"/>
      <c r="AZ971" s="9"/>
      <c r="BA971" s="9"/>
      <c r="BB971" s="9"/>
      <c r="BC971" s="9"/>
      <c r="BD971" s="9"/>
      <c r="BE971" s="9"/>
      <c r="BF971" s="9"/>
      <c r="BG971" s="9"/>
      <c r="BH971" s="9"/>
      <c r="BI971" s="9"/>
      <c r="BJ971" s="9"/>
      <c r="BK971" s="9"/>
      <c r="BL971" s="9"/>
    </row>
    <row r="972" ht="15.75" customHeight="1">
      <c r="U972" s="10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11"/>
      <c r="AM972" s="9"/>
      <c r="AN972" s="9"/>
      <c r="AO972" s="10"/>
      <c r="AP972" s="9"/>
      <c r="AQ972" s="9"/>
      <c r="AR972" s="9"/>
      <c r="AS972" s="9"/>
      <c r="AT972" s="9"/>
      <c r="AU972" s="9"/>
      <c r="AV972" s="9"/>
      <c r="AW972" s="9"/>
      <c r="AX972" s="9"/>
      <c r="AY972" s="9"/>
      <c r="AZ972" s="9"/>
      <c r="BA972" s="9"/>
      <c r="BB972" s="9"/>
      <c r="BC972" s="9"/>
      <c r="BD972" s="9"/>
      <c r="BE972" s="9"/>
      <c r="BF972" s="9"/>
      <c r="BG972" s="9"/>
      <c r="BH972" s="9"/>
      <c r="BI972" s="9"/>
      <c r="BJ972" s="9"/>
      <c r="BK972" s="9"/>
      <c r="BL972" s="9"/>
    </row>
    <row r="973" ht="15.75" customHeight="1">
      <c r="U973" s="10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11"/>
      <c r="AM973" s="9"/>
      <c r="AN973" s="9"/>
      <c r="AO973" s="10"/>
      <c r="AP973" s="9"/>
      <c r="AQ973" s="9"/>
      <c r="AR973" s="9"/>
      <c r="AS973" s="9"/>
      <c r="AT973" s="9"/>
      <c r="AU973" s="9"/>
      <c r="AV973" s="9"/>
      <c r="AW973" s="9"/>
      <c r="AX973" s="9"/>
      <c r="AY973" s="9"/>
      <c r="AZ973" s="9"/>
      <c r="BA973" s="9"/>
      <c r="BB973" s="9"/>
      <c r="BC973" s="9"/>
      <c r="BD973" s="9"/>
      <c r="BE973" s="9"/>
      <c r="BF973" s="9"/>
      <c r="BG973" s="9"/>
      <c r="BH973" s="9"/>
      <c r="BI973" s="9"/>
      <c r="BJ973" s="9"/>
      <c r="BK973" s="9"/>
      <c r="BL973" s="9"/>
    </row>
    <row r="974" ht="15.75" customHeight="1">
      <c r="U974" s="10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11"/>
      <c r="AM974" s="9"/>
      <c r="AN974" s="9"/>
      <c r="AO974" s="10"/>
      <c r="AP974" s="9"/>
      <c r="AQ974" s="9"/>
      <c r="AR974" s="9"/>
      <c r="AS974" s="9"/>
      <c r="AT974" s="9"/>
      <c r="AU974" s="9"/>
      <c r="AV974" s="9"/>
      <c r="AW974" s="9"/>
      <c r="AX974" s="9"/>
      <c r="AY974" s="9"/>
      <c r="AZ974" s="9"/>
      <c r="BA974" s="9"/>
      <c r="BB974" s="9"/>
      <c r="BC974" s="9"/>
      <c r="BD974" s="9"/>
      <c r="BE974" s="9"/>
      <c r="BF974" s="9"/>
      <c r="BG974" s="9"/>
      <c r="BH974" s="9"/>
      <c r="BI974" s="9"/>
      <c r="BJ974" s="9"/>
      <c r="BK974" s="9"/>
      <c r="BL974" s="9"/>
    </row>
    <row r="975" ht="15.75" customHeight="1">
      <c r="U975" s="10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11"/>
      <c r="AM975" s="9"/>
      <c r="AN975" s="9"/>
      <c r="AO975" s="10"/>
      <c r="AP975" s="9"/>
      <c r="AQ975" s="9"/>
      <c r="AR975" s="9"/>
      <c r="AS975" s="9"/>
      <c r="AT975" s="9"/>
      <c r="AU975" s="9"/>
      <c r="AV975" s="9"/>
      <c r="AW975" s="9"/>
      <c r="AX975" s="9"/>
      <c r="AY975" s="9"/>
      <c r="AZ975" s="9"/>
      <c r="BA975" s="9"/>
      <c r="BB975" s="9"/>
      <c r="BC975" s="9"/>
      <c r="BD975" s="9"/>
      <c r="BE975" s="9"/>
      <c r="BF975" s="9"/>
      <c r="BG975" s="9"/>
      <c r="BH975" s="9"/>
      <c r="BI975" s="9"/>
      <c r="BJ975" s="9"/>
      <c r="BK975" s="9"/>
      <c r="BL975" s="9"/>
    </row>
    <row r="976" ht="15.75" customHeight="1">
      <c r="U976" s="10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11"/>
      <c r="AM976" s="9"/>
      <c r="AN976" s="9"/>
      <c r="AO976" s="10"/>
      <c r="AP976" s="9"/>
      <c r="AQ976" s="9"/>
      <c r="AR976" s="9"/>
      <c r="AS976" s="9"/>
      <c r="AT976" s="9"/>
      <c r="AU976" s="9"/>
      <c r="AV976" s="9"/>
      <c r="AW976" s="9"/>
      <c r="AX976" s="9"/>
      <c r="AY976" s="9"/>
      <c r="AZ976" s="9"/>
      <c r="BA976" s="9"/>
      <c r="BB976" s="9"/>
      <c r="BC976" s="9"/>
      <c r="BD976" s="9"/>
      <c r="BE976" s="9"/>
      <c r="BF976" s="9"/>
      <c r="BG976" s="9"/>
      <c r="BH976" s="9"/>
      <c r="BI976" s="9"/>
      <c r="BJ976" s="9"/>
      <c r="BK976" s="9"/>
      <c r="BL976" s="9"/>
    </row>
    <row r="977" ht="15.75" customHeight="1">
      <c r="U977" s="10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11"/>
      <c r="AM977" s="9"/>
      <c r="AN977" s="9"/>
      <c r="AO977" s="10"/>
      <c r="AP977" s="9"/>
      <c r="AQ977" s="9"/>
      <c r="AR977" s="9"/>
      <c r="AS977" s="9"/>
      <c r="AT977" s="9"/>
      <c r="AU977" s="9"/>
      <c r="AV977" s="9"/>
      <c r="AW977" s="9"/>
      <c r="AX977" s="9"/>
      <c r="AY977" s="9"/>
      <c r="AZ977" s="9"/>
      <c r="BA977" s="9"/>
      <c r="BB977" s="9"/>
      <c r="BC977" s="9"/>
      <c r="BD977" s="9"/>
      <c r="BE977" s="9"/>
      <c r="BF977" s="9"/>
      <c r="BG977" s="9"/>
      <c r="BH977" s="9"/>
      <c r="BI977" s="9"/>
      <c r="BJ977" s="9"/>
      <c r="BK977" s="9"/>
      <c r="BL977" s="9"/>
    </row>
    <row r="978" ht="15.75" customHeight="1">
      <c r="U978" s="10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11"/>
      <c r="AM978" s="9"/>
      <c r="AN978" s="9"/>
      <c r="AO978" s="10"/>
      <c r="AP978" s="9"/>
      <c r="AQ978" s="9"/>
      <c r="AR978" s="9"/>
      <c r="AS978" s="9"/>
      <c r="AT978" s="9"/>
      <c r="AU978" s="9"/>
      <c r="AV978" s="9"/>
      <c r="AW978" s="9"/>
      <c r="AX978" s="9"/>
      <c r="AY978" s="9"/>
      <c r="AZ978" s="9"/>
      <c r="BA978" s="9"/>
      <c r="BB978" s="9"/>
      <c r="BC978" s="9"/>
      <c r="BD978" s="9"/>
      <c r="BE978" s="9"/>
      <c r="BF978" s="9"/>
      <c r="BG978" s="9"/>
      <c r="BH978" s="9"/>
      <c r="BI978" s="9"/>
      <c r="BJ978" s="9"/>
      <c r="BK978" s="9"/>
      <c r="BL978" s="9"/>
    </row>
    <row r="979" ht="15.75" customHeight="1">
      <c r="U979" s="10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11"/>
      <c r="AM979" s="9"/>
      <c r="AN979" s="9"/>
      <c r="AO979" s="10"/>
      <c r="AP979" s="9"/>
      <c r="AQ979" s="9"/>
      <c r="AR979" s="9"/>
      <c r="AS979" s="9"/>
      <c r="AT979" s="9"/>
      <c r="AU979" s="9"/>
      <c r="AV979" s="9"/>
      <c r="AW979" s="9"/>
      <c r="AX979" s="9"/>
      <c r="AY979" s="9"/>
      <c r="AZ979" s="9"/>
      <c r="BA979" s="9"/>
      <c r="BB979" s="9"/>
      <c r="BC979" s="9"/>
      <c r="BD979" s="9"/>
      <c r="BE979" s="9"/>
      <c r="BF979" s="9"/>
      <c r="BG979" s="9"/>
      <c r="BH979" s="9"/>
      <c r="BI979" s="9"/>
      <c r="BJ979" s="9"/>
      <c r="BK979" s="9"/>
      <c r="BL979" s="9"/>
    </row>
    <row r="980" ht="15.75" customHeight="1">
      <c r="U980" s="10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11"/>
      <c r="AM980" s="9"/>
      <c r="AN980" s="9"/>
      <c r="AO980" s="10"/>
      <c r="AP980" s="9"/>
      <c r="AQ980" s="9"/>
      <c r="AR980" s="9"/>
      <c r="AS980" s="9"/>
      <c r="AT980" s="9"/>
      <c r="AU980" s="9"/>
      <c r="AV980" s="9"/>
      <c r="AW980" s="9"/>
      <c r="AX980" s="9"/>
      <c r="AY980" s="9"/>
      <c r="AZ980" s="9"/>
      <c r="BA980" s="9"/>
      <c r="BB980" s="9"/>
      <c r="BC980" s="9"/>
      <c r="BD980" s="9"/>
      <c r="BE980" s="9"/>
      <c r="BF980" s="9"/>
      <c r="BG980" s="9"/>
      <c r="BH980" s="9"/>
      <c r="BI980" s="9"/>
      <c r="BJ980" s="9"/>
      <c r="BK980" s="9"/>
      <c r="BL980" s="9"/>
    </row>
    <row r="981" ht="15.75" customHeight="1">
      <c r="U981" s="10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11"/>
      <c r="AM981" s="9"/>
      <c r="AN981" s="9"/>
      <c r="AO981" s="10"/>
      <c r="AP981" s="9"/>
      <c r="AQ981" s="9"/>
      <c r="AR981" s="9"/>
      <c r="AS981" s="9"/>
      <c r="AT981" s="9"/>
      <c r="AU981" s="9"/>
      <c r="AV981" s="9"/>
      <c r="AW981" s="9"/>
      <c r="AX981" s="9"/>
      <c r="AY981" s="9"/>
      <c r="AZ981" s="9"/>
      <c r="BA981" s="9"/>
      <c r="BB981" s="9"/>
      <c r="BC981" s="9"/>
      <c r="BD981" s="9"/>
      <c r="BE981" s="9"/>
      <c r="BF981" s="9"/>
      <c r="BG981" s="9"/>
      <c r="BH981" s="9"/>
      <c r="BI981" s="9"/>
      <c r="BJ981" s="9"/>
      <c r="BK981" s="9"/>
      <c r="BL981" s="9"/>
    </row>
    <row r="982" ht="15.75" customHeight="1">
      <c r="U982" s="10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11"/>
      <c r="AM982" s="9"/>
      <c r="AN982" s="9"/>
      <c r="AO982" s="10"/>
      <c r="AP982" s="9"/>
      <c r="AQ982" s="9"/>
      <c r="AR982" s="9"/>
      <c r="AS982" s="9"/>
      <c r="AT982" s="9"/>
      <c r="AU982" s="9"/>
      <c r="AV982" s="9"/>
      <c r="AW982" s="9"/>
      <c r="AX982" s="9"/>
      <c r="AY982" s="9"/>
      <c r="AZ982" s="9"/>
      <c r="BA982" s="9"/>
      <c r="BB982" s="9"/>
      <c r="BC982" s="9"/>
      <c r="BD982" s="9"/>
      <c r="BE982" s="9"/>
      <c r="BF982" s="9"/>
      <c r="BG982" s="9"/>
      <c r="BH982" s="9"/>
      <c r="BI982" s="9"/>
      <c r="BJ982" s="9"/>
      <c r="BK982" s="9"/>
      <c r="BL982" s="9"/>
    </row>
    <row r="983" ht="15.75" customHeight="1">
      <c r="U983" s="10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11"/>
      <c r="AM983" s="9"/>
      <c r="AN983" s="9"/>
      <c r="AO983" s="10"/>
      <c r="AP983" s="9"/>
      <c r="AQ983" s="9"/>
      <c r="AR983" s="9"/>
      <c r="AS983" s="9"/>
      <c r="AT983" s="9"/>
      <c r="AU983" s="9"/>
      <c r="AV983" s="9"/>
      <c r="AW983" s="9"/>
      <c r="AX983" s="9"/>
      <c r="AY983" s="9"/>
      <c r="AZ983" s="9"/>
      <c r="BA983" s="9"/>
      <c r="BB983" s="9"/>
      <c r="BC983" s="9"/>
      <c r="BD983" s="9"/>
      <c r="BE983" s="9"/>
      <c r="BF983" s="9"/>
      <c r="BG983" s="9"/>
      <c r="BH983" s="9"/>
      <c r="BI983" s="9"/>
      <c r="BJ983" s="9"/>
      <c r="BK983" s="9"/>
      <c r="BL983" s="9"/>
    </row>
    <row r="984" ht="15.75" customHeight="1">
      <c r="U984" s="10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11"/>
      <c r="AM984" s="9"/>
      <c r="AN984" s="9"/>
      <c r="AO984" s="10"/>
      <c r="AP984" s="9"/>
      <c r="AQ984" s="9"/>
      <c r="AR984" s="9"/>
      <c r="AS984" s="9"/>
      <c r="AT984" s="9"/>
      <c r="AU984" s="9"/>
      <c r="AV984" s="9"/>
      <c r="AW984" s="9"/>
      <c r="AX984" s="9"/>
      <c r="AY984" s="9"/>
      <c r="AZ984" s="9"/>
      <c r="BA984" s="9"/>
      <c r="BB984" s="9"/>
      <c r="BC984" s="9"/>
      <c r="BD984" s="9"/>
      <c r="BE984" s="9"/>
      <c r="BF984" s="9"/>
      <c r="BG984" s="9"/>
      <c r="BH984" s="9"/>
      <c r="BI984" s="9"/>
      <c r="BJ984" s="9"/>
      <c r="BK984" s="9"/>
      <c r="BL984" s="9"/>
    </row>
    <row r="985" ht="15.75" customHeight="1">
      <c r="U985" s="10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11"/>
      <c r="AM985" s="9"/>
      <c r="AN985" s="9"/>
      <c r="AO985" s="10"/>
      <c r="AP985" s="9"/>
      <c r="AQ985" s="9"/>
      <c r="AR985" s="9"/>
      <c r="AS985" s="9"/>
      <c r="AT985" s="9"/>
      <c r="AU985" s="9"/>
      <c r="AV985" s="9"/>
      <c r="AW985" s="9"/>
      <c r="AX985" s="9"/>
      <c r="AY985" s="9"/>
      <c r="AZ985" s="9"/>
      <c r="BA985" s="9"/>
      <c r="BB985" s="9"/>
      <c r="BC985" s="9"/>
      <c r="BD985" s="9"/>
      <c r="BE985" s="9"/>
      <c r="BF985" s="9"/>
      <c r="BG985" s="9"/>
      <c r="BH985" s="9"/>
      <c r="BI985" s="9"/>
      <c r="BJ985" s="9"/>
      <c r="BK985" s="9"/>
      <c r="BL985" s="9"/>
    </row>
    <row r="986" ht="15.75" customHeight="1">
      <c r="U986" s="10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11"/>
      <c r="AM986" s="9"/>
      <c r="AN986" s="9"/>
      <c r="AO986" s="10"/>
      <c r="AP986" s="9"/>
      <c r="AQ986" s="9"/>
      <c r="AR986" s="9"/>
      <c r="AS986" s="9"/>
      <c r="AT986" s="9"/>
      <c r="AU986" s="9"/>
      <c r="AV986" s="9"/>
      <c r="AW986" s="9"/>
      <c r="AX986" s="9"/>
      <c r="AY986" s="9"/>
      <c r="AZ986" s="9"/>
      <c r="BA986" s="9"/>
      <c r="BB986" s="9"/>
      <c r="BC986" s="9"/>
      <c r="BD986" s="9"/>
      <c r="BE986" s="9"/>
      <c r="BF986" s="9"/>
      <c r="BG986" s="9"/>
      <c r="BH986" s="9"/>
      <c r="BI986" s="9"/>
      <c r="BJ986" s="9"/>
      <c r="BK986" s="9"/>
      <c r="BL986" s="9"/>
    </row>
    <row r="987" ht="15.75" customHeight="1">
      <c r="U987" s="10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11"/>
      <c r="AM987" s="9"/>
      <c r="AN987" s="9"/>
      <c r="AO987" s="10"/>
      <c r="AP987" s="9"/>
      <c r="AQ987" s="9"/>
      <c r="AR987" s="9"/>
      <c r="AS987" s="9"/>
      <c r="AT987" s="9"/>
      <c r="AU987" s="9"/>
      <c r="AV987" s="9"/>
      <c r="AW987" s="9"/>
      <c r="AX987" s="9"/>
      <c r="AY987" s="9"/>
      <c r="AZ987" s="9"/>
      <c r="BA987" s="9"/>
      <c r="BB987" s="9"/>
      <c r="BC987" s="9"/>
      <c r="BD987" s="9"/>
      <c r="BE987" s="9"/>
      <c r="BF987" s="9"/>
      <c r="BG987" s="9"/>
      <c r="BH987" s="9"/>
      <c r="BI987" s="9"/>
      <c r="BJ987" s="9"/>
      <c r="BK987" s="9"/>
      <c r="BL987" s="9"/>
    </row>
    <row r="988" ht="15.75" customHeight="1">
      <c r="U988" s="10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11"/>
      <c r="AM988" s="9"/>
      <c r="AN988" s="9"/>
      <c r="AO988" s="10"/>
      <c r="AP988" s="9"/>
      <c r="AQ988" s="9"/>
      <c r="AR988" s="9"/>
      <c r="AS988" s="9"/>
      <c r="AT988" s="9"/>
      <c r="AU988" s="9"/>
      <c r="AV988" s="9"/>
      <c r="AW988" s="9"/>
      <c r="AX988" s="9"/>
      <c r="AY988" s="9"/>
      <c r="AZ988" s="9"/>
      <c r="BA988" s="9"/>
      <c r="BB988" s="9"/>
      <c r="BC988" s="9"/>
      <c r="BD988" s="9"/>
      <c r="BE988" s="9"/>
      <c r="BF988" s="9"/>
      <c r="BG988" s="9"/>
      <c r="BH988" s="9"/>
      <c r="BI988" s="9"/>
      <c r="BJ988" s="9"/>
      <c r="BK988" s="9"/>
      <c r="BL988" s="9"/>
    </row>
    <row r="989" ht="15.75" customHeight="1">
      <c r="U989" s="10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11"/>
      <c r="AM989" s="9"/>
      <c r="AN989" s="9"/>
      <c r="AO989" s="10"/>
      <c r="AP989" s="9"/>
      <c r="AQ989" s="9"/>
      <c r="AR989" s="9"/>
      <c r="AS989" s="9"/>
      <c r="AT989" s="9"/>
      <c r="AU989" s="9"/>
      <c r="AV989" s="9"/>
      <c r="AW989" s="9"/>
      <c r="AX989" s="9"/>
      <c r="AY989" s="9"/>
      <c r="AZ989" s="9"/>
      <c r="BA989" s="9"/>
      <c r="BB989" s="9"/>
      <c r="BC989" s="9"/>
      <c r="BD989" s="9"/>
      <c r="BE989" s="9"/>
      <c r="BF989" s="9"/>
      <c r="BG989" s="9"/>
      <c r="BH989" s="9"/>
      <c r="BI989" s="9"/>
      <c r="BJ989" s="9"/>
      <c r="BK989" s="9"/>
      <c r="BL989" s="9"/>
    </row>
    <row r="990" ht="15.75" customHeight="1">
      <c r="U990" s="10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11"/>
      <c r="AM990" s="9"/>
      <c r="AN990" s="9"/>
      <c r="AO990" s="10"/>
      <c r="AP990" s="9"/>
      <c r="AQ990" s="9"/>
      <c r="AR990" s="9"/>
      <c r="AS990" s="9"/>
      <c r="AT990" s="9"/>
      <c r="AU990" s="9"/>
      <c r="AV990" s="9"/>
      <c r="AW990" s="9"/>
      <c r="AX990" s="9"/>
      <c r="AY990" s="9"/>
      <c r="AZ990" s="9"/>
      <c r="BA990" s="9"/>
      <c r="BB990" s="9"/>
      <c r="BC990" s="9"/>
      <c r="BD990" s="9"/>
      <c r="BE990" s="9"/>
      <c r="BF990" s="9"/>
      <c r="BG990" s="9"/>
      <c r="BH990" s="9"/>
      <c r="BI990" s="9"/>
      <c r="BJ990" s="9"/>
      <c r="BK990" s="9"/>
      <c r="BL990" s="9"/>
    </row>
    <row r="991" ht="15.75" customHeight="1">
      <c r="U991" s="10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11"/>
      <c r="AM991" s="9"/>
      <c r="AN991" s="9"/>
      <c r="AO991" s="10"/>
      <c r="AP991" s="9"/>
      <c r="AQ991" s="9"/>
      <c r="AR991" s="9"/>
      <c r="AS991" s="9"/>
      <c r="AT991" s="9"/>
      <c r="AU991" s="9"/>
      <c r="AV991" s="9"/>
      <c r="AW991" s="9"/>
      <c r="AX991" s="9"/>
      <c r="AY991" s="9"/>
      <c r="AZ991" s="9"/>
      <c r="BA991" s="9"/>
      <c r="BB991" s="9"/>
      <c r="BC991" s="9"/>
      <c r="BD991" s="9"/>
      <c r="BE991" s="9"/>
      <c r="BF991" s="9"/>
      <c r="BG991" s="9"/>
      <c r="BH991" s="9"/>
      <c r="BI991" s="9"/>
      <c r="BJ991" s="9"/>
      <c r="BK991" s="9"/>
      <c r="BL991" s="9"/>
    </row>
    <row r="992" ht="15.75" customHeight="1">
      <c r="U992" s="10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11"/>
      <c r="AM992" s="9"/>
      <c r="AN992" s="9"/>
      <c r="AO992" s="10"/>
      <c r="AP992" s="9"/>
      <c r="AQ992" s="9"/>
      <c r="AR992" s="9"/>
      <c r="AS992" s="9"/>
      <c r="AT992" s="9"/>
      <c r="AU992" s="9"/>
      <c r="AV992" s="9"/>
      <c r="AW992" s="9"/>
      <c r="AX992" s="9"/>
      <c r="AY992" s="9"/>
      <c r="AZ992" s="9"/>
      <c r="BA992" s="9"/>
      <c r="BB992" s="9"/>
      <c r="BC992" s="9"/>
      <c r="BD992" s="9"/>
      <c r="BE992" s="9"/>
      <c r="BF992" s="9"/>
      <c r="BG992" s="9"/>
      <c r="BH992" s="9"/>
      <c r="BI992" s="9"/>
      <c r="BJ992" s="9"/>
      <c r="BK992" s="9"/>
      <c r="BL992" s="9"/>
    </row>
    <row r="993" ht="15.75" customHeight="1">
      <c r="U993" s="10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11"/>
      <c r="AM993" s="9"/>
      <c r="AN993" s="9"/>
      <c r="AO993" s="10"/>
      <c r="AP993" s="9"/>
      <c r="AQ993" s="9"/>
      <c r="AR993" s="9"/>
      <c r="AS993" s="9"/>
      <c r="AT993" s="9"/>
      <c r="AU993" s="9"/>
      <c r="AV993" s="9"/>
      <c r="AW993" s="9"/>
      <c r="AX993" s="9"/>
      <c r="AY993" s="9"/>
      <c r="AZ993" s="9"/>
      <c r="BA993" s="9"/>
      <c r="BB993" s="9"/>
      <c r="BC993" s="9"/>
      <c r="BD993" s="9"/>
      <c r="BE993" s="9"/>
      <c r="BF993" s="9"/>
      <c r="BG993" s="9"/>
      <c r="BH993" s="9"/>
      <c r="BI993" s="9"/>
      <c r="BJ993" s="9"/>
      <c r="BK993" s="9"/>
      <c r="BL993" s="9"/>
    </row>
    <row r="994" ht="15.75" customHeight="1">
      <c r="U994" s="10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11"/>
      <c r="AM994" s="9"/>
      <c r="AN994" s="9"/>
      <c r="AO994" s="10"/>
      <c r="AP994" s="9"/>
      <c r="AQ994" s="9"/>
      <c r="AR994" s="9"/>
      <c r="AS994" s="9"/>
      <c r="AT994" s="9"/>
      <c r="AU994" s="9"/>
      <c r="AV994" s="9"/>
      <c r="AW994" s="9"/>
      <c r="AX994" s="9"/>
      <c r="AY994" s="9"/>
      <c r="AZ994" s="9"/>
      <c r="BA994" s="9"/>
      <c r="BB994" s="9"/>
      <c r="BC994" s="9"/>
      <c r="BD994" s="9"/>
      <c r="BE994" s="9"/>
      <c r="BF994" s="9"/>
      <c r="BG994" s="9"/>
      <c r="BH994" s="9"/>
      <c r="BI994" s="9"/>
      <c r="BJ994" s="9"/>
      <c r="BK994" s="9"/>
      <c r="BL994" s="9"/>
    </row>
    <row r="995" ht="15.75" customHeight="1">
      <c r="U995" s="10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11"/>
      <c r="AM995" s="9"/>
      <c r="AN995" s="9"/>
      <c r="AO995" s="10"/>
      <c r="AP995" s="9"/>
      <c r="AQ995" s="9"/>
      <c r="AR995" s="9"/>
      <c r="AS995" s="9"/>
      <c r="AT995" s="9"/>
      <c r="AU995" s="9"/>
      <c r="AV995" s="9"/>
      <c r="AW995" s="9"/>
      <c r="AX995" s="9"/>
      <c r="AY995" s="9"/>
      <c r="AZ995" s="9"/>
      <c r="BA995" s="9"/>
      <c r="BB995" s="9"/>
      <c r="BC995" s="9"/>
      <c r="BD995" s="9"/>
      <c r="BE995" s="9"/>
      <c r="BF995" s="9"/>
      <c r="BG995" s="9"/>
      <c r="BH995" s="9"/>
      <c r="BI995" s="9"/>
      <c r="BJ995" s="9"/>
      <c r="BK995" s="9"/>
      <c r="BL995" s="9"/>
    </row>
    <row r="996" ht="15.75" customHeight="1">
      <c r="U996" s="10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11"/>
      <c r="AM996" s="9"/>
      <c r="AN996" s="9"/>
      <c r="AO996" s="10"/>
      <c r="AP996" s="9"/>
      <c r="AQ996" s="9"/>
      <c r="AR996" s="9"/>
      <c r="AS996" s="9"/>
      <c r="AT996" s="9"/>
      <c r="AU996" s="9"/>
      <c r="AV996" s="9"/>
      <c r="AW996" s="9"/>
      <c r="AX996" s="9"/>
      <c r="AY996" s="9"/>
      <c r="AZ996" s="9"/>
      <c r="BA996" s="9"/>
      <c r="BB996" s="9"/>
      <c r="BC996" s="9"/>
      <c r="BD996" s="9"/>
      <c r="BE996" s="9"/>
      <c r="BF996" s="9"/>
      <c r="BG996" s="9"/>
      <c r="BH996" s="9"/>
      <c r="BI996" s="9"/>
      <c r="BJ996" s="9"/>
      <c r="BK996" s="9"/>
      <c r="BL996" s="9"/>
    </row>
    <row r="997" ht="15.75" customHeight="1">
      <c r="U997" s="10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11"/>
      <c r="AM997" s="9"/>
      <c r="AN997" s="9"/>
      <c r="AO997" s="10"/>
      <c r="AP997" s="9"/>
      <c r="AQ997" s="9"/>
      <c r="AR997" s="9"/>
      <c r="AS997" s="9"/>
      <c r="AT997" s="9"/>
      <c r="AU997" s="9"/>
      <c r="AV997" s="9"/>
      <c r="AW997" s="9"/>
      <c r="AX997" s="9"/>
      <c r="AY997" s="9"/>
      <c r="AZ997" s="9"/>
      <c r="BA997" s="9"/>
      <c r="BB997" s="9"/>
      <c r="BC997" s="9"/>
      <c r="BD997" s="9"/>
      <c r="BE997" s="9"/>
      <c r="BF997" s="9"/>
      <c r="BG997" s="9"/>
      <c r="BH997" s="9"/>
      <c r="BI997" s="9"/>
      <c r="BJ997" s="9"/>
      <c r="BK997" s="9"/>
      <c r="BL997" s="9"/>
    </row>
    <row r="998" ht="15.75" customHeight="1">
      <c r="U998" s="10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11"/>
      <c r="AM998" s="9"/>
      <c r="AN998" s="9"/>
      <c r="AO998" s="10"/>
      <c r="AP998" s="9"/>
      <c r="AQ998" s="9"/>
      <c r="AR998" s="9"/>
      <c r="AS998" s="9"/>
      <c r="AT998" s="9"/>
      <c r="AU998" s="9"/>
      <c r="AV998" s="9"/>
      <c r="AW998" s="9"/>
      <c r="AX998" s="9"/>
      <c r="AY998" s="9"/>
      <c r="AZ998" s="9"/>
      <c r="BA998" s="9"/>
      <c r="BB998" s="9"/>
      <c r="BC998" s="9"/>
      <c r="BD998" s="9"/>
      <c r="BE998" s="9"/>
      <c r="BF998" s="9"/>
      <c r="BG998" s="9"/>
      <c r="BH998" s="9"/>
      <c r="BI998" s="9"/>
      <c r="BJ998" s="9"/>
      <c r="BK998" s="9"/>
      <c r="BL998" s="9"/>
    </row>
    <row r="999" ht="15.75" customHeight="1">
      <c r="U999" s="10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11"/>
      <c r="AM999" s="9"/>
      <c r="AN999" s="9"/>
      <c r="AO999" s="10"/>
      <c r="AP999" s="9"/>
      <c r="AQ999" s="9"/>
      <c r="AR999" s="9"/>
      <c r="AS999" s="9"/>
      <c r="AT999" s="9"/>
      <c r="AU999" s="9"/>
      <c r="AV999" s="9"/>
      <c r="AW999" s="9"/>
      <c r="AX999" s="9"/>
      <c r="AY999" s="9"/>
      <c r="AZ999" s="9"/>
      <c r="BA999" s="9"/>
      <c r="BB999" s="9"/>
      <c r="BC999" s="9"/>
      <c r="BD999" s="9"/>
      <c r="BE999" s="9"/>
      <c r="BF999" s="9"/>
      <c r="BG999" s="9"/>
      <c r="BH999" s="9"/>
      <c r="BI999" s="9"/>
      <c r="BJ999" s="9"/>
      <c r="BK999" s="9"/>
      <c r="BL999" s="9"/>
    </row>
    <row r="1000" ht="15.75" customHeight="1">
      <c r="U1000" s="10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11"/>
      <c r="AM1000" s="9"/>
      <c r="AN1000" s="9"/>
      <c r="AO1000" s="10"/>
      <c r="AP1000" s="9"/>
      <c r="AQ1000" s="9"/>
      <c r="AR1000" s="9"/>
      <c r="AS1000" s="9"/>
      <c r="AT1000" s="9"/>
      <c r="AU1000" s="9"/>
      <c r="AV1000" s="9"/>
      <c r="AW1000" s="9"/>
      <c r="AX1000" s="9"/>
      <c r="AY1000" s="9"/>
      <c r="AZ1000" s="9"/>
      <c r="BA1000" s="9"/>
      <c r="BB1000" s="9"/>
      <c r="BC1000" s="9"/>
      <c r="BD1000" s="9"/>
      <c r="BE1000" s="9"/>
      <c r="BF1000" s="9"/>
      <c r="BG1000" s="9"/>
      <c r="BH1000" s="9"/>
      <c r="BI1000" s="9"/>
      <c r="BJ1000" s="9"/>
      <c r="BK1000" s="9"/>
      <c r="BL1000" s="9"/>
    </row>
    <row r="1001" ht="15.75" customHeight="1">
      <c r="U1001" s="10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11"/>
      <c r="AM1001" s="9"/>
      <c r="AN1001" s="9"/>
      <c r="AO1001" s="10"/>
      <c r="AP1001" s="9"/>
      <c r="AQ1001" s="9"/>
      <c r="AR1001" s="9"/>
      <c r="AS1001" s="9"/>
      <c r="AT1001" s="9"/>
      <c r="AU1001" s="9"/>
      <c r="AV1001" s="9"/>
      <c r="AW1001" s="9"/>
      <c r="AX1001" s="9"/>
      <c r="AY1001" s="9"/>
      <c r="AZ1001" s="9"/>
      <c r="BA1001" s="9"/>
      <c r="BB1001" s="9"/>
      <c r="BC1001" s="9"/>
      <c r="BD1001" s="9"/>
      <c r="BE1001" s="9"/>
      <c r="BF1001" s="9"/>
      <c r="BG1001" s="9"/>
      <c r="BH1001" s="9"/>
      <c r="BI1001" s="9"/>
      <c r="BJ1001" s="9"/>
      <c r="BK1001" s="9"/>
      <c r="BL1001" s="9"/>
    </row>
    <row r="1002" ht="15.75" customHeight="1">
      <c r="U1002" s="10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11"/>
      <c r="AM1002" s="9"/>
      <c r="AN1002" s="9"/>
      <c r="AO1002" s="10"/>
      <c r="AP1002" s="9"/>
      <c r="AQ1002" s="9"/>
      <c r="AR1002" s="9"/>
      <c r="AS1002" s="9"/>
      <c r="AT1002" s="9"/>
      <c r="AU1002" s="9"/>
      <c r="AV1002" s="9"/>
      <c r="AW1002" s="9"/>
      <c r="AX1002" s="9"/>
      <c r="AY1002" s="9"/>
      <c r="AZ1002" s="9"/>
      <c r="BA1002" s="9"/>
      <c r="BB1002" s="9"/>
      <c r="BC1002" s="9"/>
      <c r="BD1002" s="9"/>
      <c r="BE1002" s="9"/>
      <c r="BF1002" s="9"/>
      <c r="BG1002" s="9"/>
      <c r="BH1002" s="9"/>
      <c r="BI1002" s="9"/>
      <c r="BJ1002" s="9"/>
      <c r="BK1002" s="9"/>
      <c r="BL1002" s="9"/>
    </row>
    <row r="1003" ht="15.75" customHeight="1">
      <c r="U1003" s="10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11"/>
      <c r="AM1003" s="9"/>
      <c r="AN1003" s="9"/>
      <c r="AO1003" s="10"/>
      <c r="AP1003" s="9"/>
      <c r="AQ1003" s="9"/>
      <c r="AR1003" s="9"/>
      <c r="AS1003" s="9"/>
      <c r="AT1003" s="9"/>
      <c r="AU1003" s="9"/>
      <c r="AV1003" s="9"/>
      <c r="AW1003" s="9"/>
      <c r="AX1003" s="9"/>
      <c r="AY1003" s="9"/>
      <c r="AZ1003" s="9"/>
      <c r="BA1003" s="9"/>
      <c r="BB1003" s="9"/>
      <c r="BC1003" s="9"/>
      <c r="BD1003" s="9"/>
      <c r="BE1003" s="9"/>
      <c r="BF1003" s="9"/>
      <c r="BG1003" s="9"/>
      <c r="BH1003" s="9"/>
      <c r="BI1003" s="9"/>
      <c r="BJ1003" s="9"/>
      <c r="BK1003" s="9"/>
      <c r="BL1003" s="9"/>
    </row>
    <row r="1004" ht="15.75" customHeight="1">
      <c r="U1004" s="10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11"/>
      <c r="AM1004" s="9"/>
      <c r="AN1004" s="9"/>
      <c r="AO1004" s="10"/>
      <c r="AP1004" s="9"/>
      <c r="AQ1004" s="9"/>
      <c r="AR1004" s="9"/>
      <c r="AS1004" s="9"/>
      <c r="AT1004" s="9"/>
      <c r="AU1004" s="9"/>
      <c r="AV1004" s="9"/>
      <c r="AW1004" s="9"/>
      <c r="AX1004" s="9"/>
      <c r="AY1004" s="9"/>
      <c r="AZ1004" s="9"/>
      <c r="BA1004" s="9"/>
      <c r="BB1004" s="9"/>
      <c r="BC1004" s="9"/>
      <c r="BD1004" s="9"/>
      <c r="BE1004" s="9"/>
      <c r="BF1004" s="9"/>
      <c r="BG1004" s="9"/>
      <c r="BH1004" s="9"/>
      <c r="BI1004" s="9"/>
      <c r="BJ1004" s="9"/>
      <c r="BK1004" s="9"/>
      <c r="BL1004" s="9"/>
    </row>
    <row r="1005" ht="15.75" customHeight="1">
      <c r="U1005" s="10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11"/>
      <c r="AM1005" s="9"/>
      <c r="AN1005" s="9"/>
      <c r="AO1005" s="10"/>
      <c r="AP1005" s="9"/>
      <c r="AQ1005" s="9"/>
      <c r="AR1005" s="9"/>
      <c r="AS1005" s="9"/>
      <c r="AT1005" s="9"/>
      <c r="AU1005" s="9"/>
      <c r="AV1005" s="9"/>
      <c r="AW1005" s="9"/>
      <c r="AX1005" s="9"/>
      <c r="AY1005" s="9"/>
      <c r="AZ1005" s="9"/>
      <c r="BA1005" s="9"/>
      <c r="BB1005" s="9"/>
      <c r="BC1005" s="9"/>
      <c r="BD1005" s="9"/>
      <c r="BE1005" s="9"/>
      <c r="BF1005" s="9"/>
      <c r="BG1005" s="9"/>
      <c r="BH1005" s="9"/>
      <c r="BI1005" s="9"/>
      <c r="BJ1005" s="9"/>
      <c r="BK1005" s="9"/>
      <c r="BL1005" s="9"/>
    </row>
    <row r="1006" ht="15.75" customHeight="1">
      <c r="U1006" s="10"/>
      <c r="V1006" s="9"/>
      <c r="W1006" s="9"/>
      <c r="X1006" s="9"/>
      <c r="Y1006" s="9"/>
      <c r="Z1006" s="9"/>
      <c r="AA1006" s="9"/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  <c r="AL1006" s="11"/>
      <c r="AM1006" s="9"/>
      <c r="AN1006" s="9"/>
      <c r="AO1006" s="10"/>
      <c r="AP1006" s="9"/>
      <c r="AQ1006" s="9"/>
      <c r="AR1006" s="9"/>
      <c r="AS1006" s="9"/>
      <c r="AT1006" s="9"/>
      <c r="AU1006" s="9"/>
      <c r="AV1006" s="9"/>
      <c r="AW1006" s="9"/>
      <c r="AX1006" s="9"/>
      <c r="AY1006" s="9"/>
      <c r="AZ1006" s="9"/>
      <c r="BA1006" s="9"/>
      <c r="BB1006" s="9"/>
      <c r="BC1006" s="9"/>
      <c r="BD1006" s="9"/>
      <c r="BE1006" s="9"/>
      <c r="BF1006" s="9"/>
      <c r="BG1006" s="9"/>
      <c r="BH1006" s="9"/>
      <c r="BI1006" s="9"/>
      <c r="BJ1006" s="9"/>
      <c r="BK1006" s="9"/>
      <c r="BL1006" s="9"/>
    </row>
    <row r="1007" ht="15.75" customHeight="1">
      <c r="U1007" s="10"/>
      <c r="V1007" s="9"/>
      <c r="W1007" s="9"/>
      <c r="X1007" s="9"/>
      <c r="Y1007" s="9"/>
      <c r="Z1007" s="9"/>
      <c r="AA1007" s="9"/>
      <c r="AB1007" s="9"/>
      <c r="AC1007" s="9"/>
      <c r="AD1007" s="9"/>
      <c r="AE1007" s="9"/>
      <c r="AF1007" s="9"/>
      <c r="AG1007" s="9"/>
      <c r="AH1007" s="9"/>
      <c r="AI1007" s="9"/>
      <c r="AJ1007" s="9"/>
      <c r="AK1007" s="9"/>
      <c r="AL1007" s="11"/>
      <c r="AM1007" s="9"/>
      <c r="AN1007" s="9"/>
      <c r="AO1007" s="10"/>
      <c r="AP1007" s="9"/>
      <c r="AQ1007" s="9"/>
      <c r="AR1007" s="9"/>
      <c r="AS1007" s="9"/>
      <c r="AT1007" s="9"/>
      <c r="AU1007" s="9"/>
      <c r="AV1007" s="9"/>
      <c r="AW1007" s="9"/>
      <c r="AX1007" s="9"/>
      <c r="AY1007" s="9"/>
      <c r="AZ1007" s="9"/>
      <c r="BA1007" s="9"/>
      <c r="BB1007" s="9"/>
      <c r="BC1007" s="9"/>
      <c r="BD1007" s="9"/>
      <c r="BE1007" s="9"/>
      <c r="BF1007" s="9"/>
      <c r="BG1007" s="9"/>
      <c r="BH1007" s="9"/>
      <c r="BI1007" s="9"/>
      <c r="BJ1007" s="9"/>
      <c r="BK1007" s="9"/>
      <c r="BL1007" s="9"/>
    </row>
    <row r="1008" ht="15.75" customHeight="1">
      <c r="U1008" s="10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  <c r="AF1008" s="9"/>
      <c r="AG1008" s="9"/>
      <c r="AH1008" s="9"/>
      <c r="AI1008" s="9"/>
      <c r="AJ1008" s="9"/>
      <c r="AK1008" s="9"/>
      <c r="AL1008" s="11"/>
      <c r="AM1008" s="9"/>
      <c r="AN1008" s="9"/>
      <c r="AO1008" s="10"/>
      <c r="AP1008" s="9"/>
      <c r="AQ1008" s="9"/>
      <c r="AR1008" s="9"/>
      <c r="AS1008" s="9"/>
      <c r="AT1008" s="9"/>
      <c r="AU1008" s="9"/>
      <c r="AV1008" s="9"/>
      <c r="AW1008" s="9"/>
      <c r="AX1008" s="9"/>
      <c r="AY1008" s="9"/>
      <c r="AZ1008" s="9"/>
      <c r="BA1008" s="9"/>
      <c r="BB1008" s="9"/>
      <c r="BC1008" s="9"/>
      <c r="BD1008" s="9"/>
      <c r="BE1008" s="9"/>
      <c r="BF1008" s="9"/>
      <c r="BG1008" s="9"/>
      <c r="BH1008" s="9"/>
      <c r="BI1008" s="9"/>
      <c r="BJ1008" s="9"/>
      <c r="BK1008" s="9"/>
      <c r="BL1008" s="9"/>
    </row>
    <row r="1009" ht="15.75" customHeight="1">
      <c r="U1009" s="10"/>
      <c r="V1009" s="9"/>
      <c r="W1009" s="9"/>
      <c r="X1009" s="9"/>
      <c r="Y1009" s="9"/>
      <c r="Z1009" s="9"/>
      <c r="AA1009" s="9"/>
      <c r="AB1009" s="9"/>
      <c r="AC1009" s="9"/>
      <c r="AD1009" s="9"/>
      <c r="AE1009" s="9"/>
      <c r="AF1009" s="9"/>
      <c r="AG1009" s="9"/>
      <c r="AH1009" s="9"/>
      <c r="AI1009" s="9"/>
      <c r="AJ1009" s="9"/>
      <c r="AK1009" s="9"/>
      <c r="AL1009" s="11"/>
      <c r="AM1009" s="9"/>
      <c r="AN1009" s="9"/>
      <c r="AO1009" s="10"/>
      <c r="AP1009" s="9"/>
      <c r="AQ1009" s="9"/>
      <c r="AR1009" s="9"/>
      <c r="AS1009" s="9"/>
      <c r="AT1009" s="9"/>
      <c r="AU1009" s="9"/>
      <c r="AV1009" s="9"/>
      <c r="AW1009" s="9"/>
      <c r="AX1009" s="9"/>
      <c r="AY1009" s="9"/>
      <c r="AZ1009" s="9"/>
      <c r="BA1009" s="9"/>
      <c r="BB1009" s="9"/>
      <c r="BC1009" s="9"/>
      <c r="BD1009" s="9"/>
      <c r="BE1009" s="9"/>
      <c r="BF1009" s="9"/>
      <c r="BG1009" s="9"/>
      <c r="BH1009" s="9"/>
      <c r="BI1009" s="9"/>
      <c r="BJ1009" s="9"/>
      <c r="BK1009" s="9"/>
      <c r="BL1009" s="9"/>
    </row>
    <row r="1010" ht="15.75" customHeight="1">
      <c r="U1010" s="10"/>
      <c r="V1010" s="9"/>
      <c r="W1010" s="9"/>
      <c r="X1010" s="9"/>
      <c r="Y1010" s="9"/>
      <c r="Z1010" s="9"/>
      <c r="AA1010" s="9"/>
      <c r="AB1010" s="9"/>
      <c r="AC1010" s="9"/>
      <c r="AD1010" s="9"/>
      <c r="AE1010" s="9"/>
      <c r="AF1010" s="9"/>
      <c r="AG1010" s="9"/>
      <c r="AH1010" s="9"/>
      <c r="AI1010" s="9"/>
      <c r="AJ1010" s="9"/>
      <c r="AK1010" s="9"/>
      <c r="AL1010" s="11"/>
      <c r="AM1010" s="9"/>
      <c r="AN1010" s="9"/>
      <c r="AO1010" s="10"/>
      <c r="AP1010" s="9"/>
      <c r="AQ1010" s="9"/>
      <c r="AR1010" s="9"/>
      <c r="AS1010" s="9"/>
      <c r="AT1010" s="9"/>
      <c r="AU1010" s="9"/>
      <c r="AV1010" s="9"/>
      <c r="AW1010" s="9"/>
      <c r="AX1010" s="9"/>
      <c r="AY1010" s="9"/>
      <c r="AZ1010" s="9"/>
      <c r="BA1010" s="9"/>
      <c r="BB1010" s="9"/>
      <c r="BC1010" s="9"/>
      <c r="BD1010" s="9"/>
      <c r="BE1010" s="9"/>
      <c r="BF1010" s="9"/>
      <c r="BG1010" s="9"/>
      <c r="BH1010" s="9"/>
      <c r="BI1010" s="9"/>
      <c r="BJ1010" s="9"/>
      <c r="BK1010" s="9"/>
      <c r="BL1010" s="9"/>
    </row>
    <row r="1011" ht="15.75" customHeight="1">
      <c r="U1011" s="10"/>
      <c r="V1011" s="9"/>
      <c r="W1011" s="9"/>
      <c r="X1011" s="9"/>
      <c r="Y1011" s="9"/>
      <c r="Z1011" s="9"/>
      <c r="AA1011" s="9"/>
      <c r="AB1011" s="9"/>
      <c r="AC1011" s="9"/>
      <c r="AD1011" s="9"/>
      <c r="AE1011" s="9"/>
      <c r="AF1011" s="9"/>
      <c r="AG1011" s="9"/>
      <c r="AH1011" s="9"/>
      <c r="AI1011" s="9"/>
      <c r="AJ1011" s="9"/>
      <c r="AK1011" s="9"/>
      <c r="AL1011" s="11"/>
      <c r="AM1011" s="9"/>
      <c r="AN1011" s="9"/>
      <c r="AO1011" s="10"/>
      <c r="AP1011" s="9"/>
      <c r="AQ1011" s="9"/>
      <c r="AR1011" s="9"/>
      <c r="AS1011" s="9"/>
      <c r="AT1011" s="9"/>
      <c r="AU1011" s="9"/>
      <c r="AV1011" s="9"/>
      <c r="AW1011" s="9"/>
      <c r="AX1011" s="9"/>
      <c r="AY1011" s="9"/>
      <c r="AZ1011" s="9"/>
      <c r="BA1011" s="9"/>
      <c r="BB1011" s="9"/>
      <c r="BC1011" s="9"/>
      <c r="BD1011" s="9"/>
      <c r="BE1011" s="9"/>
      <c r="BF1011" s="9"/>
      <c r="BG1011" s="9"/>
      <c r="BH1011" s="9"/>
      <c r="BI1011" s="9"/>
      <c r="BJ1011" s="9"/>
      <c r="BK1011" s="9"/>
      <c r="BL1011" s="9"/>
    </row>
  </sheetData>
  <printOptions gridLines="1" horizontalCentered="1"/>
  <pageMargins bottom="0.75" footer="0.0" header="0.0" left="0.25" right="0.25" top="0.75"/>
  <pageSetup cellComments="atEnd" orientation="landscape" pageOrder="overThenDown"/>
  <colBreaks count="2" manualBreakCount="2">
    <brk id="17" man="1"/>
    <brk id="3" man="1"/>
  </colBreak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sheetData>
    <row r="1">
      <c r="A1" s="72" t="s">
        <v>200</v>
      </c>
      <c r="B1" s="1"/>
      <c r="C1" s="1"/>
    </row>
    <row r="3">
      <c r="A3" s="12" t="s">
        <v>1</v>
      </c>
      <c r="B3" s="38" t="s">
        <v>201</v>
      </c>
      <c r="C3" s="12"/>
    </row>
    <row r="4">
      <c r="A4" s="12" t="s">
        <v>3</v>
      </c>
      <c r="B4" s="38" t="s">
        <v>260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203</v>
      </c>
      <c r="H6" s="30" t="s">
        <v>204</v>
      </c>
      <c r="I6" s="30" t="s">
        <v>205</v>
      </c>
      <c r="J6" s="30" t="s">
        <v>206</v>
      </c>
      <c r="K6" s="30" t="s">
        <v>207</v>
      </c>
      <c r="L6" s="30" t="s">
        <v>208</v>
      </c>
      <c r="M6" s="30" t="s">
        <v>209</v>
      </c>
      <c r="N6" s="30" t="s">
        <v>210</v>
      </c>
      <c r="O6" s="30" t="s">
        <v>211</v>
      </c>
      <c r="P6" s="30" t="s">
        <v>212</v>
      </c>
      <c r="Q6" s="30" t="s">
        <v>213</v>
      </c>
      <c r="R6" s="30" t="s">
        <v>214</v>
      </c>
      <c r="S6" s="30" t="s">
        <v>215</v>
      </c>
      <c r="T6" s="30" t="s">
        <v>216</v>
      </c>
      <c r="U6" s="30" t="s">
        <v>217</v>
      </c>
      <c r="V6" s="30" t="s">
        <v>218</v>
      </c>
      <c r="W6" s="30" t="s">
        <v>219</v>
      </c>
      <c r="X6" s="30" t="s">
        <v>220</v>
      </c>
      <c r="Y6" s="30" t="s">
        <v>221</v>
      </c>
      <c r="Z6" s="30" t="s">
        <v>222</v>
      </c>
      <c r="AA6" s="30" t="s">
        <v>223</v>
      </c>
      <c r="AB6" s="30" t="s">
        <v>224</v>
      </c>
      <c r="AC6" s="30" t="s">
        <v>225</v>
      </c>
      <c r="AD6" s="30" t="s">
        <v>226</v>
      </c>
      <c r="AE6" s="30" t="s">
        <v>227</v>
      </c>
      <c r="AF6" s="30" t="s">
        <v>228</v>
      </c>
      <c r="AG6" s="30" t="s">
        <v>229</v>
      </c>
      <c r="AH6" s="30" t="s">
        <v>230</v>
      </c>
      <c r="AI6" s="30" t="s">
        <v>231</v>
      </c>
      <c r="AJ6" s="30" t="s">
        <v>232</v>
      </c>
      <c r="AK6" s="30" t="s">
        <v>233</v>
      </c>
      <c r="AL6" s="30" t="s">
        <v>234</v>
      </c>
      <c r="AM6" s="30" t="s">
        <v>235</v>
      </c>
      <c r="AN6" s="30" t="s">
        <v>236</v>
      </c>
      <c r="AO6" s="30" t="s">
        <v>237</v>
      </c>
      <c r="AP6" s="30" t="s">
        <v>238</v>
      </c>
      <c r="AQ6" s="30" t="s">
        <v>239</v>
      </c>
      <c r="AR6" s="30" t="s">
        <v>240</v>
      </c>
      <c r="AS6" s="30" t="s">
        <v>241</v>
      </c>
      <c r="AT6" s="30" t="s">
        <v>242</v>
      </c>
      <c r="AU6" s="30" t="s">
        <v>243</v>
      </c>
      <c r="AV6" s="30" t="s">
        <v>244</v>
      </c>
      <c r="AW6" s="30" t="s">
        <v>245</v>
      </c>
      <c r="AX6" s="30" t="s">
        <v>246</v>
      </c>
      <c r="AY6" s="30" t="s">
        <v>247</v>
      </c>
      <c r="AZ6" s="30" t="s">
        <v>248</v>
      </c>
      <c r="BA6" s="30" t="s">
        <v>249</v>
      </c>
      <c r="BB6" s="30" t="s">
        <v>250</v>
      </c>
      <c r="BC6" s="30" t="s">
        <v>251</v>
      </c>
      <c r="BD6" s="30" t="s">
        <v>252</v>
      </c>
      <c r="BE6" s="30" t="s">
        <v>253</v>
      </c>
      <c r="BF6" s="29" t="s">
        <v>26</v>
      </c>
      <c r="BG6" s="9"/>
      <c r="BH6" s="9"/>
      <c r="BI6" s="9"/>
    </row>
    <row r="7">
      <c r="A7" s="12" t="s">
        <v>57</v>
      </c>
      <c r="B7" s="12" t="s">
        <v>58</v>
      </c>
      <c r="C7" s="12">
        <v>2352.0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</row>
    <row r="31">
      <c r="A31" s="38" t="s">
        <v>70</v>
      </c>
      <c r="B31" s="38" t="s">
        <v>58</v>
      </c>
      <c r="C31" s="38">
        <v>2376.0</v>
      </c>
    </row>
    <row r="32">
      <c r="A32" s="38" t="s">
        <v>70</v>
      </c>
      <c r="B32" s="38" t="s">
        <v>58</v>
      </c>
      <c r="C32" s="38">
        <v>2377.0</v>
      </c>
    </row>
    <row r="33">
      <c r="A33" s="38" t="s">
        <v>70</v>
      </c>
      <c r="B33" s="38" t="s">
        <v>64</v>
      </c>
      <c r="C33" s="38">
        <v>2378.0</v>
      </c>
    </row>
    <row r="34">
      <c r="A34" s="38" t="s">
        <v>70</v>
      </c>
      <c r="B34" s="38" t="s">
        <v>64</v>
      </c>
      <c r="C34" s="38">
        <v>2379.0</v>
      </c>
    </row>
    <row r="35">
      <c r="A35" s="38" t="s">
        <v>70</v>
      </c>
      <c r="B35" s="38" t="s">
        <v>58</v>
      </c>
      <c r="C35" s="38">
        <v>2380.0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</row>
    <row r="47">
      <c r="A47" s="12" t="s">
        <v>74</v>
      </c>
      <c r="B47" s="12" t="s">
        <v>64</v>
      </c>
      <c r="C47" s="12">
        <v>2346.0</v>
      </c>
    </row>
    <row r="48">
      <c r="A48" s="12" t="s">
        <v>74</v>
      </c>
      <c r="B48" s="12" t="s">
        <v>64</v>
      </c>
      <c r="C48" s="12">
        <v>2347.0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</row>
    <row r="92">
      <c r="A92" s="53" t="s">
        <v>107</v>
      </c>
      <c r="B92" s="54" t="s">
        <v>64</v>
      </c>
      <c r="C92" s="55">
        <v>2371.0</v>
      </c>
    </row>
    <row r="93">
      <c r="A93" s="53" t="s">
        <v>108</v>
      </c>
      <c r="B93" s="54" t="s">
        <v>64</v>
      </c>
      <c r="C93" s="55">
        <v>2372.0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  <c r="F107" s="70">
        <v>44624.0</v>
      </c>
      <c r="AH107" s="57">
        <v>1.74</v>
      </c>
      <c r="AI107" s="57">
        <v>0.2576</v>
      </c>
      <c r="AK107" s="57">
        <v>1.53</v>
      </c>
      <c r="AL107" s="57">
        <v>0.1349</v>
      </c>
      <c r="AN107" s="57">
        <v>1.69</v>
      </c>
      <c r="AO107" s="57">
        <v>0.1039</v>
      </c>
      <c r="AQ107" s="57">
        <v>2.91</v>
      </c>
      <c r="AR107" s="57">
        <v>0.3073</v>
      </c>
      <c r="AT107" s="57">
        <v>1.2</v>
      </c>
      <c r="AU107" s="57">
        <v>0.1234</v>
      </c>
      <c r="AW107" s="57">
        <v>0.4</v>
      </c>
      <c r="AX107" s="57">
        <v>0.1281</v>
      </c>
      <c r="AZ107" s="57">
        <v>0.4</v>
      </c>
      <c r="BA107" s="57">
        <v>0.2118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F110" s="70">
        <v>44624.0</v>
      </c>
      <c r="AH110" s="57">
        <v>1.44</v>
      </c>
      <c r="AK110" s="57">
        <v>1.3</v>
      </c>
      <c r="AN110" s="57">
        <v>1.35</v>
      </c>
      <c r="AQ110" s="57">
        <v>1.55</v>
      </c>
      <c r="AR110" s="57">
        <v>0.1778</v>
      </c>
      <c r="AT110" s="57">
        <v>1.6</v>
      </c>
      <c r="AU110" s="57">
        <v>0.1344</v>
      </c>
      <c r="AW110" s="57">
        <v>1.95</v>
      </c>
      <c r="AX110" s="57">
        <v>0.224</v>
      </c>
      <c r="AZ110" s="57">
        <v>1.96</v>
      </c>
      <c r="BA110" s="57">
        <v>0.1662</v>
      </c>
    </row>
    <row r="111">
      <c r="A111" s="2" t="s">
        <v>117</v>
      </c>
      <c r="B111" s="54" t="s">
        <v>64</v>
      </c>
      <c r="C111" s="60">
        <v>2383.0</v>
      </c>
    </row>
    <row r="112">
      <c r="A112" s="2" t="s">
        <v>117</v>
      </c>
      <c r="B112" s="54" t="s">
        <v>64</v>
      </c>
      <c r="C112" s="57">
        <v>2384.0</v>
      </c>
      <c r="F112" s="70">
        <v>44624.0</v>
      </c>
      <c r="AH112" s="57">
        <v>1.55</v>
      </c>
      <c r="AK112" s="57">
        <v>1.35</v>
      </c>
      <c r="AN112" s="57">
        <v>1.35</v>
      </c>
    </row>
    <row r="113">
      <c r="A113" s="57" t="s">
        <v>136</v>
      </c>
      <c r="B113" s="54" t="s">
        <v>64</v>
      </c>
      <c r="C113" s="57">
        <v>2004.0</v>
      </c>
    </row>
    <row r="114">
      <c r="A114" s="57" t="s">
        <v>136</v>
      </c>
      <c r="B114" s="54" t="s">
        <v>64</v>
      </c>
      <c r="C114" s="57">
        <v>2005.0</v>
      </c>
    </row>
    <row r="115">
      <c r="A115" s="57" t="s">
        <v>136</v>
      </c>
      <c r="B115" s="54" t="s">
        <v>64</v>
      </c>
      <c r="C115" s="57">
        <v>2006.0</v>
      </c>
    </row>
    <row r="116">
      <c r="A116" s="57" t="s">
        <v>136</v>
      </c>
      <c r="B116" s="54" t="s">
        <v>64</v>
      </c>
      <c r="C116" s="57">
        <v>2007.0</v>
      </c>
    </row>
    <row r="117">
      <c r="A117" s="57" t="s">
        <v>254</v>
      </c>
      <c r="B117" s="54" t="s">
        <v>139</v>
      </c>
    </row>
    <row r="118">
      <c r="A118" s="57" t="s">
        <v>141</v>
      </c>
      <c r="B118" s="54" t="s">
        <v>139</v>
      </c>
    </row>
    <row r="119">
      <c r="A119" s="57" t="s">
        <v>136</v>
      </c>
      <c r="B119" s="54" t="s">
        <v>139</v>
      </c>
    </row>
    <row r="120">
      <c r="A120" s="57" t="s">
        <v>254</v>
      </c>
      <c r="B120" s="54" t="s">
        <v>144</v>
      </c>
    </row>
    <row r="121">
      <c r="A121" s="57" t="s">
        <v>141</v>
      </c>
      <c r="B121" s="54" t="s">
        <v>144</v>
      </c>
    </row>
    <row r="122">
      <c r="A122" s="57" t="s">
        <v>136</v>
      </c>
      <c r="B122" s="54" t="s">
        <v>144</v>
      </c>
    </row>
    <row r="123">
      <c r="A123" s="57" t="s">
        <v>255</v>
      </c>
      <c r="B123" s="54" t="s">
        <v>58</v>
      </c>
      <c r="C123" s="57">
        <v>2093.0</v>
      </c>
    </row>
    <row r="124">
      <c r="A124" s="57" t="s">
        <v>255</v>
      </c>
      <c r="B124" s="54" t="s">
        <v>58</v>
      </c>
      <c r="C124" s="57">
        <v>2092.0</v>
      </c>
    </row>
    <row r="125">
      <c r="A125" s="57" t="s">
        <v>255</v>
      </c>
      <c r="B125" s="54" t="s">
        <v>58</v>
      </c>
      <c r="C125" s="57">
        <v>2091.0</v>
      </c>
    </row>
    <row r="126">
      <c r="A126" s="57" t="s">
        <v>255</v>
      </c>
      <c r="B126" s="54" t="s">
        <v>149</v>
      </c>
      <c r="C126" s="57">
        <v>2090.0</v>
      </c>
    </row>
    <row r="127">
      <c r="A127" s="57" t="s">
        <v>255</v>
      </c>
      <c r="B127" s="54" t="s">
        <v>58</v>
      </c>
      <c r="C127" s="57">
        <v>2089.0</v>
      </c>
    </row>
    <row r="128">
      <c r="A128" s="57" t="s">
        <v>255</v>
      </c>
      <c r="B128" s="54" t="s">
        <v>64</v>
      </c>
      <c r="C128" s="57">
        <v>2088.0</v>
      </c>
    </row>
    <row r="129">
      <c r="A129" s="57" t="s">
        <v>255</v>
      </c>
      <c r="B129" s="54" t="s">
        <v>64</v>
      </c>
      <c r="C129" s="57">
        <v>2087.0</v>
      </c>
    </row>
    <row r="130">
      <c r="A130" s="57" t="s">
        <v>255</v>
      </c>
      <c r="B130" s="54" t="s">
        <v>64</v>
      </c>
      <c r="C130" s="57">
        <v>2086.0</v>
      </c>
    </row>
    <row r="131">
      <c r="A131" s="57" t="s">
        <v>255</v>
      </c>
      <c r="B131" s="54" t="s">
        <v>64</v>
      </c>
      <c r="C131" s="57">
        <v>2085.0</v>
      </c>
    </row>
    <row r="132">
      <c r="A132" s="57" t="s">
        <v>141</v>
      </c>
      <c r="B132" s="54" t="s">
        <v>64</v>
      </c>
      <c r="C132" s="57">
        <v>2020.0</v>
      </c>
    </row>
    <row r="133">
      <c r="A133" s="57" t="s">
        <v>141</v>
      </c>
      <c r="B133" s="54" t="s">
        <v>64</v>
      </c>
      <c r="C133" s="57">
        <v>2021.0</v>
      </c>
    </row>
    <row r="134">
      <c r="A134" s="57" t="s">
        <v>141</v>
      </c>
      <c r="B134" s="54" t="s">
        <v>58</v>
      </c>
      <c r="C134" s="57">
        <v>2022.0</v>
      </c>
    </row>
    <row r="135">
      <c r="A135" s="57" t="s">
        <v>141</v>
      </c>
      <c r="B135" s="54" t="s">
        <v>58</v>
      </c>
      <c r="C135" s="57">
        <v>2023.0</v>
      </c>
    </row>
    <row r="136">
      <c r="A136" s="57" t="s">
        <v>141</v>
      </c>
      <c r="B136" s="54" t="s">
        <v>64</v>
      </c>
      <c r="C136" s="57">
        <v>2024.0</v>
      </c>
    </row>
    <row r="137">
      <c r="A137" s="57" t="s">
        <v>141</v>
      </c>
      <c r="B137" s="54" t="s">
        <v>64</v>
      </c>
      <c r="C137" s="57">
        <v>2025.0</v>
      </c>
    </row>
    <row r="138">
      <c r="A138" s="57" t="s">
        <v>150</v>
      </c>
      <c r="B138" s="54" t="s">
        <v>64</v>
      </c>
      <c r="C138" s="57">
        <v>2026.0</v>
      </c>
    </row>
    <row r="139">
      <c r="A139" s="57" t="s">
        <v>150</v>
      </c>
      <c r="B139" s="54" t="s">
        <v>64</v>
      </c>
      <c r="C139" s="57">
        <v>2027.0</v>
      </c>
    </row>
    <row r="140">
      <c r="A140" s="57" t="s">
        <v>150</v>
      </c>
      <c r="B140" s="54"/>
      <c r="C140" s="57">
        <v>2028.0</v>
      </c>
    </row>
    <row r="141">
      <c r="A141" s="57" t="s">
        <v>150</v>
      </c>
      <c r="B141" s="54"/>
      <c r="C141" s="57">
        <v>2029.0</v>
      </c>
    </row>
    <row r="142">
      <c r="A142" s="57" t="s">
        <v>150</v>
      </c>
      <c r="B142" s="54"/>
      <c r="C142" s="57">
        <v>2030.0</v>
      </c>
    </row>
    <row r="143">
      <c r="A143" s="57" t="s">
        <v>150</v>
      </c>
      <c r="B143" s="54"/>
      <c r="C143" s="57">
        <v>2031.0</v>
      </c>
    </row>
    <row r="144">
      <c r="A144" s="57" t="s">
        <v>256</v>
      </c>
      <c r="B144" s="54" t="s">
        <v>64</v>
      </c>
      <c r="C144" s="57">
        <v>2012.0</v>
      </c>
    </row>
    <row r="145">
      <c r="A145" s="57" t="s">
        <v>256</v>
      </c>
      <c r="B145" s="54" t="s">
        <v>64</v>
      </c>
      <c r="C145" s="57">
        <v>2013.0</v>
      </c>
    </row>
    <row r="146">
      <c r="A146" s="57" t="s">
        <v>256</v>
      </c>
      <c r="B146" s="54" t="s">
        <v>64</v>
      </c>
      <c r="C146" s="57">
        <v>2014.0</v>
      </c>
    </row>
    <row r="147">
      <c r="A147" s="57" t="s">
        <v>256</v>
      </c>
      <c r="B147" s="54" t="s">
        <v>64</v>
      </c>
      <c r="C147" s="57">
        <v>2015.0</v>
      </c>
    </row>
    <row r="148">
      <c r="A148" s="57" t="s">
        <v>256</v>
      </c>
      <c r="B148" s="54" t="s">
        <v>64</v>
      </c>
      <c r="C148" s="57">
        <v>1478.0</v>
      </c>
    </row>
    <row r="149">
      <c r="B149" s="54"/>
      <c r="C149" s="57">
        <v>2011.0</v>
      </c>
    </row>
    <row r="150">
      <c r="A150" s="57" t="s">
        <v>257</v>
      </c>
      <c r="B150" s="54" t="s">
        <v>64</v>
      </c>
      <c r="C150" s="57">
        <v>2010.0</v>
      </c>
    </row>
    <row r="151">
      <c r="A151" s="57" t="s">
        <v>258</v>
      </c>
      <c r="B151" s="54" t="s">
        <v>64</v>
      </c>
      <c r="C151" s="57">
        <v>2009.0</v>
      </c>
    </row>
    <row r="152">
      <c r="B152" s="3"/>
      <c r="C152" s="57">
        <v>2008.0</v>
      </c>
    </row>
    <row r="153">
      <c r="B153" s="54" t="s">
        <v>64</v>
      </c>
      <c r="C153" s="57">
        <v>2032.0</v>
      </c>
    </row>
    <row r="154">
      <c r="B154" s="54" t="s">
        <v>64</v>
      </c>
      <c r="C154" s="57">
        <v>2385.0</v>
      </c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1" width="14.71"/>
    <col customWidth="1" min="2" max="2" width="11.43"/>
    <col customWidth="1" min="3" max="3" width="25.86"/>
    <col customWidth="1" min="6" max="6" width="17.0"/>
  </cols>
  <sheetData>
    <row r="1">
      <c r="A1" s="72" t="s">
        <v>200</v>
      </c>
      <c r="B1" s="1"/>
      <c r="C1" s="1"/>
      <c r="D1" s="6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8"/>
    </row>
    <row r="2">
      <c r="D2" s="10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11"/>
    </row>
    <row r="3">
      <c r="A3" s="12" t="s">
        <v>1</v>
      </c>
      <c r="B3" s="38" t="s">
        <v>201</v>
      </c>
      <c r="C3" s="12"/>
      <c r="D3" s="10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11"/>
    </row>
    <row r="4">
      <c r="A4" s="12" t="s">
        <v>3</v>
      </c>
      <c r="B4" s="38" t="s">
        <v>261</v>
      </c>
      <c r="D4" s="38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11"/>
    </row>
    <row r="5">
      <c r="A5" s="57" t="s">
        <v>262</v>
      </c>
      <c r="D5" s="14" t="s">
        <v>263</v>
      </c>
      <c r="E5" s="9"/>
      <c r="F5" s="9"/>
      <c r="G5" s="15" t="s">
        <v>264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11"/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203</v>
      </c>
      <c r="H6" s="30" t="s">
        <v>204</v>
      </c>
      <c r="I6" s="30" t="s">
        <v>205</v>
      </c>
      <c r="J6" s="30" t="s">
        <v>206</v>
      </c>
      <c r="K6" s="30" t="s">
        <v>207</v>
      </c>
      <c r="L6" s="30" t="s">
        <v>208</v>
      </c>
      <c r="M6" s="30" t="s">
        <v>209</v>
      </c>
      <c r="N6" s="30" t="s">
        <v>210</v>
      </c>
      <c r="O6" s="30" t="s">
        <v>211</v>
      </c>
      <c r="P6" s="30" t="s">
        <v>212</v>
      </c>
      <c r="Q6" s="30" t="s">
        <v>213</v>
      </c>
      <c r="R6" s="30" t="s">
        <v>214</v>
      </c>
      <c r="S6" s="30" t="s">
        <v>215</v>
      </c>
      <c r="T6" s="30" t="s">
        <v>216</v>
      </c>
      <c r="U6" s="30" t="s">
        <v>217</v>
      </c>
      <c r="V6" s="30" t="s">
        <v>218</v>
      </c>
      <c r="W6" s="30" t="s">
        <v>219</v>
      </c>
      <c r="X6" s="30" t="s">
        <v>220</v>
      </c>
      <c r="Y6" s="30" t="s">
        <v>221</v>
      </c>
      <c r="Z6" s="30" t="s">
        <v>222</v>
      </c>
      <c r="AA6" s="30" t="s">
        <v>223</v>
      </c>
      <c r="AB6" s="30" t="s">
        <v>224</v>
      </c>
      <c r="AC6" s="30" t="s">
        <v>225</v>
      </c>
      <c r="AD6" s="30" t="s">
        <v>226</v>
      </c>
      <c r="AE6" s="30" t="s">
        <v>227</v>
      </c>
      <c r="AF6" s="30" t="s">
        <v>228</v>
      </c>
      <c r="AG6" s="30" t="s">
        <v>229</v>
      </c>
      <c r="AH6" s="30" t="s">
        <v>230</v>
      </c>
      <c r="AI6" s="30" t="s">
        <v>231</v>
      </c>
      <c r="AJ6" s="30" t="s">
        <v>232</v>
      </c>
      <c r="AK6" s="30" t="s">
        <v>233</v>
      </c>
      <c r="AL6" s="30" t="s">
        <v>234</v>
      </c>
      <c r="AM6" s="30" t="s">
        <v>235</v>
      </c>
      <c r="AN6" s="30" t="s">
        <v>236</v>
      </c>
      <c r="AO6" s="30" t="s">
        <v>237</v>
      </c>
      <c r="AP6" s="30" t="s">
        <v>238</v>
      </c>
      <c r="AQ6" s="30" t="s">
        <v>239</v>
      </c>
      <c r="AR6" s="30" t="s">
        <v>240</v>
      </c>
      <c r="AS6" s="30" t="s">
        <v>241</v>
      </c>
      <c r="AT6" s="30" t="s">
        <v>242</v>
      </c>
      <c r="AU6" s="30" t="s">
        <v>243</v>
      </c>
      <c r="AV6" s="30" t="s">
        <v>244</v>
      </c>
      <c r="AW6" s="30" t="s">
        <v>245</v>
      </c>
      <c r="AX6" s="30" t="s">
        <v>246</v>
      </c>
      <c r="AY6" s="30" t="s">
        <v>247</v>
      </c>
      <c r="AZ6" s="30" t="s">
        <v>248</v>
      </c>
      <c r="BA6" s="30" t="s">
        <v>249</v>
      </c>
      <c r="BB6" s="30" t="s">
        <v>250</v>
      </c>
      <c r="BC6" s="30" t="s">
        <v>251</v>
      </c>
      <c r="BD6" s="30" t="s">
        <v>252</v>
      </c>
      <c r="BE6" s="30" t="s">
        <v>253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  <c r="D7" s="70"/>
      <c r="F7" s="57" t="s">
        <v>265</v>
      </c>
      <c r="G7" s="57">
        <v>1.51</v>
      </c>
      <c r="H7" s="57">
        <v>0.1245</v>
      </c>
      <c r="I7" s="57">
        <v>0.076</v>
      </c>
      <c r="J7" s="57">
        <v>1.23</v>
      </c>
      <c r="K7" s="57">
        <v>0.1688</v>
      </c>
      <c r="L7" s="57">
        <v>0.104</v>
      </c>
      <c r="M7" s="57">
        <v>1.48</v>
      </c>
      <c r="N7" s="57">
        <v>0.2144</v>
      </c>
      <c r="O7" s="57">
        <v>0.076</v>
      </c>
      <c r="Z7" s="57"/>
      <c r="AA7" s="57"/>
      <c r="AB7" s="57"/>
      <c r="AC7" s="57"/>
      <c r="AD7" s="57"/>
      <c r="AE7" s="57">
        <v>1.0667</v>
      </c>
      <c r="AF7" s="57">
        <v>0.653</v>
      </c>
      <c r="AH7" s="57">
        <v>3.5</v>
      </c>
      <c r="AI7" s="57">
        <v>0.2461</v>
      </c>
      <c r="AJ7" s="57">
        <v>0.15</v>
      </c>
      <c r="AK7" s="57">
        <v>1.75</v>
      </c>
      <c r="AL7" s="57">
        <v>0.2196</v>
      </c>
      <c r="AM7" s="57">
        <v>0.132</v>
      </c>
      <c r="AN7" s="57">
        <v>1.85</v>
      </c>
      <c r="AO7" s="57">
        <v>0.1721</v>
      </c>
      <c r="AP7" s="57">
        <v>0.1</v>
      </c>
      <c r="AQ7" s="57">
        <v>2.95</v>
      </c>
      <c r="AR7" s="57">
        <v>0.21</v>
      </c>
      <c r="AS7" s="57">
        <v>0.131</v>
      </c>
      <c r="AT7" s="57">
        <v>2.0</v>
      </c>
      <c r="AU7" s="57">
        <v>0.2378</v>
      </c>
      <c r="AV7" s="57">
        <v>0.144</v>
      </c>
      <c r="AW7" s="57">
        <v>2.6</v>
      </c>
      <c r="AX7" s="57">
        <v>0.1909</v>
      </c>
      <c r="AY7" s="57">
        <v>0.118</v>
      </c>
      <c r="BC7" s="57">
        <v>0.241</v>
      </c>
      <c r="BD7" s="57">
        <v>0.152</v>
      </c>
    </row>
    <row r="8">
      <c r="A8" s="12" t="s">
        <v>57</v>
      </c>
      <c r="B8" s="12" t="s">
        <v>58</v>
      </c>
      <c r="C8" s="12">
        <v>2353.0</v>
      </c>
      <c r="D8" s="70"/>
    </row>
    <row r="9">
      <c r="A9" s="12" t="s">
        <v>57</v>
      </c>
      <c r="B9" s="12" t="s">
        <v>58</v>
      </c>
      <c r="C9" s="34">
        <v>2354.0</v>
      </c>
      <c r="D9" s="70"/>
      <c r="F9" s="57" t="s">
        <v>265</v>
      </c>
      <c r="G9" s="57">
        <v>2.82</v>
      </c>
      <c r="H9" s="57">
        <v>0.3736</v>
      </c>
      <c r="I9" s="57">
        <v>0.228</v>
      </c>
      <c r="J9" s="57">
        <v>2.57</v>
      </c>
      <c r="K9" s="57">
        <v>0.2637</v>
      </c>
      <c r="L9" s="57">
        <v>0.157</v>
      </c>
      <c r="M9" s="57">
        <v>1.82</v>
      </c>
      <c r="N9" s="57">
        <v>0.37</v>
      </c>
      <c r="O9" s="57">
        <v>0.218</v>
      </c>
      <c r="P9" s="57">
        <v>2.709</v>
      </c>
      <c r="Q9" s="57">
        <v>0.2703</v>
      </c>
      <c r="R9" s="57">
        <v>0.159</v>
      </c>
      <c r="Z9" s="57"/>
      <c r="AA9" s="57"/>
      <c r="AB9" s="57"/>
      <c r="AC9" s="57"/>
      <c r="AD9" s="57"/>
      <c r="AE9" s="57">
        <v>1.4173</v>
      </c>
      <c r="AF9" s="57">
        <v>0.849</v>
      </c>
      <c r="AH9" s="57">
        <v>2.9</v>
      </c>
      <c r="AI9" s="57">
        <v>0.2881</v>
      </c>
      <c r="AJ9" s="57">
        <v>0.175</v>
      </c>
      <c r="AK9" s="57">
        <v>1.69</v>
      </c>
      <c r="AL9" s="57">
        <v>0.284</v>
      </c>
      <c r="AM9" s="57">
        <v>0.166</v>
      </c>
      <c r="AN9" s="57">
        <v>1.7</v>
      </c>
      <c r="AO9" s="57">
        <v>0.2087</v>
      </c>
      <c r="AP9" s="57">
        <v>0.126</v>
      </c>
      <c r="AQ9" s="57">
        <v>1.65</v>
      </c>
      <c r="AR9" s="57">
        <v>0.3681</v>
      </c>
      <c r="AS9" s="57">
        <v>0.226</v>
      </c>
      <c r="BC9" s="57">
        <v>1.0383</v>
      </c>
      <c r="BD9" s="57">
        <v>0.62</v>
      </c>
    </row>
    <row r="10">
      <c r="A10" s="12" t="s">
        <v>57</v>
      </c>
      <c r="B10" s="12" t="s">
        <v>64</v>
      </c>
      <c r="C10" s="12">
        <v>2355.0</v>
      </c>
      <c r="D10" s="70"/>
    </row>
    <row r="11">
      <c r="A11" s="12" t="s">
        <v>57</v>
      </c>
      <c r="B11" s="12" t="s">
        <v>64</v>
      </c>
      <c r="C11" s="34" t="s">
        <v>65</v>
      </c>
      <c r="D11" s="70"/>
    </row>
    <row r="12">
      <c r="A12" s="12" t="s">
        <v>57</v>
      </c>
      <c r="B12" s="12" t="s">
        <v>64</v>
      </c>
      <c r="C12" s="12">
        <v>2356.0</v>
      </c>
      <c r="D12" s="70"/>
    </row>
    <row r="13">
      <c r="A13" s="12" t="s">
        <v>57</v>
      </c>
      <c r="B13" s="12" t="s">
        <v>64</v>
      </c>
      <c r="C13" s="12">
        <v>2357.0</v>
      </c>
      <c r="D13" s="70"/>
    </row>
    <row r="14">
      <c r="A14" s="12" t="s">
        <v>57</v>
      </c>
      <c r="B14" s="12" t="s">
        <v>64</v>
      </c>
      <c r="C14" s="34" t="s">
        <v>65</v>
      </c>
      <c r="D14" s="70"/>
    </row>
    <row r="15">
      <c r="A15" s="12" t="s">
        <v>57</v>
      </c>
      <c r="B15" s="12" t="s">
        <v>64</v>
      </c>
      <c r="C15" s="12">
        <v>2358.0</v>
      </c>
      <c r="D15" s="70"/>
    </row>
    <row r="16">
      <c r="A16" s="12" t="s">
        <v>57</v>
      </c>
      <c r="B16" s="12" t="s">
        <v>64</v>
      </c>
      <c r="C16" s="12">
        <v>2359.0</v>
      </c>
      <c r="D16" s="70"/>
    </row>
    <row r="17">
      <c r="A17" s="12" t="s">
        <v>57</v>
      </c>
      <c r="B17" s="12" t="s">
        <v>64</v>
      </c>
      <c r="C17" s="34" t="s">
        <v>65</v>
      </c>
      <c r="D17" s="70"/>
    </row>
    <row r="18">
      <c r="A18" s="12" t="s">
        <v>57</v>
      </c>
      <c r="B18" s="12" t="s">
        <v>64</v>
      </c>
      <c r="C18" s="12">
        <v>2360.0</v>
      </c>
      <c r="D18" s="70"/>
    </row>
    <row r="19">
      <c r="A19" s="12" t="s">
        <v>57</v>
      </c>
      <c r="B19" s="12" t="s">
        <v>64</v>
      </c>
      <c r="C19" s="12">
        <v>2361.0</v>
      </c>
      <c r="D19" s="70"/>
    </row>
    <row r="20">
      <c r="A20" s="12" t="s">
        <v>57</v>
      </c>
      <c r="B20" s="12" t="s">
        <v>64</v>
      </c>
      <c r="C20" s="34" t="s">
        <v>65</v>
      </c>
      <c r="D20" s="70"/>
    </row>
    <row r="21">
      <c r="A21" s="12" t="s">
        <v>57</v>
      </c>
      <c r="B21" s="12" t="s">
        <v>64</v>
      </c>
      <c r="C21" s="12">
        <v>2362.0</v>
      </c>
      <c r="D21" s="70"/>
    </row>
    <row r="22">
      <c r="A22" s="12" t="s">
        <v>57</v>
      </c>
      <c r="B22" s="12" t="s">
        <v>64</v>
      </c>
      <c r="C22" s="12">
        <v>2363.0</v>
      </c>
      <c r="D22" s="70"/>
    </row>
    <row r="23">
      <c r="A23" s="12" t="s">
        <v>57</v>
      </c>
      <c r="B23" s="12" t="s">
        <v>64</v>
      </c>
      <c r="C23" s="12">
        <v>2364.0</v>
      </c>
      <c r="D23" s="70"/>
    </row>
    <row r="24">
      <c r="A24" s="12" t="s">
        <v>57</v>
      </c>
      <c r="B24" s="12" t="s">
        <v>64</v>
      </c>
      <c r="C24" s="12">
        <v>2365.0</v>
      </c>
      <c r="D24" s="70"/>
      <c r="F24" s="70">
        <v>44628.0</v>
      </c>
      <c r="G24" s="57">
        <v>1.82</v>
      </c>
      <c r="J24" s="57">
        <v>1.519</v>
      </c>
      <c r="M24" s="57">
        <v>1.63</v>
      </c>
      <c r="AE24" s="57">
        <v>0.5754</v>
      </c>
      <c r="AF24" s="57">
        <v>0.206</v>
      </c>
      <c r="AH24" s="57">
        <v>1.65</v>
      </c>
      <c r="AI24" s="57">
        <v>0.0622</v>
      </c>
      <c r="AJ24" s="57">
        <v>0.023</v>
      </c>
      <c r="AK24" s="57">
        <v>2.8</v>
      </c>
      <c r="AL24" s="57">
        <v>0.1227</v>
      </c>
      <c r="AM24" s="57">
        <v>0.067</v>
      </c>
      <c r="AN24" s="57">
        <v>1.85</v>
      </c>
      <c r="AO24" s="57">
        <v>0.1412</v>
      </c>
      <c r="AP24" s="57">
        <v>0.051</v>
      </c>
      <c r="BC24" s="57">
        <v>2.0149</v>
      </c>
      <c r="BF24" s="57" t="s">
        <v>266</v>
      </c>
    </row>
    <row r="25">
      <c r="A25" s="12" t="s">
        <v>57</v>
      </c>
      <c r="B25" s="12" t="s">
        <v>64</v>
      </c>
      <c r="C25" s="12">
        <v>2366.0</v>
      </c>
      <c r="D25" s="70"/>
      <c r="F25" s="70">
        <v>44628.0</v>
      </c>
      <c r="G25" s="57">
        <v>1.538</v>
      </c>
      <c r="J25" s="57">
        <v>1.478</v>
      </c>
      <c r="AE25" s="57">
        <v>0.6364</v>
      </c>
      <c r="AF25" s="57">
        <v>0.227</v>
      </c>
      <c r="AH25" s="57">
        <v>2.01</v>
      </c>
      <c r="AI25" s="57">
        <v>0.3206</v>
      </c>
      <c r="AJ25" s="57">
        <v>0.112</v>
      </c>
      <c r="AK25" s="57">
        <v>3.0</v>
      </c>
      <c r="AL25" s="57">
        <v>0.1546</v>
      </c>
      <c r="AM25" s="57">
        <v>0.082</v>
      </c>
      <c r="AN25" s="57">
        <v>1.85</v>
      </c>
      <c r="AO25" s="57">
        <v>0.1376</v>
      </c>
      <c r="AP25" s="57">
        <v>0.132</v>
      </c>
      <c r="BC25" s="57">
        <v>0.174</v>
      </c>
      <c r="BD25" s="57">
        <v>0.72</v>
      </c>
    </row>
    <row r="26">
      <c r="A26" s="12" t="s">
        <v>57</v>
      </c>
      <c r="B26" s="12" t="s">
        <v>64</v>
      </c>
      <c r="C26" s="34" t="s">
        <v>65</v>
      </c>
      <c r="D26" s="70"/>
    </row>
    <row r="27">
      <c r="A27" s="12" t="s">
        <v>57</v>
      </c>
      <c r="B27" s="12" t="s">
        <v>64</v>
      </c>
      <c r="C27" s="12">
        <v>2367.0</v>
      </c>
      <c r="D27" s="70"/>
      <c r="F27" s="70">
        <v>44628.0</v>
      </c>
      <c r="G27" s="57">
        <v>1.49</v>
      </c>
      <c r="J27" s="57">
        <v>1.483</v>
      </c>
      <c r="AE27" s="57">
        <v>0.3003</v>
      </c>
      <c r="AF27" s="57">
        <v>0.101</v>
      </c>
      <c r="AH27" s="57">
        <v>2.199</v>
      </c>
      <c r="AI27" s="57">
        <v>0.0536</v>
      </c>
      <c r="AK27" s="57">
        <v>2.305</v>
      </c>
      <c r="AL27" s="57">
        <v>0.0362</v>
      </c>
      <c r="AN27" s="57">
        <v>2.24</v>
      </c>
      <c r="AO27" s="57">
        <v>0.0206</v>
      </c>
      <c r="BC27" s="57">
        <v>0.5031</v>
      </c>
      <c r="BD27" s="57">
        <v>0.233</v>
      </c>
      <c r="BF27" s="57" t="s">
        <v>267</v>
      </c>
    </row>
    <row r="28">
      <c r="A28" s="12" t="s">
        <v>57</v>
      </c>
      <c r="B28" s="12" t="s">
        <v>64</v>
      </c>
      <c r="C28" s="34" t="s">
        <v>65</v>
      </c>
      <c r="D28" s="70"/>
    </row>
    <row r="29">
      <c r="A29" s="12" t="s">
        <v>57</v>
      </c>
      <c r="B29" s="12" t="s">
        <v>64</v>
      </c>
      <c r="C29" s="34" t="s">
        <v>65</v>
      </c>
      <c r="D29" s="70"/>
    </row>
    <row r="30">
      <c r="A30" s="12" t="s">
        <v>57</v>
      </c>
      <c r="B30" s="12" t="s">
        <v>64</v>
      </c>
      <c r="C30" s="12">
        <v>2369.0</v>
      </c>
      <c r="D30" s="70"/>
      <c r="F30" s="70">
        <v>44628.0</v>
      </c>
      <c r="G30" s="57">
        <v>1.46</v>
      </c>
      <c r="J30" s="57">
        <v>1.442</v>
      </c>
      <c r="AE30" s="33">
        <f>0.2124+0.339</f>
        <v>0.5514</v>
      </c>
      <c r="AF30" s="33">
        <f>0.118+0.13</f>
        <v>0.248</v>
      </c>
      <c r="AH30" s="57">
        <v>1.472</v>
      </c>
      <c r="AI30" s="57">
        <v>0.0579</v>
      </c>
      <c r="AK30" s="57">
        <v>2.41</v>
      </c>
      <c r="AL30" s="57">
        <v>0.1936</v>
      </c>
      <c r="AM30" s="57">
        <v>0.104</v>
      </c>
      <c r="AN30" s="57">
        <v>2.065</v>
      </c>
      <c r="AO30" s="57">
        <v>0.1857</v>
      </c>
      <c r="AP30" s="57">
        <v>0.098</v>
      </c>
      <c r="AQ30" s="57">
        <v>2.86</v>
      </c>
      <c r="AR30" s="57">
        <v>0.3714</v>
      </c>
      <c r="AS30" s="57">
        <v>0.211</v>
      </c>
      <c r="AT30" s="57">
        <v>2.156</v>
      </c>
      <c r="AU30" s="57">
        <v>0.1188</v>
      </c>
      <c r="AV30" s="57">
        <v>0.067</v>
      </c>
      <c r="AW30" s="57">
        <v>2.396</v>
      </c>
      <c r="AX30" s="57">
        <v>0.1398</v>
      </c>
      <c r="AY30" s="57">
        <v>0.074</v>
      </c>
      <c r="BC30" s="57">
        <v>1.0269</v>
      </c>
      <c r="BD30" s="57">
        <v>0.541</v>
      </c>
    </row>
    <row r="31">
      <c r="A31" s="38" t="s">
        <v>70</v>
      </c>
      <c r="B31" s="38" t="s">
        <v>58</v>
      </c>
      <c r="C31" s="38">
        <v>2376.0</v>
      </c>
      <c r="D31" s="70"/>
      <c r="F31" s="70">
        <v>44631.0</v>
      </c>
      <c r="G31" s="57">
        <v>0.91</v>
      </c>
      <c r="H31" s="57">
        <v>0.295</v>
      </c>
      <c r="I31" s="57">
        <v>0.173</v>
      </c>
      <c r="J31" s="57">
        <v>0.751</v>
      </c>
      <c r="K31" s="57">
        <v>0.6336</v>
      </c>
      <c r="L31" s="57">
        <v>0.371</v>
      </c>
      <c r="M31" s="57">
        <v>0.801</v>
      </c>
      <c r="N31" s="57">
        <v>0.4675</v>
      </c>
      <c r="O31" s="57">
        <v>0.276</v>
      </c>
      <c r="Z31" s="57"/>
      <c r="AA31" s="57"/>
      <c r="AB31" s="57"/>
      <c r="AC31" s="57"/>
      <c r="AD31" s="57"/>
      <c r="AE31" s="57">
        <v>2.0767</v>
      </c>
      <c r="AF31" s="57">
        <v>1.232</v>
      </c>
      <c r="AH31" s="57">
        <v>2.504</v>
      </c>
      <c r="AI31" s="57">
        <v>0.2377</v>
      </c>
      <c r="AJ31" s="57">
        <v>0.141</v>
      </c>
      <c r="AK31" s="57">
        <v>2.231</v>
      </c>
      <c r="AL31" s="57">
        <v>0.3211</v>
      </c>
      <c r="AM31" s="57">
        <v>0.192</v>
      </c>
      <c r="AN31" s="57">
        <v>2.017</v>
      </c>
      <c r="AO31" s="57">
        <v>0.3991</v>
      </c>
      <c r="AP31" s="57">
        <v>0.235</v>
      </c>
      <c r="AQ31" s="57">
        <v>4.306</v>
      </c>
      <c r="AR31" s="57">
        <v>0.3223</v>
      </c>
      <c r="AS31" s="57">
        <v>0.207</v>
      </c>
      <c r="AT31" s="57">
        <v>2.836</v>
      </c>
      <c r="AU31" s="57">
        <v>0.5589</v>
      </c>
      <c r="AV31" s="57">
        <v>0.328</v>
      </c>
      <c r="AW31" s="57">
        <v>2.204</v>
      </c>
      <c r="AX31" s="57">
        <v>0.2249</v>
      </c>
      <c r="AY31" s="57">
        <v>0.133</v>
      </c>
      <c r="BC31" s="57">
        <v>1.8261</v>
      </c>
      <c r="BD31" s="57">
        <v>1.089</v>
      </c>
    </row>
    <row r="32">
      <c r="A32" s="38" t="s">
        <v>70</v>
      </c>
      <c r="B32" s="38" t="s">
        <v>58</v>
      </c>
      <c r="C32" s="38">
        <v>2377.0</v>
      </c>
      <c r="D32" s="70"/>
      <c r="F32" s="70">
        <v>44628.0</v>
      </c>
      <c r="G32" s="57">
        <v>0.353</v>
      </c>
      <c r="I32" s="57">
        <v>0.136</v>
      </c>
      <c r="J32" s="57">
        <v>0.38</v>
      </c>
      <c r="L32" s="57">
        <v>0.143</v>
      </c>
      <c r="O32" s="57">
        <v>0.11</v>
      </c>
      <c r="R32" s="57">
        <v>0.105</v>
      </c>
      <c r="U32" s="57">
        <v>0.128</v>
      </c>
      <c r="AH32" s="57">
        <v>1.4</v>
      </c>
      <c r="AI32" s="57">
        <v>0.3175</v>
      </c>
      <c r="AJ32" s="57">
        <v>0.111</v>
      </c>
      <c r="AK32" s="57">
        <v>1.45</v>
      </c>
      <c r="AL32" s="57">
        <v>0.5388</v>
      </c>
      <c r="AM32" s="57">
        <v>0.174</v>
      </c>
      <c r="AN32" s="57">
        <v>3.0</v>
      </c>
      <c r="AO32" s="57">
        <v>0.2172</v>
      </c>
      <c r="AP32" s="57">
        <v>0.13</v>
      </c>
      <c r="AQ32" s="57">
        <v>3.15</v>
      </c>
      <c r="AR32" s="57">
        <v>0.2361</v>
      </c>
      <c r="AS32" s="57">
        <v>0.144</v>
      </c>
      <c r="AT32" s="57">
        <v>1.55</v>
      </c>
      <c r="AU32" s="57">
        <v>0.2614</v>
      </c>
      <c r="AV32" s="57">
        <v>0.084</v>
      </c>
      <c r="AW32" s="57">
        <v>2.75</v>
      </c>
      <c r="AX32" s="57">
        <v>0.2106</v>
      </c>
      <c r="AY32" s="57">
        <v>0.136</v>
      </c>
      <c r="BC32" s="33">
        <f>0.3702+0.2041</f>
        <v>0.5743</v>
      </c>
      <c r="BD32" s="57">
        <v>0.257</v>
      </c>
      <c r="BF32" s="57" t="s">
        <v>268</v>
      </c>
    </row>
    <row r="33">
      <c r="A33" s="38" t="s">
        <v>70</v>
      </c>
      <c r="B33" s="38" t="s">
        <v>64</v>
      </c>
      <c r="C33" s="38">
        <v>2378.0</v>
      </c>
      <c r="D33" s="70"/>
      <c r="F33" s="57" t="s">
        <v>265</v>
      </c>
      <c r="G33" s="57">
        <v>0.923</v>
      </c>
      <c r="H33" s="57">
        <v>0.1487</v>
      </c>
      <c r="I33" s="57">
        <v>0.063</v>
      </c>
      <c r="J33" s="57">
        <v>1.05</v>
      </c>
      <c r="K33" s="57">
        <v>0.2162</v>
      </c>
      <c r="L33" s="57">
        <v>0.093</v>
      </c>
      <c r="M33" s="57">
        <v>1.1</v>
      </c>
      <c r="N33" s="57">
        <v>0.1613</v>
      </c>
      <c r="O33" s="57">
        <v>0.069</v>
      </c>
      <c r="Z33" s="57"/>
      <c r="AA33" s="57"/>
      <c r="AB33" s="57"/>
      <c r="AC33" s="57"/>
      <c r="AD33" s="57"/>
      <c r="AE33" s="57">
        <v>3.1114</v>
      </c>
      <c r="AF33" s="57">
        <v>1.308</v>
      </c>
      <c r="AH33" s="57">
        <v>1.85</v>
      </c>
      <c r="AI33" s="57">
        <v>0.1533</v>
      </c>
      <c r="AJ33" s="57">
        <v>0.062</v>
      </c>
      <c r="AK33" s="57">
        <v>2.0</v>
      </c>
      <c r="AL33" s="57">
        <v>0.1785</v>
      </c>
      <c r="AM33" s="57">
        <v>0.075</v>
      </c>
      <c r="AN33" s="57">
        <v>1.8</v>
      </c>
      <c r="AO33" s="57">
        <v>0.1671</v>
      </c>
      <c r="AP33" s="57">
        <v>0.07</v>
      </c>
      <c r="AQ33" s="57">
        <v>1.5</v>
      </c>
      <c r="AR33" s="57">
        <v>0.169</v>
      </c>
      <c r="AS33" s="57">
        <v>0.072</v>
      </c>
      <c r="BC33" s="57">
        <v>0.8256</v>
      </c>
      <c r="BD33" s="57">
        <v>0.345</v>
      </c>
    </row>
    <row r="34">
      <c r="A34" s="38" t="s">
        <v>70</v>
      </c>
      <c r="B34" s="38" t="s">
        <v>64</v>
      </c>
      <c r="C34" s="38">
        <v>2379.0</v>
      </c>
      <c r="D34" s="70"/>
      <c r="F34" s="70">
        <v>44631.0</v>
      </c>
      <c r="G34" s="57">
        <v>1.201</v>
      </c>
      <c r="H34" s="57">
        <v>0.1665</v>
      </c>
      <c r="J34" s="57">
        <v>1.44</v>
      </c>
      <c r="K34" s="57">
        <v>0.1685</v>
      </c>
      <c r="M34" s="57">
        <v>1.124</v>
      </c>
      <c r="N34" s="57">
        <v>0.2242</v>
      </c>
      <c r="P34" s="57">
        <v>1.19</v>
      </c>
      <c r="Q34" s="57">
        <v>0.088</v>
      </c>
      <c r="Z34" s="57"/>
      <c r="AA34" s="57"/>
      <c r="AB34" s="57"/>
      <c r="AC34" s="57"/>
      <c r="AD34" s="57"/>
      <c r="AE34" s="57">
        <v>1.8815</v>
      </c>
    </row>
    <row r="35">
      <c r="A35" s="38" t="s">
        <v>70</v>
      </c>
      <c r="B35" s="38" t="s">
        <v>58</v>
      </c>
      <c r="C35" s="38">
        <v>2380.0</v>
      </c>
      <c r="D35" s="70"/>
      <c r="F35" s="70">
        <v>44628.0</v>
      </c>
      <c r="G35" s="57">
        <v>1.07</v>
      </c>
      <c r="I35" s="57">
        <v>0.059</v>
      </c>
      <c r="J35" s="57">
        <v>0.549</v>
      </c>
      <c r="L35" s="57">
        <v>0.054</v>
      </c>
      <c r="M35" s="57">
        <v>1.031</v>
      </c>
      <c r="O35" s="57">
        <v>0.15</v>
      </c>
      <c r="P35" s="57">
        <v>0.549</v>
      </c>
      <c r="S35" s="57">
        <v>0.49</v>
      </c>
      <c r="AH35" s="57">
        <v>2.37</v>
      </c>
      <c r="AI35" s="57">
        <v>0.216</v>
      </c>
      <c r="AJ35" s="57">
        <v>0.133</v>
      </c>
      <c r="AK35" s="57">
        <v>2.94</v>
      </c>
      <c r="AL35" s="57">
        <v>0.3065</v>
      </c>
      <c r="AM35" s="57">
        <v>0.186</v>
      </c>
      <c r="AN35" s="57">
        <v>2.87</v>
      </c>
      <c r="AO35" s="57">
        <v>0.1413</v>
      </c>
      <c r="AP35" s="57">
        <v>0.086</v>
      </c>
      <c r="AQ35" s="57">
        <v>3.139</v>
      </c>
      <c r="AR35" s="57">
        <v>0.2116</v>
      </c>
      <c r="AS35" s="57">
        <v>0.141</v>
      </c>
      <c r="BC35" s="57">
        <v>0.1225</v>
      </c>
      <c r="BD35" s="57">
        <v>0.748</v>
      </c>
      <c r="BF35" s="57" t="s">
        <v>269</v>
      </c>
    </row>
    <row r="36">
      <c r="A36" s="12" t="s">
        <v>74</v>
      </c>
      <c r="B36" s="12" t="s">
        <v>64</v>
      </c>
      <c r="C36" s="12">
        <v>2337.0</v>
      </c>
      <c r="D36" s="70"/>
    </row>
    <row r="37">
      <c r="A37" s="12" t="s">
        <v>74</v>
      </c>
      <c r="B37" s="12" t="s">
        <v>64</v>
      </c>
      <c r="C37" s="12">
        <v>2338.0</v>
      </c>
      <c r="D37" s="70"/>
    </row>
    <row r="38">
      <c r="A38" s="12" t="s">
        <v>74</v>
      </c>
      <c r="B38" s="12" t="s">
        <v>64</v>
      </c>
      <c r="C38" s="12">
        <v>2339.0</v>
      </c>
      <c r="D38" s="70"/>
    </row>
    <row r="39">
      <c r="A39" s="12" t="s">
        <v>74</v>
      </c>
      <c r="B39" s="12" t="s">
        <v>64</v>
      </c>
      <c r="C39" s="12">
        <v>2340.0</v>
      </c>
      <c r="D39" s="70"/>
    </row>
    <row r="40">
      <c r="A40" s="12" t="s">
        <v>74</v>
      </c>
      <c r="B40" s="12" t="s">
        <v>64</v>
      </c>
      <c r="C40" s="12">
        <v>2341.0</v>
      </c>
      <c r="D40" s="70"/>
    </row>
    <row r="41">
      <c r="A41" s="12" t="s">
        <v>74</v>
      </c>
      <c r="B41" s="12" t="s">
        <v>64</v>
      </c>
      <c r="C41" s="12">
        <v>2342.0</v>
      </c>
      <c r="D41" s="70"/>
    </row>
    <row r="42">
      <c r="A42" s="12" t="s">
        <v>74</v>
      </c>
      <c r="B42" s="12" t="s">
        <v>64</v>
      </c>
      <c r="C42" s="12">
        <v>2343.0</v>
      </c>
      <c r="D42" s="70"/>
      <c r="F42" s="70">
        <v>44628.0</v>
      </c>
      <c r="G42" s="57">
        <v>1.16</v>
      </c>
      <c r="J42" s="57">
        <v>1.33</v>
      </c>
      <c r="M42" s="57">
        <v>1.228</v>
      </c>
      <c r="AE42" s="57">
        <v>0.1444</v>
      </c>
      <c r="AF42" s="57">
        <v>0.047</v>
      </c>
    </row>
    <row r="43">
      <c r="A43" s="41" t="s">
        <v>74</v>
      </c>
      <c r="B43" s="41" t="s">
        <v>64</v>
      </c>
      <c r="C43" s="41" t="s">
        <v>78</v>
      </c>
      <c r="D43" s="70"/>
    </row>
    <row r="44">
      <c r="A44" s="12" t="s">
        <v>74</v>
      </c>
      <c r="B44" s="12" t="s">
        <v>64</v>
      </c>
      <c r="C44" s="12">
        <v>2344.0</v>
      </c>
      <c r="D44" s="70"/>
    </row>
    <row r="45">
      <c r="A45" s="41" t="s">
        <v>74</v>
      </c>
      <c r="B45" s="41" t="s">
        <v>58</v>
      </c>
      <c r="C45" s="41" t="s">
        <v>78</v>
      </c>
      <c r="D45" s="70"/>
    </row>
    <row r="46">
      <c r="A46" s="12" t="s">
        <v>74</v>
      </c>
      <c r="B46" s="12" t="s">
        <v>58</v>
      </c>
      <c r="C46" s="34">
        <v>2345.0</v>
      </c>
      <c r="D46" s="70"/>
      <c r="F46" s="70">
        <v>44628.0</v>
      </c>
      <c r="G46" s="57">
        <v>0.255</v>
      </c>
      <c r="I46" s="57">
        <v>0.156</v>
      </c>
      <c r="J46" s="57">
        <v>0.407</v>
      </c>
      <c r="L46" s="57">
        <v>0.148</v>
      </c>
      <c r="M46" s="57">
        <v>0.243</v>
      </c>
      <c r="O46" s="57">
        <v>0.153</v>
      </c>
      <c r="R46" s="57">
        <v>0.152</v>
      </c>
      <c r="U46" s="57">
        <v>0.136</v>
      </c>
      <c r="X46" s="57">
        <v>0.095</v>
      </c>
      <c r="AA46" s="57">
        <v>0.079</v>
      </c>
      <c r="AH46" s="57">
        <v>1.053</v>
      </c>
      <c r="AI46" s="57">
        <v>0.2743</v>
      </c>
      <c r="AJ46" s="57">
        <v>0.157</v>
      </c>
      <c r="AK46" s="57">
        <v>1.618</v>
      </c>
      <c r="AL46" s="57">
        <v>1.618</v>
      </c>
      <c r="AM46" s="57">
        <v>0.166</v>
      </c>
      <c r="AN46" s="57">
        <v>1.4</v>
      </c>
      <c r="AO46" s="57">
        <v>0.3105</v>
      </c>
      <c r="AP46" s="57">
        <v>0.177</v>
      </c>
      <c r="AQ46" s="57">
        <v>1.02</v>
      </c>
      <c r="AR46" s="57">
        <v>0.2338</v>
      </c>
      <c r="AS46" s="57">
        <v>0.138</v>
      </c>
      <c r="AT46" s="57">
        <v>1.493</v>
      </c>
      <c r="AU46" s="57">
        <v>0.1984</v>
      </c>
      <c r="AV46" s="57">
        <v>0.116</v>
      </c>
      <c r="AW46" s="57">
        <v>1.53</v>
      </c>
      <c r="AX46" s="57">
        <v>0.1806</v>
      </c>
      <c r="AY46" s="57">
        <v>0.105</v>
      </c>
      <c r="BC46" s="57">
        <v>0.6981</v>
      </c>
      <c r="BD46" s="57">
        <v>0.398</v>
      </c>
      <c r="BF46" s="57" t="s">
        <v>270</v>
      </c>
    </row>
    <row r="47">
      <c r="A47" s="12" t="s">
        <v>74</v>
      </c>
      <c r="B47" s="12" t="s">
        <v>64</v>
      </c>
      <c r="C47" s="12">
        <v>2346.0</v>
      </c>
      <c r="D47" s="70"/>
      <c r="F47" s="70">
        <v>44628.0</v>
      </c>
      <c r="G47" s="57">
        <v>1.16</v>
      </c>
      <c r="I47" s="57">
        <v>0.035</v>
      </c>
      <c r="J47" s="57">
        <v>1.332</v>
      </c>
      <c r="L47" s="57">
        <v>0.051</v>
      </c>
      <c r="M47" s="57">
        <v>1.18</v>
      </c>
      <c r="O47" s="57">
        <v>0.044</v>
      </c>
      <c r="R47" s="57">
        <v>0.025</v>
      </c>
      <c r="U47" s="57">
        <v>0.035</v>
      </c>
      <c r="X47" s="57">
        <v>0.033</v>
      </c>
      <c r="AA47" s="57">
        <v>0.028</v>
      </c>
      <c r="AH47" s="57">
        <v>2.23</v>
      </c>
      <c r="AI47" s="57">
        <v>0.0729</v>
      </c>
      <c r="AJ47" s="57">
        <v>0.04</v>
      </c>
      <c r="AK47" s="57">
        <v>2.26</v>
      </c>
      <c r="AL47" s="57">
        <v>0.1438</v>
      </c>
      <c r="AM47" s="57">
        <v>0.079</v>
      </c>
      <c r="AN47" s="57">
        <v>2.409</v>
      </c>
      <c r="AO47" s="57">
        <v>0.0781</v>
      </c>
      <c r="AP47" s="57">
        <v>0.042</v>
      </c>
      <c r="BC47" s="57">
        <v>0.7244</v>
      </c>
      <c r="BD47" s="57">
        <v>0.395</v>
      </c>
    </row>
    <row r="48">
      <c r="A48" s="12" t="s">
        <v>74</v>
      </c>
      <c r="B48" s="12" t="s">
        <v>64</v>
      </c>
      <c r="C48" s="12">
        <v>2347.0</v>
      </c>
      <c r="D48" s="70"/>
      <c r="AH48" s="57">
        <v>3.18</v>
      </c>
      <c r="AI48" s="57">
        <v>0.2693</v>
      </c>
      <c r="AJ48" s="57">
        <v>0.15</v>
      </c>
      <c r="AK48" s="57">
        <v>1.984</v>
      </c>
      <c r="AL48" s="57">
        <v>0.235</v>
      </c>
      <c r="AM48" s="57">
        <v>0.125</v>
      </c>
      <c r="AN48" s="57">
        <v>1.941</v>
      </c>
      <c r="AO48" s="57">
        <v>0.183</v>
      </c>
      <c r="AP48" s="57">
        <v>0.1</v>
      </c>
      <c r="AQ48" s="57">
        <v>1.922</v>
      </c>
      <c r="AR48" s="57">
        <v>0.1912</v>
      </c>
      <c r="AS48" s="57">
        <v>0.102</v>
      </c>
      <c r="BC48" s="57">
        <v>0.5719</v>
      </c>
      <c r="BD48" s="57">
        <v>0.301</v>
      </c>
    </row>
    <row r="49">
      <c r="A49" s="12" t="s">
        <v>74</v>
      </c>
      <c r="B49" s="12" t="s">
        <v>64</v>
      </c>
      <c r="C49" s="12">
        <v>2348.0</v>
      </c>
      <c r="D49" s="70"/>
      <c r="F49" s="70">
        <v>44628.0</v>
      </c>
      <c r="G49" s="57">
        <v>1.97</v>
      </c>
      <c r="J49" s="57">
        <v>2.36</v>
      </c>
      <c r="M49" s="57">
        <v>2.18</v>
      </c>
      <c r="P49" s="57">
        <v>2.302</v>
      </c>
      <c r="BF49" s="57" t="s">
        <v>271</v>
      </c>
    </row>
    <row r="50">
      <c r="A50" s="12" t="s">
        <v>74</v>
      </c>
      <c r="B50" s="12" t="s">
        <v>64</v>
      </c>
      <c r="C50" s="12">
        <v>2349.0</v>
      </c>
      <c r="D50" s="70"/>
      <c r="F50" s="70">
        <v>44628.0</v>
      </c>
      <c r="G50" s="57">
        <v>2.57</v>
      </c>
      <c r="J50" s="57">
        <v>2.217</v>
      </c>
      <c r="M50" s="57">
        <v>2.513</v>
      </c>
      <c r="BF50" s="57" t="s">
        <v>86</v>
      </c>
    </row>
    <row r="51">
      <c r="A51" s="12" t="s">
        <v>74</v>
      </c>
      <c r="B51" s="12" t="s">
        <v>64</v>
      </c>
      <c r="C51" s="12">
        <v>2350.0</v>
      </c>
      <c r="D51" s="70"/>
    </row>
    <row r="52">
      <c r="A52" s="12" t="s">
        <v>74</v>
      </c>
      <c r="B52" s="12" t="s">
        <v>64</v>
      </c>
      <c r="C52" s="12">
        <v>2351.0</v>
      </c>
      <c r="D52" s="70"/>
    </row>
    <row r="53">
      <c r="A53" s="38" t="s">
        <v>88</v>
      </c>
      <c r="B53" s="38" t="s">
        <v>64</v>
      </c>
      <c r="C53" s="38">
        <v>2375.0</v>
      </c>
      <c r="D53" s="70"/>
    </row>
    <row r="54">
      <c r="A54" s="12" t="s">
        <v>90</v>
      </c>
      <c r="B54" s="12" t="s">
        <v>64</v>
      </c>
      <c r="C54" s="12">
        <v>2310.0</v>
      </c>
      <c r="D54" s="70"/>
    </row>
    <row r="55">
      <c r="A55" s="12" t="s">
        <v>90</v>
      </c>
      <c r="B55" s="12" t="s">
        <v>64</v>
      </c>
      <c r="C55" s="12">
        <v>2311.0</v>
      </c>
      <c r="D55" s="70"/>
    </row>
    <row r="56">
      <c r="A56" s="12" t="s">
        <v>90</v>
      </c>
      <c r="B56" s="12" t="s">
        <v>64</v>
      </c>
      <c r="C56" s="12">
        <v>2312.0</v>
      </c>
      <c r="D56" s="70"/>
    </row>
    <row r="57">
      <c r="A57" s="12" t="s">
        <v>90</v>
      </c>
      <c r="B57" s="12" t="s">
        <v>64</v>
      </c>
      <c r="C57" s="12">
        <v>2313.0</v>
      </c>
      <c r="D57" s="70"/>
    </row>
    <row r="58">
      <c r="A58" s="12" t="s">
        <v>90</v>
      </c>
      <c r="B58" s="12" t="s">
        <v>64</v>
      </c>
      <c r="C58" s="12">
        <v>2314.0</v>
      </c>
      <c r="D58" s="70"/>
    </row>
    <row r="59">
      <c r="A59" s="12" t="s">
        <v>90</v>
      </c>
      <c r="B59" s="12" t="s">
        <v>58</v>
      </c>
      <c r="C59" s="12">
        <v>2315.0</v>
      </c>
      <c r="D59" s="70"/>
    </row>
    <row r="60">
      <c r="A60" s="12" t="s">
        <v>90</v>
      </c>
      <c r="B60" s="12" t="s">
        <v>64</v>
      </c>
      <c r="C60" s="12">
        <v>2316.0</v>
      </c>
      <c r="D60" s="70"/>
    </row>
    <row r="61">
      <c r="A61" s="12" t="s">
        <v>90</v>
      </c>
      <c r="B61" s="12" t="s">
        <v>64</v>
      </c>
      <c r="C61" s="12">
        <v>2317.0</v>
      </c>
      <c r="D61" s="70"/>
    </row>
    <row r="62">
      <c r="A62" s="12" t="s">
        <v>90</v>
      </c>
      <c r="B62" s="12" t="s">
        <v>64</v>
      </c>
      <c r="C62" s="12">
        <v>2318.0</v>
      </c>
      <c r="D62" s="70"/>
    </row>
    <row r="63">
      <c r="A63" s="12" t="s">
        <v>90</v>
      </c>
      <c r="B63" s="12" t="s">
        <v>64</v>
      </c>
      <c r="C63" s="12">
        <v>2319.0</v>
      </c>
      <c r="D63" s="70"/>
    </row>
    <row r="64">
      <c r="A64" s="12" t="s">
        <v>90</v>
      </c>
      <c r="B64" s="12" t="s">
        <v>58</v>
      </c>
      <c r="C64" s="12">
        <v>2320.0</v>
      </c>
      <c r="D64" s="70"/>
    </row>
    <row r="65">
      <c r="A65" s="12" t="s">
        <v>90</v>
      </c>
      <c r="B65" s="12" t="s">
        <v>64</v>
      </c>
      <c r="C65" s="12">
        <v>2321.0</v>
      </c>
      <c r="D65" s="70"/>
    </row>
    <row r="66">
      <c r="A66" s="12" t="s">
        <v>90</v>
      </c>
      <c r="B66" s="12" t="s">
        <v>58</v>
      </c>
      <c r="C66" s="12">
        <v>2322.0</v>
      </c>
      <c r="D66" s="70"/>
    </row>
    <row r="67">
      <c r="A67" s="12" t="s">
        <v>90</v>
      </c>
      <c r="B67" s="12" t="s">
        <v>58</v>
      </c>
      <c r="C67" s="12">
        <v>2323.0</v>
      </c>
      <c r="D67" s="70"/>
    </row>
    <row r="68">
      <c r="A68" s="12" t="s">
        <v>90</v>
      </c>
      <c r="B68" s="12" t="s">
        <v>64</v>
      </c>
      <c r="C68" s="12">
        <v>2324.0</v>
      </c>
      <c r="D68" s="70"/>
    </row>
    <row r="69">
      <c r="A69" s="12" t="s">
        <v>90</v>
      </c>
      <c r="B69" s="12" t="s">
        <v>64</v>
      </c>
      <c r="C69" s="12">
        <v>2325.0</v>
      </c>
      <c r="D69" s="70"/>
    </row>
    <row r="70">
      <c r="A70" s="12" t="s">
        <v>90</v>
      </c>
      <c r="B70" s="12" t="s">
        <v>64</v>
      </c>
      <c r="C70" s="12">
        <v>2327.0</v>
      </c>
      <c r="D70" s="70"/>
    </row>
    <row r="71">
      <c r="A71" s="12" t="s">
        <v>90</v>
      </c>
      <c r="B71" s="12" t="s">
        <v>64</v>
      </c>
      <c r="C71" s="12">
        <v>2326.0</v>
      </c>
      <c r="D71" s="70"/>
    </row>
    <row r="72">
      <c r="A72" s="12" t="s">
        <v>90</v>
      </c>
      <c r="B72" s="12" t="s">
        <v>58</v>
      </c>
      <c r="C72" s="12">
        <v>2328.0</v>
      </c>
      <c r="D72" s="70"/>
    </row>
    <row r="73">
      <c r="A73" s="12" t="s">
        <v>90</v>
      </c>
      <c r="B73" s="12" t="s">
        <v>64</v>
      </c>
      <c r="C73" s="12">
        <v>2329.0</v>
      </c>
      <c r="D73" s="70"/>
    </row>
    <row r="74">
      <c r="A74" s="12" t="s">
        <v>90</v>
      </c>
      <c r="B74" s="12" t="s">
        <v>64</v>
      </c>
      <c r="C74" s="12">
        <v>2330.0</v>
      </c>
      <c r="D74" s="70"/>
    </row>
    <row r="75">
      <c r="A75" s="12" t="s">
        <v>90</v>
      </c>
      <c r="B75" s="12" t="s">
        <v>58</v>
      </c>
      <c r="C75" s="12">
        <v>2331.0</v>
      </c>
      <c r="D75" s="70"/>
      <c r="F75" s="70">
        <v>44631.0</v>
      </c>
      <c r="G75" s="57">
        <v>0.927</v>
      </c>
      <c r="H75" s="57">
        <v>0.3265</v>
      </c>
      <c r="I75" s="57">
        <v>0.198</v>
      </c>
      <c r="J75" s="57">
        <v>0.94</v>
      </c>
      <c r="K75" s="57">
        <v>0.3714</v>
      </c>
      <c r="L75" s="57">
        <v>0.22</v>
      </c>
      <c r="Z75" s="57"/>
      <c r="AA75" s="57"/>
      <c r="AB75" s="57"/>
      <c r="AC75" s="57"/>
      <c r="AD75" s="57"/>
      <c r="AE75" s="57">
        <v>1.5817</v>
      </c>
      <c r="AF75" s="57">
        <v>0.944</v>
      </c>
      <c r="AH75" s="57">
        <v>2.14</v>
      </c>
      <c r="AI75" s="57">
        <v>0.3022</v>
      </c>
      <c r="AJ75" s="57">
        <v>0.177</v>
      </c>
      <c r="AK75" s="57">
        <v>2.342</v>
      </c>
      <c r="AL75" s="57">
        <v>0.2509</v>
      </c>
      <c r="AM75" s="57">
        <v>0.15</v>
      </c>
      <c r="AN75" s="57">
        <v>2.206</v>
      </c>
      <c r="AO75" s="57">
        <v>0.1918</v>
      </c>
      <c r="AP75" s="57">
        <v>0.113</v>
      </c>
      <c r="BC75" s="57">
        <v>1.1844</v>
      </c>
      <c r="BD75" s="57">
        <v>0.698</v>
      </c>
    </row>
    <row r="76">
      <c r="A76" s="12" t="s">
        <v>90</v>
      </c>
      <c r="B76" s="12" t="s">
        <v>64</v>
      </c>
      <c r="C76" s="12">
        <v>2332.0</v>
      </c>
      <c r="D76" s="70"/>
    </row>
    <row r="77">
      <c r="A77" s="12" t="s">
        <v>90</v>
      </c>
      <c r="B77" s="12" t="s">
        <v>64</v>
      </c>
      <c r="C77" s="12">
        <v>2333.0</v>
      </c>
      <c r="D77" s="70"/>
    </row>
    <row r="78">
      <c r="A78" s="2" t="s">
        <v>90</v>
      </c>
      <c r="B78" s="3" t="s">
        <v>64</v>
      </c>
      <c r="C78" s="12">
        <v>2334.0</v>
      </c>
      <c r="D78" s="70"/>
    </row>
    <row r="79">
      <c r="A79" s="12" t="s">
        <v>90</v>
      </c>
      <c r="B79" s="12" t="s">
        <v>64</v>
      </c>
      <c r="C79" s="12">
        <v>2336.0</v>
      </c>
      <c r="D79" s="70"/>
    </row>
    <row r="80">
      <c r="A80" s="12" t="s">
        <v>90</v>
      </c>
      <c r="B80" s="12" t="s">
        <v>64</v>
      </c>
      <c r="C80" s="12">
        <v>2335.0</v>
      </c>
      <c r="D80" s="70"/>
    </row>
    <row r="81">
      <c r="A81" s="38" t="s">
        <v>100</v>
      </c>
      <c r="B81" s="38" t="s">
        <v>64</v>
      </c>
      <c r="C81" s="38">
        <v>2374.0</v>
      </c>
      <c r="D81" s="70"/>
      <c r="F81" s="70">
        <v>44631.0</v>
      </c>
      <c r="G81" s="57">
        <v>1.23</v>
      </c>
      <c r="H81" s="57">
        <v>0.0401</v>
      </c>
      <c r="J81" s="57">
        <v>1.4</v>
      </c>
      <c r="K81" s="57">
        <v>0.0167</v>
      </c>
      <c r="M81" s="57">
        <v>0.67</v>
      </c>
      <c r="N81" s="57">
        <v>0.0285</v>
      </c>
      <c r="P81" s="57">
        <v>1.25</v>
      </c>
      <c r="Q81" s="57">
        <v>0.0196</v>
      </c>
      <c r="Z81" s="57"/>
      <c r="AA81" s="57"/>
      <c r="AB81" s="57"/>
      <c r="AC81" s="57"/>
      <c r="AD81" s="57"/>
      <c r="AE81" s="57">
        <v>0.08319</v>
      </c>
      <c r="AF81" s="57">
        <v>0.351</v>
      </c>
    </row>
    <row r="82">
      <c r="A82" s="12" t="s">
        <v>101</v>
      </c>
      <c r="B82" s="12" t="s">
        <v>58</v>
      </c>
      <c r="C82" s="34">
        <v>2301.0</v>
      </c>
      <c r="D82" s="70"/>
      <c r="F82" s="70">
        <v>44631.0</v>
      </c>
      <c r="G82" s="57">
        <v>0.941</v>
      </c>
      <c r="H82" s="57">
        <v>0.3063</v>
      </c>
      <c r="I82" s="57">
        <v>0.181</v>
      </c>
      <c r="J82" s="57">
        <v>1.08</v>
      </c>
      <c r="K82" s="57">
        <v>0.4743</v>
      </c>
      <c r="L82" s="57">
        <v>0.274</v>
      </c>
      <c r="Z82" s="57"/>
      <c r="AA82" s="57"/>
      <c r="AB82" s="57"/>
      <c r="AC82" s="57"/>
      <c r="AD82" s="57"/>
      <c r="AE82" s="57">
        <v>2.6321</v>
      </c>
      <c r="AF82" s="57">
        <v>1.511</v>
      </c>
      <c r="AH82" s="57">
        <v>2.26</v>
      </c>
      <c r="AI82" s="57">
        <v>0.516</v>
      </c>
      <c r="AJ82" s="57">
        <v>0.297</v>
      </c>
      <c r="AK82" s="57">
        <v>2.61</v>
      </c>
      <c r="AL82" s="57">
        <v>0.2882</v>
      </c>
      <c r="AM82" s="57">
        <v>0.165</v>
      </c>
      <c r="AN82" s="57">
        <v>2.112</v>
      </c>
      <c r="AO82" s="57">
        <v>0.3896</v>
      </c>
      <c r="AP82" s="57">
        <v>0.222</v>
      </c>
      <c r="AQ82" s="57">
        <v>2.19</v>
      </c>
      <c r="AR82" s="57">
        <v>0.3978</v>
      </c>
      <c r="AS82" s="57">
        <v>0.225</v>
      </c>
      <c r="BC82" s="57">
        <v>1.7593</v>
      </c>
      <c r="BD82" s="57">
        <v>1.021</v>
      </c>
    </row>
    <row r="83">
      <c r="A83" s="12" t="s">
        <v>101</v>
      </c>
      <c r="B83" s="12" t="s">
        <v>64</v>
      </c>
      <c r="C83" s="12">
        <v>2302.0</v>
      </c>
      <c r="D83" s="70"/>
    </row>
    <row r="84">
      <c r="A84" s="12" t="s">
        <v>101</v>
      </c>
      <c r="B84" s="12" t="s">
        <v>64</v>
      </c>
      <c r="C84" s="12">
        <v>2303.0</v>
      </c>
      <c r="D84" s="70"/>
    </row>
    <row r="85">
      <c r="A85" s="12" t="s">
        <v>101</v>
      </c>
      <c r="B85" s="12" t="s">
        <v>64</v>
      </c>
      <c r="C85" s="12">
        <v>2304.0</v>
      </c>
      <c r="D85" s="70"/>
    </row>
    <row r="86">
      <c r="A86" s="12" t="s">
        <v>101</v>
      </c>
      <c r="B86" s="12" t="s">
        <v>64</v>
      </c>
      <c r="C86" s="12">
        <v>2305.0</v>
      </c>
      <c r="D86" s="70"/>
    </row>
    <row r="87">
      <c r="A87" s="12" t="s">
        <v>101</v>
      </c>
      <c r="B87" s="12" t="s">
        <v>64</v>
      </c>
      <c r="C87" s="12">
        <v>2306.0</v>
      </c>
      <c r="D87" s="70"/>
    </row>
    <row r="88">
      <c r="A88" s="12" t="s">
        <v>101</v>
      </c>
      <c r="B88" s="12" t="s">
        <v>64</v>
      </c>
      <c r="C88" s="12">
        <v>2307.0</v>
      </c>
      <c r="D88" s="70"/>
    </row>
    <row r="89">
      <c r="A89" s="12" t="s">
        <v>101</v>
      </c>
      <c r="B89" s="12" t="s">
        <v>64</v>
      </c>
      <c r="C89" s="12">
        <v>2308.0</v>
      </c>
      <c r="D89" s="70"/>
    </row>
    <row r="90">
      <c r="A90" s="12" t="s">
        <v>101</v>
      </c>
      <c r="B90" s="12" t="s">
        <v>64</v>
      </c>
      <c r="C90" s="12">
        <v>2309.0</v>
      </c>
      <c r="D90" s="70"/>
    </row>
    <row r="91">
      <c r="A91" s="53" t="s">
        <v>106</v>
      </c>
      <c r="B91" s="54" t="s">
        <v>64</v>
      </c>
      <c r="C91" s="55">
        <v>2370.0</v>
      </c>
      <c r="D91" s="70"/>
      <c r="F91" s="70">
        <v>44628.0</v>
      </c>
      <c r="G91" s="57">
        <v>1.562</v>
      </c>
      <c r="J91" s="57">
        <v>1.388</v>
      </c>
      <c r="M91" s="57">
        <v>1.401</v>
      </c>
      <c r="BF91" s="57" t="s">
        <v>86</v>
      </c>
    </row>
    <row r="92">
      <c r="A92" s="53" t="s">
        <v>107</v>
      </c>
      <c r="B92" s="54" t="s">
        <v>64</v>
      </c>
      <c r="C92" s="55">
        <v>2371.0</v>
      </c>
      <c r="D92" s="70"/>
      <c r="F92" s="70">
        <v>44631.0</v>
      </c>
      <c r="G92" s="57">
        <v>1.201</v>
      </c>
      <c r="J92" s="57">
        <v>1.29</v>
      </c>
    </row>
    <row r="93">
      <c r="A93" s="53" t="s">
        <v>108</v>
      </c>
      <c r="B93" s="54" t="s">
        <v>64</v>
      </c>
      <c r="C93" s="55">
        <v>2372.0</v>
      </c>
      <c r="D93" s="70"/>
      <c r="F93" s="70">
        <v>44631.0</v>
      </c>
      <c r="G93" s="57">
        <v>1.52</v>
      </c>
      <c r="J93" s="57">
        <v>1.45</v>
      </c>
    </row>
    <row r="94">
      <c r="A94" s="53" t="s">
        <v>110</v>
      </c>
      <c r="B94" s="54" t="s">
        <v>64</v>
      </c>
      <c r="C94" s="55">
        <v>2373.0</v>
      </c>
      <c r="D94" s="70"/>
      <c r="F94" s="70">
        <v>44631.0</v>
      </c>
      <c r="G94" s="57">
        <v>1.42</v>
      </c>
      <c r="H94" s="57">
        <v>0.0137</v>
      </c>
      <c r="J94" s="57">
        <v>1.44</v>
      </c>
      <c r="K94" s="57">
        <v>0.0072</v>
      </c>
      <c r="Z94" s="57"/>
      <c r="AA94" s="57"/>
      <c r="AB94" s="57"/>
      <c r="AC94" s="57"/>
      <c r="AD94" s="57"/>
      <c r="AE94" s="57">
        <v>0.925</v>
      </c>
      <c r="AF94" s="57">
        <v>0.315</v>
      </c>
    </row>
    <row r="95">
      <c r="A95" s="2" t="s">
        <v>112</v>
      </c>
      <c r="B95" s="3" t="s">
        <v>64</v>
      </c>
      <c r="C95" s="3"/>
      <c r="D95" s="70"/>
    </row>
    <row r="96">
      <c r="A96" s="2" t="s">
        <v>112</v>
      </c>
      <c r="B96" s="3" t="s">
        <v>64</v>
      </c>
      <c r="C96" s="3"/>
      <c r="D96" s="70"/>
    </row>
    <row r="97">
      <c r="A97" s="2" t="s">
        <v>112</v>
      </c>
      <c r="B97" s="3" t="s">
        <v>64</v>
      </c>
      <c r="C97" s="3"/>
      <c r="D97" s="70"/>
    </row>
    <row r="98">
      <c r="A98" s="2" t="s">
        <v>112</v>
      </c>
      <c r="B98" s="3" t="s">
        <v>64</v>
      </c>
      <c r="C98" s="3"/>
      <c r="D98" s="70"/>
    </row>
    <row r="99">
      <c r="A99" s="2" t="s">
        <v>112</v>
      </c>
      <c r="B99" s="3" t="s">
        <v>64</v>
      </c>
      <c r="C99" s="3"/>
      <c r="D99" s="70"/>
    </row>
    <row r="100">
      <c r="A100" s="2" t="s">
        <v>113</v>
      </c>
      <c r="B100" s="3" t="s">
        <v>64</v>
      </c>
      <c r="C100" s="3"/>
      <c r="D100" s="70"/>
    </row>
    <row r="101">
      <c r="A101" s="2" t="s">
        <v>113</v>
      </c>
      <c r="B101" s="3" t="s">
        <v>64</v>
      </c>
      <c r="C101" s="3"/>
      <c r="D101" s="70"/>
    </row>
    <row r="102">
      <c r="A102" s="2" t="s">
        <v>113</v>
      </c>
      <c r="B102" s="3" t="s">
        <v>64</v>
      </c>
      <c r="C102" s="3"/>
      <c r="D102" s="70"/>
    </row>
    <row r="103">
      <c r="A103" s="2" t="s">
        <v>113</v>
      </c>
      <c r="B103" s="3" t="s">
        <v>64</v>
      </c>
      <c r="C103" s="3"/>
      <c r="D103" s="70"/>
    </row>
    <row r="104">
      <c r="A104" s="2" t="s">
        <v>113</v>
      </c>
      <c r="B104" s="3" t="s">
        <v>64</v>
      </c>
      <c r="C104" s="3"/>
      <c r="D104" s="70"/>
    </row>
    <row r="105">
      <c r="A105" s="12" t="s">
        <v>114</v>
      </c>
      <c r="B105" s="12" t="s">
        <v>58</v>
      </c>
      <c r="C105" s="12"/>
      <c r="D105" s="70"/>
    </row>
    <row r="106">
      <c r="A106" s="12" t="s">
        <v>114</v>
      </c>
      <c r="B106" s="12" t="s">
        <v>58</v>
      </c>
      <c r="C106" s="12"/>
      <c r="D106" s="70"/>
    </row>
    <row r="107">
      <c r="A107" s="2" t="s">
        <v>117</v>
      </c>
      <c r="B107" s="3" t="s">
        <v>64</v>
      </c>
      <c r="C107" s="58">
        <v>2381.0</v>
      </c>
      <c r="D107" s="70"/>
      <c r="F107" s="70">
        <v>44628.0</v>
      </c>
      <c r="G107" s="57">
        <v>1.316</v>
      </c>
      <c r="J107" s="57">
        <v>1.334</v>
      </c>
      <c r="AE107" s="57">
        <v>1.8606</v>
      </c>
      <c r="AF107" s="57">
        <v>0.639</v>
      </c>
      <c r="AH107" s="57">
        <v>1.856</v>
      </c>
      <c r="AI107" s="57">
        <v>0.1124</v>
      </c>
      <c r="AJ107" s="57">
        <v>0.041</v>
      </c>
      <c r="AK107" s="57">
        <v>1.829</v>
      </c>
      <c r="AL107" s="57">
        <v>0.0657</v>
      </c>
      <c r="AM107" s="57">
        <v>0.023</v>
      </c>
      <c r="AN107" s="57">
        <v>1.818</v>
      </c>
      <c r="AO107" s="57">
        <v>0.1414</v>
      </c>
      <c r="AP107" s="57">
        <v>0.051</v>
      </c>
      <c r="BC107" s="57">
        <v>0.7962</v>
      </c>
      <c r="BD107" s="57">
        <v>0.284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F110" s="70">
        <v>44628.0</v>
      </c>
      <c r="G110" s="57">
        <v>0.798</v>
      </c>
      <c r="J110" s="57">
        <v>0.791</v>
      </c>
      <c r="M110" s="57">
        <v>0.821</v>
      </c>
      <c r="AE110" s="57">
        <v>1.3192</v>
      </c>
      <c r="AF110" s="57">
        <v>0.436</v>
      </c>
      <c r="AH110" s="57">
        <v>2.006</v>
      </c>
      <c r="AI110" s="57">
        <v>0.238</v>
      </c>
      <c r="AJ110" s="57">
        <v>0.098</v>
      </c>
      <c r="AK110" s="57">
        <v>2.23</v>
      </c>
      <c r="AL110" s="57">
        <v>0.1203</v>
      </c>
      <c r="AM110" s="57">
        <v>0.049</v>
      </c>
      <c r="AN110" s="57">
        <v>1.967</v>
      </c>
      <c r="AO110" s="57">
        <v>0.1832</v>
      </c>
      <c r="AP110" s="57">
        <v>0.075</v>
      </c>
      <c r="AQ110" s="57">
        <v>2.096</v>
      </c>
      <c r="AR110" s="57">
        <v>0.1672</v>
      </c>
      <c r="AS110" s="57">
        <v>0.071</v>
      </c>
      <c r="BC110" s="57">
        <v>0.8632</v>
      </c>
      <c r="BD110" s="57">
        <v>0.335</v>
      </c>
      <c r="BF110" s="57" t="s">
        <v>272</v>
      </c>
    </row>
    <row r="111">
      <c r="A111" s="2" t="s">
        <v>117</v>
      </c>
      <c r="B111" s="54" t="s">
        <v>64</v>
      </c>
      <c r="C111" s="60">
        <v>2383.0</v>
      </c>
      <c r="F111" s="70">
        <v>44631.0</v>
      </c>
      <c r="G111" s="57">
        <v>1.02</v>
      </c>
      <c r="H111" s="57">
        <v>0.2108</v>
      </c>
      <c r="I111" s="57">
        <v>0.086</v>
      </c>
      <c r="J111" s="57">
        <v>0.898</v>
      </c>
      <c r="K111" s="57">
        <v>0.1588</v>
      </c>
      <c r="L111" s="57">
        <v>0.068</v>
      </c>
      <c r="M111" s="57">
        <v>0.962</v>
      </c>
      <c r="N111" s="57">
        <v>0.1872</v>
      </c>
      <c r="O111" s="57">
        <v>0.081</v>
      </c>
      <c r="Z111" s="57"/>
      <c r="AA111" s="57"/>
      <c r="AB111" s="57"/>
      <c r="AC111" s="57"/>
      <c r="AD111" s="57"/>
      <c r="AE111" s="57">
        <v>2.0422</v>
      </c>
      <c r="AF111" s="57">
        <v>0.872</v>
      </c>
      <c r="AH111" s="57">
        <v>2.48</v>
      </c>
      <c r="AI111" s="57">
        <v>0.1117</v>
      </c>
      <c r="AJ111" s="57">
        <v>0.048</v>
      </c>
      <c r="AK111" s="57">
        <v>2.16</v>
      </c>
      <c r="AL111" s="57">
        <v>0.101</v>
      </c>
      <c r="AM111" s="57">
        <v>0.045</v>
      </c>
      <c r="AN111" s="57">
        <v>2.441</v>
      </c>
      <c r="AO111" s="57">
        <v>0.089</v>
      </c>
      <c r="AP111" s="57">
        <v>0.039</v>
      </c>
      <c r="BC111" s="57">
        <v>0.5538</v>
      </c>
      <c r="BD111" s="57">
        <v>0.238</v>
      </c>
    </row>
    <row r="112">
      <c r="A112" s="2" t="s">
        <v>117</v>
      </c>
      <c r="B112" s="54" t="s">
        <v>64</v>
      </c>
      <c r="C112" s="57">
        <v>2384.0</v>
      </c>
      <c r="F112" s="70">
        <v>44628.0</v>
      </c>
      <c r="G112" s="57">
        <v>1.409</v>
      </c>
      <c r="I112" s="57">
        <v>0.028</v>
      </c>
      <c r="J112" s="57">
        <v>1.49</v>
      </c>
      <c r="L112" s="57">
        <v>0.026</v>
      </c>
      <c r="O112" s="57">
        <v>0.028</v>
      </c>
      <c r="R112" s="57">
        <v>0.021</v>
      </c>
      <c r="U112" s="57">
        <v>0.023</v>
      </c>
      <c r="X112" s="57">
        <v>0.023</v>
      </c>
      <c r="AA112" s="57">
        <v>0.017</v>
      </c>
      <c r="AH112" s="57">
        <v>2.197</v>
      </c>
      <c r="AI112" s="57">
        <v>0.0337</v>
      </c>
      <c r="AK112" s="57">
        <v>2.23</v>
      </c>
      <c r="AL112" s="57">
        <v>0.0482</v>
      </c>
      <c r="AN112" s="57">
        <v>2.16</v>
      </c>
      <c r="AO112" s="57">
        <v>0.0637</v>
      </c>
      <c r="BC112" s="57">
        <v>0.2961</v>
      </c>
      <c r="BD112" s="57">
        <v>0.162</v>
      </c>
    </row>
    <row r="113">
      <c r="A113" s="57" t="s">
        <v>136</v>
      </c>
      <c r="B113" s="54" t="s">
        <v>64</v>
      </c>
      <c r="C113" s="57">
        <v>2004.0</v>
      </c>
      <c r="F113" s="70">
        <v>44631.0</v>
      </c>
      <c r="G113" s="57">
        <v>0.29</v>
      </c>
      <c r="H113" s="57">
        <v>0.0391</v>
      </c>
      <c r="I113" s="57">
        <v>0.013</v>
      </c>
      <c r="J113" s="57">
        <v>0.205</v>
      </c>
      <c r="K113" s="57">
        <v>0.0533</v>
      </c>
      <c r="L113" s="57">
        <v>0.017</v>
      </c>
      <c r="M113" s="57">
        <v>0.539</v>
      </c>
      <c r="N113" s="57">
        <v>0.0476</v>
      </c>
      <c r="O113" s="57">
        <v>0.016</v>
      </c>
      <c r="P113" s="57">
        <v>0.3</v>
      </c>
      <c r="Q113" s="57">
        <v>0.0385</v>
      </c>
      <c r="R113" s="57">
        <v>0.013</v>
      </c>
      <c r="Z113" s="57"/>
      <c r="AA113" s="57"/>
      <c r="AB113" s="57"/>
      <c r="AC113" s="57"/>
      <c r="AD113" s="57"/>
      <c r="AE113" s="57">
        <v>1.9089</v>
      </c>
      <c r="AF113" s="57">
        <v>0.63</v>
      </c>
      <c r="AH113" s="57">
        <v>1.68</v>
      </c>
      <c r="AI113" s="57">
        <v>0.0536</v>
      </c>
      <c r="AJ113" s="57">
        <v>0.019</v>
      </c>
      <c r="AK113" s="57">
        <v>1.76</v>
      </c>
      <c r="AL113" s="57">
        <v>0.05</v>
      </c>
      <c r="AM113" s="57">
        <v>0.018</v>
      </c>
      <c r="AN113" s="57">
        <v>1.52</v>
      </c>
      <c r="AO113" s="57">
        <v>0.0535</v>
      </c>
      <c r="AP113" s="57">
        <v>0.019</v>
      </c>
      <c r="BC113" s="57">
        <v>1.0937</v>
      </c>
      <c r="BD113" s="57">
        <v>0.396</v>
      </c>
    </row>
    <row r="114">
      <c r="A114" s="57" t="s">
        <v>136</v>
      </c>
      <c r="B114" s="54" t="s">
        <v>64</v>
      </c>
      <c r="C114" s="57">
        <v>2005.0</v>
      </c>
      <c r="F114" s="70">
        <v>44631.0</v>
      </c>
      <c r="G114" s="57">
        <v>1.03</v>
      </c>
      <c r="H114" s="57">
        <v>0.23</v>
      </c>
      <c r="I114" s="57">
        <v>0.076</v>
      </c>
      <c r="J114" s="57">
        <v>1.06</v>
      </c>
      <c r="K114" s="57">
        <v>0.2506</v>
      </c>
      <c r="L114" s="57">
        <v>0.081</v>
      </c>
      <c r="Z114" s="57"/>
      <c r="AA114" s="57"/>
      <c r="AB114" s="57"/>
      <c r="AC114" s="57"/>
      <c r="AD114" s="57"/>
      <c r="AE114" s="57">
        <v>1.2097</v>
      </c>
      <c r="AF114" s="57">
        <v>0.395</v>
      </c>
      <c r="AH114" s="57">
        <v>1.38</v>
      </c>
      <c r="AI114" s="57">
        <v>0.2784</v>
      </c>
      <c r="AJ114" s="57">
        <v>0.111</v>
      </c>
      <c r="AK114" s="57">
        <v>1.51</v>
      </c>
      <c r="AL114" s="57">
        <v>0.1889</v>
      </c>
      <c r="AM114" s="57">
        <v>0.069</v>
      </c>
      <c r="AN114" s="57">
        <v>1.51</v>
      </c>
      <c r="AO114" s="57">
        <v>0.1532</v>
      </c>
      <c r="AP114" s="57">
        <v>0.057</v>
      </c>
      <c r="BC114" s="57">
        <v>0.3955</v>
      </c>
      <c r="BD114" s="57">
        <v>0.152</v>
      </c>
    </row>
    <row r="115">
      <c r="A115" s="57" t="s">
        <v>136</v>
      </c>
      <c r="B115" s="54" t="s">
        <v>64</v>
      </c>
      <c r="C115" s="57">
        <v>2006.0</v>
      </c>
      <c r="F115" s="70">
        <v>44631.0</v>
      </c>
      <c r="G115" s="57">
        <v>0.925</v>
      </c>
      <c r="H115" s="57">
        <v>0.1323</v>
      </c>
      <c r="I115" s="57">
        <v>0.045</v>
      </c>
      <c r="J115" s="57">
        <v>0.97</v>
      </c>
      <c r="K115" s="57">
        <v>0.1025</v>
      </c>
      <c r="L115" s="57">
        <v>0.034</v>
      </c>
      <c r="Z115" s="57"/>
      <c r="AA115" s="57"/>
      <c r="AB115" s="57"/>
      <c r="AC115" s="57"/>
      <c r="AD115" s="57"/>
      <c r="AE115" s="57">
        <v>1.552</v>
      </c>
      <c r="AF115" s="57">
        <v>0.497</v>
      </c>
      <c r="AH115" s="57">
        <v>1.51</v>
      </c>
      <c r="AI115" s="57">
        <v>0.1172</v>
      </c>
      <c r="AJ115" s="57">
        <v>0.046</v>
      </c>
      <c r="AK115" s="57">
        <v>1.41</v>
      </c>
      <c r="AL115" s="57">
        <v>0.1535</v>
      </c>
      <c r="AM115" s="57">
        <v>0.056</v>
      </c>
      <c r="AN115" s="57">
        <v>1.3</v>
      </c>
      <c r="AO115" s="57">
        <v>0.1487</v>
      </c>
      <c r="AP115" s="57">
        <v>0.054</v>
      </c>
      <c r="BC115" s="57">
        <v>0.4237</v>
      </c>
      <c r="BD115" s="57">
        <v>0.157</v>
      </c>
    </row>
    <row r="116">
      <c r="A116" s="57" t="s">
        <v>136</v>
      </c>
      <c r="B116" s="54" t="s">
        <v>64</v>
      </c>
      <c r="C116" s="57">
        <v>2007.0</v>
      </c>
      <c r="F116" s="70">
        <v>44631.0</v>
      </c>
      <c r="G116" s="57">
        <v>0.916</v>
      </c>
      <c r="H116" s="57">
        <v>0.1081</v>
      </c>
      <c r="I116" s="57">
        <v>0.044</v>
      </c>
      <c r="J116" s="57">
        <v>0.671</v>
      </c>
      <c r="K116" s="57">
        <v>0.1054</v>
      </c>
      <c r="L116" s="57">
        <v>0.039</v>
      </c>
      <c r="M116" s="57">
        <v>0.858</v>
      </c>
      <c r="N116" s="57">
        <v>0.086</v>
      </c>
      <c r="O116" s="57">
        <v>0.034</v>
      </c>
      <c r="Z116" s="57"/>
      <c r="AA116" s="57"/>
      <c r="AB116" s="57"/>
      <c r="AC116" s="57"/>
      <c r="AD116" s="57"/>
      <c r="AE116" s="57">
        <v>2.1401</v>
      </c>
      <c r="AF116" s="57">
        <v>0.825</v>
      </c>
      <c r="AH116" s="57">
        <v>1.8</v>
      </c>
      <c r="AI116" s="57">
        <v>0.0636</v>
      </c>
      <c r="AJ116" s="57">
        <v>0.028</v>
      </c>
      <c r="AK116" s="57">
        <v>1.61</v>
      </c>
      <c r="AL116" s="57">
        <v>0.939</v>
      </c>
      <c r="AM116" s="57">
        <v>0.04</v>
      </c>
      <c r="AN116" s="57">
        <v>1.9</v>
      </c>
      <c r="AO116" s="57">
        <v>0.0892</v>
      </c>
      <c r="AP116" s="57">
        <v>0.038</v>
      </c>
      <c r="BC116" s="57">
        <v>0.2543</v>
      </c>
      <c r="BD116" s="57">
        <v>0.103</v>
      </c>
    </row>
    <row r="117">
      <c r="A117" s="57" t="s">
        <v>136</v>
      </c>
      <c r="B117" s="54" t="s">
        <v>139</v>
      </c>
      <c r="F117" s="70">
        <v>44631.0</v>
      </c>
      <c r="G117" s="57">
        <v>1.19</v>
      </c>
      <c r="H117" s="57">
        <v>0.2613</v>
      </c>
      <c r="I117" s="57">
        <v>0.08</v>
      </c>
      <c r="J117" s="57">
        <v>1.17</v>
      </c>
      <c r="K117" s="57">
        <v>0.1891</v>
      </c>
      <c r="L117" s="57">
        <v>0.052</v>
      </c>
      <c r="M117" s="57">
        <v>1.06</v>
      </c>
      <c r="N117" s="57">
        <v>0.3036</v>
      </c>
      <c r="O117" s="57">
        <v>0.091</v>
      </c>
      <c r="P117" s="57">
        <v>1.61</v>
      </c>
      <c r="Q117" s="57">
        <v>0.2067</v>
      </c>
      <c r="R117" s="57">
        <v>0.07</v>
      </c>
      <c r="S117" s="57">
        <v>1.02</v>
      </c>
      <c r="T117" s="57">
        <v>0.1674</v>
      </c>
      <c r="U117" s="57">
        <v>0.052</v>
      </c>
      <c r="V117" s="57">
        <v>1.08</v>
      </c>
      <c r="W117" s="57">
        <v>0.2707</v>
      </c>
      <c r="X117" s="57">
        <v>0.079</v>
      </c>
      <c r="Y117" s="57">
        <v>1.39</v>
      </c>
      <c r="Z117" s="57">
        <v>0.2556</v>
      </c>
      <c r="AA117" s="57">
        <v>0.079</v>
      </c>
      <c r="AB117" s="57">
        <v>1.24</v>
      </c>
      <c r="AC117" s="57">
        <v>0.2614</v>
      </c>
      <c r="AD117" s="57">
        <v>0.083</v>
      </c>
      <c r="AE117" s="57" t="s">
        <v>60</v>
      </c>
      <c r="AF117" s="57" t="s">
        <v>60</v>
      </c>
      <c r="AH117" s="57">
        <v>2.45</v>
      </c>
      <c r="AI117" s="57">
        <v>0.147</v>
      </c>
      <c r="AJ117" s="57">
        <v>0.061</v>
      </c>
      <c r="AK117" s="57">
        <v>1.97</v>
      </c>
      <c r="AL117" s="57">
        <v>0.1646</v>
      </c>
      <c r="AM117" s="57">
        <v>0.079</v>
      </c>
      <c r="AN117" s="57">
        <v>2.02</v>
      </c>
      <c r="AO117" s="57">
        <v>0.2072</v>
      </c>
      <c r="AP117" s="57">
        <v>0.084</v>
      </c>
      <c r="AQ117" s="57">
        <v>2.21</v>
      </c>
      <c r="AR117" s="57">
        <v>0.1639</v>
      </c>
      <c r="AS117" s="57">
        <v>0.08</v>
      </c>
      <c r="AT117" s="57">
        <v>2.064</v>
      </c>
      <c r="AU117" s="57">
        <v>0.137</v>
      </c>
      <c r="AV117" s="57">
        <v>0.072</v>
      </c>
      <c r="AW117" s="57">
        <v>2.14</v>
      </c>
      <c r="AX117" s="57">
        <v>0.1255</v>
      </c>
      <c r="AY117" s="57">
        <v>0.063</v>
      </c>
      <c r="AZ117" s="57">
        <v>2.14</v>
      </c>
      <c r="BA117" s="57">
        <v>0.1373</v>
      </c>
      <c r="BB117" s="57">
        <v>0.104</v>
      </c>
    </row>
    <row r="118">
      <c r="A118" s="57"/>
      <c r="B118" s="54" t="s">
        <v>128</v>
      </c>
      <c r="F118" s="70">
        <v>44628.0</v>
      </c>
      <c r="G118" s="57"/>
      <c r="H118" s="57"/>
      <c r="J118" s="57"/>
      <c r="K118" s="57"/>
      <c r="M118" s="57"/>
      <c r="N118" s="57"/>
      <c r="P118" s="57"/>
      <c r="Q118" s="57"/>
      <c r="S118" s="57"/>
      <c r="T118" s="57"/>
      <c r="V118" s="57"/>
      <c r="W118" s="57"/>
      <c r="Y118" s="57"/>
      <c r="Z118" s="57"/>
      <c r="AH118" s="57">
        <v>1.58</v>
      </c>
      <c r="AI118" s="57">
        <v>0.1919</v>
      </c>
      <c r="AJ118" s="57">
        <v>0.058</v>
      </c>
      <c r="AK118" s="57">
        <v>1.76</v>
      </c>
      <c r="AL118" s="57">
        <v>0.2642</v>
      </c>
      <c r="AM118" s="57">
        <v>0.062</v>
      </c>
      <c r="AN118" s="57">
        <v>1.74</v>
      </c>
      <c r="AO118" s="57">
        <v>0.2412</v>
      </c>
      <c r="AP118" s="57">
        <v>0.08</v>
      </c>
      <c r="AQ118" s="57">
        <v>1.723</v>
      </c>
      <c r="AR118" s="57">
        <v>0.2448</v>
      </c>
      <c r="AS118" s="57">
        <v>0.065</v>
      </c>
      <c r="AT118" s="57">
        <v>1.95</v>
      </c>
      <c r="AU118" s="57">
        <v>0.2199</v>
      </c>
      <c r="AV118" s="57">
        <v>0.056</v>
      </c>
      <c r="AW118" s="57">
        <v>1.438</v>
      </c>
      <c r="AX118" s="57">
        <v>0.2008</v>
      </c>
      <c r="AY118" s="57">
        <v>0.044</v>
      </c>
      <c r="AZ118" s="57">
        <v>1.41</v>
      </c>
      <c r="BA118" s="57">
        <v>0.3537</v>
      </c>
      <c r="BB118" s="57">
        <v>0.053</v>
      </c>
    </row>
    <row r="119">
      <c r="A119" s="57"/>
      <c r="B119" s="54" t="s">
        <v>144</v>
      </c>
      <c r="F119" s="70">
        <v>44628.0</v>
      </c>
      <c r="G119" s="57"/>
      <c r="H119" s="57"/>
      <c r="J119" s="57"/>
      <c r="K119" s="57"/>
      <c r="M119" s="57"/>
      <c r="N119" s="57"/>
      <c r="P119" s="57"/>
      <c r="Q119" s="57"/>
      <c r="S119" s="57"/>
      <c r="T119" s="57"/>
      <c r="V119" s="57"/>
      <c r="W119" s="57"/>
      <c r="Y119" s="57"/>
      <c r="Z119" s="57"/>
      <c r="AH119" s="57">
        <v>2.131</v>
      </c>
      <c r="AI119" s="57">
        <v>0.4783</v>
      </c>
      <c r="AK119" s="57">
        <v>2.442</v>
      </c>
      <c r="AL119" s="57">
        <v>0.7536</v>
      </c>
      <c r="AN119" s="57">
        <v>2.289</v>
      </c>
      <c r="AO119" s="57">
        <v>0.7049</v>
      </c>
      <c r="AQ119" s="57">
        <v>2.436</v>
      </c>
      <c r="AR119" s="57">
        <v>0.7593</v>
      </c>
      <c r="AT119" s="57">
        <v>2.629</v>
      </c>
      <c r="AU119" s="57">
        <v>0.3663</v>
      </c>
      <c r="AW119" s="57">
        <v>2.142</v>
      </c>
      <c r="AX119" s="57">
        <v>0.56</v>
      </c>
      <c r="AZ119" s="57">
        <v>2.138</v>
      </c>
      <c r="BA119" s="57">
        <v>0.4725</v>
      </c>
    </row>
    <row r="120">
      <c r="A120" s="57" t="s">
        <v>141</v>
      </c>
      <c r="B120" s="54" t="s">
        <v>144</v>
      </c>
      <c r="F120" s="70">
        <v>44631.0</v>
      </c>
      <c r="G120" s="57">
        <v>1.33</v>
      </c>
      <c r="H120" s="57">
        <v>0.9553</v>
      </c>
      <c r="I120" s="57">
        <v>0.294</v>
      </c>
      <c r="J120" s="57">
        <v>1.39</v>
      </c>
      <c r="K120" s="57">
        <v>0.674</v>
      </c>
      <c r="L120" s="57">
        <v>0.215</v>
      </c>
      <c r="M120" s="57">
        <v>1.08</v>
      </c>
      <c r="N120" s="57">
        <v>0.8819</v>
      </c>
      <c r="O120" s="57">
        <v>0.307</v>
      </c>
      <c r="P120" s="57">
        <v>1.307</v>
      </c>
      <c r="Q120" s="57">
        <v>0.7235</v>
      </c>
      <c r="R120" s="57">
        <v>0.259</v>
      </c>
      <c r="S120" s="57">
        <v>1.27</v>
      </c>
      <c r="T120" s="57">
        <v>0.9208</v>
      </c>
      <c r="U120" s="57">
        <v>0.298</v>
      </c>
      <c r="V120" s="57">
        <v>1.38</v>
      </c>
      <c r="W120" s="57">
        <v>1.2831</v>
      </c>
      <c r="X120" s="57">
        <v>0.412</v>
      </c>
      <c r="Y120" s="57">
        <v>1.4</v>
      </c>
      <c r="Z120" s="57">
        <v>0.7079</v>
      </c>
      <c r="AA120" s="57">
        <v>0.25</v>
      </c>
      <c r="AE120" s="57" t="s">
        <v>60</v>
      </c>
      <c r="AF120" s="57" t="s">
        <v>60</v>
      </c>
      <c r="AH120" s="57">
        <v>3.51</v>
      </c>
      <c r="AI120" s="57">
        <v>0.3807</v>
      </c>
      <c r="AJ120" s="57">
        <v>0.151</v>
      </c>
      <c r="AK120" s="57">
        <v>3.01</v>
      </c>
      <c r="AL120" s="57">
        <v>0.4194</v>
      </c>
      <c r="AM120" s="57">
        <v>0.159</v>
      </c>
      <c r="AN120" s="57">
        <v>2.07</v>
      </c>
      <c r="AO120" s="57">
        <v>0.3689</v>
      </c>
      <c r="AP120" s="57">
        <v>0.127</v>
      </c>
      <c r="AQ120" s="57">
        <v>3.117</v>
      </c>
      <c r="AR120" s="57">
        <v>0.3069</v>
      </c>
      <c r="AS120" s="57">
        <v>0.129</v>
      </c>
      <c r="AT120" s="57">
        <v>2.87</v>
      </c>
      <c r="AU120" s="57">
        <v>0.3035</v>
      </c>
      <c r="AV120" s="57">
        <v>0.119</v>
      </c>
    </row>
    <row r="121">
      <c r="A121" s="57" t="s">
        <v>136</v>
      </c>
      <c r="B121" s="54" t="s">
        <v>144</v>
      </c>
      <c r="F121" s="70">
        <v>44631.0</v>
      </c>
      <c r="G121" s="57">
        <v>1.34</v>
      </c>
      <c r="H121" s="57">
        <v>0.794</v>
      </c>
      <c r="I121" s="57">
        <v>0.253</v>
      </c>
      <c r="J121" s="57">
        <v>1.68</v>
      </c>
      <c r="K121" s="57">
        <v>0.4068</v>
      </c>
      <c r="L121" s="57">
        <v>0.151</v>
      </c>
      <c r="M121" s="57">
        <v>1.29</v>
      </c>
      <c r="N121" s="57">
        <v>0.7535</v>
      </c>
      <c r="O121" s="57">
        <v>0.228</v>
      </c>
      <c r="P121" s="57">
        <v>1.33</v>
      </c>
      <c r="Q121" s="57">
        <v>0.6313</v>
      </c>
      <c r="R121" s="57">
        <v>0.206</v>
      </c>
      <c r="S121" s="57">
        <v>1.52</v>
      </c>
      <c r="T121" s="57">
        <v>0.4369</v>
      </c>
      <c r="U121" s="57">
        <v>0.141</v>
      </c>
      <c r="V121" s="57">
        <v>1.49</v>
      </c>
      <c r="W121" s="57">
        <v>0.4005</v>
      </c>
      <c r="X121" s="57">
        <v>0.131</v>
      </c>
      <c r="Y121" s="57">
        <v>1.87</v>
      </c>
      <c r="Z121" s="57">
        <v>0.619</v>
      </c>
      <c r="AA121" s="57">
        <v>0.244</v>
      </c>
      <c r="AB121" s="57">
        <v>1.66</v>
      </c>
      <c r="AC121" s="57">
        <v>0.3149</v>
      </c>
      <c r="AD121" s="57">
        <v>0.129</v>
      </c>
      <c r="AE121" s="57" t="s">
        <v>60</v>
      </c>
      <c r="AF121" s="57" t="s">
        <v>60</v>
      </c>
      <c r="AH121" s="57">
        <v>2.12</v>
      </c>
      <c r="AI121" s="57">
        <v>0.7313</v>
      </c>
      <c r="AJ121" s="57">
        <v>0.249</v>
      </c>
      <c r="AK121" s="57">
        <v>2.3</v>
      </c>
      <c r="AL121" s="57">
        <v>0.9299</v>
      </c>
      <c r="AM121" s="57">
        <v>0.346</v>
      </c>
      <c r="AN121" s="57">
        <v>2.14</v>
      </c>
      <c r="AO121" s="57">
        <v>0.7828</v>
      </c>
      <c r="AP121" s="57">
        <v>0.243</v>
      </c>
      <c r="AQ121" s="57">
        <v>2.302</v>
      </c>
      <c r="AR121" s="57">
        <v>0.717</v>
      </c>
      <c r="AS121" s="57">
        <v>0.251</v>
      </c>
      <c r="AT121" s="57">
        <v>2.52</v>
      </c>
      <c r="AU121" s="57">
        <v>0.7471</v>
      </c>
      <c r="AV121" s="57">
        <v>0.277</v>
      </c>
      <c r="AW121" s="57">
        <v>2.46</v>
      </c>
      <c r="AX121" s="57">
        <v>0.5909</v>
      </c>
      <c r="AY121" s="57">
        <v>0.212</v>
      </c>
    </row>
    <row r="122">
      <c r="A122" s="57" t="s">
        <v>255</v>
      </c>
      <c r="B122" s="54" t="s">
        <v>58</v>
      </c>
      <c r="C122" s="57">
        <v>2093.0</v>
      </c>
      <c r="F122" s="70">
        <v>44631.0</v>
      </c>
      <c r="AH122" s="57">
        <v>2.6</v>
      </c>
      <c r="AI122" s="57">
        <v>0.4606</v>
      </c>
      <c r="AJ122" s="57">
        <v>0.293</v>
      </c>
      <c r="AK122" s="57">
        <v>2.16</v>
      </c>
      <c r="AL122" s="57">
        <v>0.4621</v>
      </c>
      <c r="AM122" s="57">
        <v>0.295</v>
      </c>
      <c r="AN122" s="57">
        <v>2.01</v>
      </c>
      <c r="AO122" s="57">
        <v>0.2604</v>
      </c>
      <c r="AP122" s="57">
        <v>0.162</v>
      </c>
      <c r="AQ122" s="57">
        <v>1.7</v>
      </c>
      <c r="AR122" s="57">
        <v>0.2671</v>
      </c>
      <c r="AS122" s="57">
        <v>0.169</v>
      </c>
      <c r="AT122" s="57">
        <v>1.85</v>
      </c>
      <c r="AU122" s="57">
        <v>0.4346</v>
      </c>
      <c r="AV122" s="57">
        <v>0.27</v>
      </c>
    </row>
    <row r="123">
      <c r="A123" s="57" t="s">
        <v>255</v>
      </c>
      <c r="B123" s="54" t="s">
        <v>58</v>
      </c>
      <c r="C123" s="57">
        <v>2092.0</v>
      </c>
      <c r="F123" s="70">
        <v>44631.0</v>
      </c>
      <c r="AH123" s="57">
        <v>1.5</v>
      </c>
      <c r="AI123" s="57">
        <v>0.2043</v>
      </c>
      <c r="AJ123" s="57">
        <v>0.125</v>
      </c>
      <c r="AK123" s="57">
        <v>1.52</v>
      </c>
      <c r="AL123" s="57">
        <v>0.1917</v>
      </c>
      <c r="AM123" s="57">
        <v>0.118</v>
      </c>
      <c r="AN123" s="57">
        <v>1.81</v>
      </c>
      <c r="AO123" s="57">
        <v>0.1643</v>
      </c>
      <c r="AP123" s="57">
        <v>0.101</v>
      </c>
      <c r="AQ123" s="57">
        <v>1.55</v>
      </c>
      <c r="AR123" s="57">
        <v>0.1988</v>
      </c>
      <c r="AS123" s="57">
        <v>0.123</v>
      </c>
      <c r="AT123" s="57">
        <v>1.85</v>
      </c>
      <c r="AU123" s="57">
        <v>0.2994</v>
      </c>
      <c r="AV123" s="57">
        <v>0.188</v>
      </c>
      <c r="AW123" s="57">
        <v>2.4</v>
      </c>
      <c r="AX123" s="57">
        <v>0.2204</v>
      </c>
      <c r="AY123" s="57">
        <v>0.139</v>
      </c>
    </row>
    <row r="124">
      <c r="A124" s="57" t="s">
        <v>255</v>
      </c>
      <c r="B124" s="54" t="s">
        <v>58</v>
      </c>
      <c r="C124" s="57">
        <v>2091.0</v>
      </c>
      <c r="F124" s="70">
        <v>44631.0</v>
      </c>
      <c r="AH124" s="57">
        <v>1.35</v>
      </c>
      <c r="AI124" s="57">
        <v>0.172</v>
      </c>
      <c r="AJ124" s="57">
        <v>0.102</v>
      </c>
      <c r="AK124" s="57">
        <v>0.85</v>
      </c>
      <c r="AL124" s="57">
        <v>0.1109</v>
      </c>
      <c r="AM124" s="57">
        <v>0.066</v>
      </c>
      <c r="AN124" s="57">
        <v>1.1</v>
      </c>
      <c r="AO124" s="57">
        <v>0.2488</v>
      </c>
      <c r="AP124" s="57">
        <v>0.149</v>
      </c>
      <c r="AQ124" s="57">
        <v>0.91</v>
      </c>
      <c r="AR124" s="57">
        <v>0.1824</v>
      </c>
      <c r="AS124" s="57">
        <v>0.108</v>
      </c>
    </row>
    <row r="125">
      <c r="A125" s="57" t="s">
        <v>255</v>
      </c>
      <c r="B125" s="54" t="s">
        <v>149</v>
      </c>
      <c r="C125" s="57">
        <v>2090.0</v>
      </c>
      <c r="F125" s="70"/>
    </row>
    <row r="126">
      <c r="A126" s="57" t="s">
        <v>255</v>
      </c>
      <c r="B126" s="54" t="s">
        <v>58</v>
      </c>
      <c r="C126" s="57">
        <v>2089.0</v>
      </c>
      <c r="F126" s="70">
        <v>44631.0</v>
      </c>
      <c r="AH126" s="57">
        <v>1.92</v>
      </c>
      <c r="AI126" s="57">
        <v>0.2453</v>
      </c>
      <c r="AJ126" s="57">
        <v>0.144</v>
      </c>
      <c r="AK126" s="57">
        <v>3.0</v>
      </c>
      <c r="AL126" s="57">
        <v>0.2231</v>
      </c>
      <c r="AM126" s="57">
        <v>0.141</v>
      </c>
      <c r="AN126" s="57">
        <v>1.34</v>
      </c>
      <c r="AO126" s="57">
        <v>0.1338</v>
      </c>
      <c r="AP126" s="57">
        <v>0.081</v>
      </c>
      <c r="AQ126" s="57">
        <v>1.95</v>
      </c>
      <c r="AR126" s="57">
        <v>0.2811</v>
      </c>
      <c r="AS126" s="57">
        <v>0.17</v>
      </c>
      <c r="AT126" s="57">
        <v>2.65</v>
      </c>
      <c r="AU126" s="57">
        <v>0.2049</v>
      </c>
      <c r="AV126" s="57">
        <v>0.126</v>
      </c>
      <c r="AW126" s="57">
        <v>1.75</v>
      </c>
      <c r="AY126" s="57">
        <v>0.178</v>
      </c>
    </row>
    <row r="127">
      <c r="A127" s="57" t="s">
        <v>255</v>
      </c>
      <c r="B127" s="54" t="s">
        <v>64</v>
      </c>
      <c r="C127" s="57">
        <v>2088.0</v>
      </c>
      <c r="F127" s="70">
        <v>44631.0</v>
      </c>
    </row>
    <row r="128">
      <c r="A128" s="57" t="s">
        <v>255</v>
      </c>
      <c r="B128" s="54" t="s">
        <v>64</v>
      </c>
      <c r="C128" s="57">
        <v>2087.0</v>
      </c>
      <c r="F128" s="70">
        <v>44631.0</v>
      </c>
    </row>
    <row r="129">
      <c r="A129" s="57" t="s">
        <v>255</v>
      </c>
      <c r="B129" s="54" t="s">
        <v>64</v>
      </c>
      <c r="C129" s="57">
        <v>2086.0</v>
      </c>
      <c r="F129" s="70">
        <v>44631.0</v>
      </c>
    </row>
    <row r="130">
      <c r="A130" s="57" t="s">
        <v>255</v>
      </c>
      <c r="B130" s="54" t="s">
        <v>64</v>
      </c>
      <c r="C130" s="57">
        <v>2085.0</v>
      </c>
      <c r="F130" s="70">
        <v>44631.0</v>
      </c>
    </row>
    <row r="131">
      <c r="A131" s="57" t="s">
        <v>141</v>
      </c>
      <c r="B131" s="54" t="s">
        <v>64</v>
      </c>
      <c r="C131" s="57">
        <v>2020.0</v>
      </c>
      <c r="F131" s="70">
        <v>44631.0</v>
      </c>
      <c r="AH131" s="57">
        <v>2.2</v>
      </c>
      <c r="AI131" s="57">
        <v>0.0662</v>
      </c>
      <c r="AJ131" s="57">
        <v>0.042</v>
      </c>
      <c r="AK131" s="57">
        <v>2.02</v>
      </c>
      <c r="AL131" s="57">
        <v>0.0965</v>
      </c>
      <c r="AM131" s="57">
        <v>0.04</v>
      </c>
      <c r="AN131" s="57">
        <v>2.3</v>
      </c>
      <c r="AO131" s="57">
        <v>0.1752</v>
      </c>
      <c r="AP131" s="57">
        <v>0.084</v>
      </c>
      <c r="BC131" s="57">
        <v>0.4108</v>
      </c>
      <c r="BD131" s="57">
        <v>0.184</v>
      </c>
    </row>
    <row r="132">
      <c r="A132" s="57" t="s">
        <v>141</v>
      </c>
      <c r="B132" s="54" t="s">
        <v>64</v>
      </c>
      <c r="C132" s="57">
        <v>2021.0</v>
      </c>
      <c r="F132" s="70">
        <v>44631.0</v>
      </c>
      <c r="AH132" s="57">
        <v>1.91</v>
      </c>
      <c r="AI132" s="57">
        <v>0.0512</v>
      </c>
      <c r="AJ132" s="57">
        <v>0.022</v>
      </c>
      <c r="AK132" s="57">
        <v>1.81</v>
      </c>
      <c r="AL132" s="57">
        <v>0.0827</v>
      </c>
      <c r="AM132" s="57">
        <v>0.04</v>
      </c>
      <c r="AN132" s="57">
        <v>1.9</v>
      </c>
      <c r="AO132" s="57">
        <v>0.0791</v>
      </c>
      <c r="AP132" s="57">
        <v>0.038</v>
      </c>
      <c r="BC132" s="57">
        <v>0.1519</v>
      </c>
      <c r="BD132" s="57">
        <v>0.073</v>
      </c>
    </row>
    <row r="133">
      <c r="A133" s="57" t="s">
        <v>141</v>
      </c>
      <c r="B133" s="54" t="s">
        <v>58</v>
      </c>
      <c r="C133" s="57">
        <v>2022.0</v>
      </c>
      <c r="F133" s="70">
        <v>44631.0</v>
      </c>
      <c r="AH133" s="57">
        <v>2.05</v>
      </c>
      <c r="AI133" s="57">
        <v>0.51</v>
      </c>
      <c r="AJ133" s="57">
        <v>0.284</v>
      </c>
      <c r="AK133" s="57">
        <v>1.85</v>
      </c>
      <c r="AL133" s="57">
        <v>0.3516</v>
      </c>
      <c r="AM133" s="57">
        <v>0.149</v>
      </c>
      <c r="AN133" s="57">
        <v>1.95</v>
      </c>
      <c r="AO133" s="57">
        <v>0.3043</v>
      </c>
      <c r="AP133" s="57">
        <v>0.24</v>
      </c>
      <c r="AQ133" s="57">
        <v>2.1</v>
      </c>
      <c r="AR133" s="57">
        <v>0.4818</v>
      </c>
      <c r="AS133" s="57">
        <v>0.162</v>
      </c>
      <c r="AT133" s="57">
        <v>2.1</v>
      </c>
      <c r="AU133" s="57">
        <v>0.2643</v>
      </c>
      <c r="AV133" s="57">
        <v>0.172</v>
      </c>
      <c r="BC133" s="57">
        <v>1.9981</v>
      </c>
      <c r="BD133" s="57">
        <v>0.926</v>
      </c>
    </row>
    <row r="134">
      <c r="A134" s="57" t="s">
        <v>141</v>
      </c>
      <c r="B134" s="54" t="s">
        <v>58</v>
      </c>
      <c r="C134" s="57">
        <v>2023.0</v>
      </c>
      <c r="F134" s="70">
        <v>44631.0</v>
      </c>
      <c r="AH134" s="57">
        <v>1.43</v>
      </c>
      <c r="AI134" s="57">
        <v>0.2813</v>
      </c>
      <c r="AJ134" s="57">
        <v>0.133</v>
      </c>
      <c r="AK134" s="57">
        <v>1.55</v>
      </c>
      <c r="AL134" s="57">
        <v>0.2097</v>
      </c>
      <c r="AM134" s="57">
        <v>0.097</v>
      </c>
      <c r="AN134" s="57">
        <v>1.75</v>
      </c>
      <c r="AO134" s="57">
        <v>0.2038</v>
      </c>
      <c r="AP134" s="57">
        <v>0.089</v>
      </c>
      <c r="AQ134" s="57">
        <v>1.85</v>
      </c>
      <c r="AR134" s="57">
        <v>0.3284</v>
      </c>
      <c r="AT134" s="57">
        <v>1.7</v>
      </c>
      <c r="AU134" s="57">
        <v>0.3539</v>
      </c>
      <c r="BC134" s="33">
        <f>0.9686+0.827</f>
        <v>1.7956</v>
      </c>
      <c r="BD134" s="57">
        <v>0.453</v>
      </c>
    </row>
    <row r="135">
      <c r="A135" s="57" t="s">
        <v>141</v>
      </c>
      <c r="B135" s="54" t="s">
        <v>64</v>
      </c>
      <c r="C135" s="57">
        <v>2024.0</v>
      </c>
      <c r="F135" s="70">
        <v>44631.0</v>
      </c>
      <c r="AH135" s="57">
        <v>1.65</v>
      </c>
      <c r="AI135" s="57">
        <v>0.1186</v>
      </c>
      <c r="AJ135" s="57">
        <v>0.045</v>
      </c>
      <c r="AK135" s="57">
        <v>1.72</v>
      </c>
      <c r="AL135" s="57">
        <v>0.1225</v>
      </c>
      <c r="AM135" s="57">
        <v>0.048</v>
      </c>
      <c r="BC135" s="57">
        <v>0.5526</v>
      </c>
      <c r="BD135" s="57">
        <v>0.21</v>
      </c>
    </row>
    <row r="136">
      <c r="A136" s="57" t="s">
        <v>141</v>
      </c>
      <c r="B136" s="54" t="s">
        <v>64</v>
      </c>
      <c r="C136" s="57">
        <v>2025.0</v>
      </c>
      <c r="F136" s="70">
        <v>44631.0</v>
      </c>
      <c r="AH136" s="57">
        <v>2.07</v>
      </c>
      <c r="AI136" s="57">
        <v>0.1415</v>
      </c>
      <c r="AJ136" s="57">
        <v>0.067</v>
      </c>
      <c r="AK136" s="57">
        <v>1.71</v>
      </c>
      <c r="AL136" s="57">
        <v>0.1603</v>
      </c>
      <c r="AM136" s="57">
        <v>0.074</v>
      </c>
      <c r="AN136" s="57">
        <v>1.64</v>
      </c>
      <c r="AO136" s="57">
        <v>0.0891</v>
      </c>
      <c r="AP136" s="57">
        <v>0.042</v>
      </c>
      <c r="AQ136" s="57">
        <v>1.79</v>
      </c>
      <c r="AR136" s="57">
        <v>0.1065</v>
      </c>
      <c r="AS136" s="57">
        <v>0.052</v>
      </c>
      <c r="BC136" s="57">
        <v>0.2059</v>
      </c>
      <c r="BD136" s="57">
        <v>0.053</v>
      </c>
    </row>
    <row r="137">
      <c r="A137" s="57" t="s">
        <v>150</v>
      </c>
      <c r="B137" s="54" t="s">
        <v>64</v>
      </c>
      <c r="C137" s="57">
        <v>2026.0</v>
      </c>
      <c r="F137" s="70">
        <v>44631.0</v>
      </c>
      <c r="AH137" s="57">
        <v>1.96</v>
      </c>
      <c r="AI137" s="57">
        <v>0.1443</v>
      </c>
      <c r="AJ137" s="57">
        <v>0.067</v>
      </c>
      <c r="AK137" s="57">
        <v>1.93</v>
      </c>
      <c r="AL137" s="57">
        <v>0.0864</v>
      </c>
      <c r="AM137" s="57">
        <v>0.037</v>
      </c>
      <c r="BC137" s="57">
        <v>0.2601</v>
      </c>
      <c r="BD137" s="57">
        <v>0.117</v>
      </c>
    </row>
    <row r="138">
      <c r="A138" s="57" t="s">
        <v>150</v>
      </c>
      <c r="B138" s="54" t="s">
        <v>64</v>
      </c>
      <c r="C138" s="57">
        <v>2027.0</v>
      </c>
      <c r="F138" s="70">
        <v>44631.0</v>
      </c>
      <c r="AJ138" s="57">
        <v>0.042</v>
      </c>
      <c r="AM138" s="57">
        <v>0.111</v>
      </c>
      <c r="AP138" s="57">
        <v>0.057</v>
      </c>
      <c r="BD138" s="57">
        <v>0.234</v>
      </c>
    </row>
    <row r="139">
      <c r="A139" s="57" t="s">
        <v>150</v>
      </c>
      <c r="B139" s="54"/>
      <c r="C139" s="57">
        <v>2028.0</v>
      </c>
    </row>
    <row r="140">
      <c r="A140" s="57" t="s">
        <v>150</v>
      </c>
      <c r="B140" s="54"/>
      <c r="C140" s="57">
        <v>2029.0</v>
      </c>
    </row>
    <row r="141">
      <c r="A141" s="57" t="s">
        <v>150</v>
      </c>
      <c r="B141" s="54"/>
      <c r="C141" s="57">
        <v>2030.0</v>
      </c>
    </row>
    <row r="142">
      <c r="A142" s="57" t="s">
        <v>150</v>
      </c>
      <c r="B142" s="54"/>
      <c r="C142" s="57">
        <v>2031.0</v>
      </c>
    </row>
    <row r="143">
      <c r="A143" s="57" t="s">
        <v>256</v>
      </c>
      <c r="B143" s="54" t="s">
        <v>64</v>
      </c>
      <c r="C143" s="57">
        <v>2012.0</v>
      </c>
    </row>
    <row r="144">
      <c r="A144" s="57" t="s">
        <v>256</v>
      </c>
      <c r="B144" s="54" t="s">
        <v>64</v>
      </c>
      <c r="C144" s="57">
        <v>2013.0</v>
      </c>
    </row>
    <row r="145">
      <c r="A145" s="57" t="s">
        <v>256</v>
      </c>
      <c r="B145" s="54" t="s">
        <v>64</v>
      </c>
      <c r="C145" s="57">
        <v>2014.0</v>
      </c>
    </row>
    <row r="146">
      <c r="A146" s="57" t="s">
        <v>256</v>
      </c>
      <c r="B146" s="54" t="s">
        <v>64</v>
      </c>
      <c r="C146" s="57">
        <v>2015.0</v>
      </c>
    </row>
    <row r="147">
      <c r="A147" s="57" t="s">
        <v>256</v>
      </c>
      <c r="B147" s="54" t="s">
        <v>64</v>
      </c>
      <c r="C147" s="57">
        <v>1478.0</v>
      </c>
    </row>
    <row r="148">
      <c r="B148" s="3"/>
    </row>
    <row r="149">
      <c r="A149" s="57" t="s">
        <v>273</v>
      </c>
      <c r="B149" s="54" t="s">
        <v>274</v>
      </c>
      <c r="C149" s="57">
        <v>2567.0</v>
      </c>
      <c r="AH149" s="57">
        <v>2.199</v>
      </c>
      <c r="AI149" s="57">
        <v>0.0536</v>
      </c>
      <c r="AK149" s="57">
        <v>2.305</v>
      </c>
      <c r="AL149" s="57">
        <v>0.0362</v>
      </c>
      <c r="AN149" s="57">
        <v>2.24</v>
      </c>
      <c r="AO149" s="57">
        <v>0.0206</v>
      </c>
      <c r="BC149" s="57">
        <v>0.5031</v>
      </c>
    </row>
    <row r="151">
      <c r="B151" s="3"/>
    </row>
    <row r="152">
      <c r="B152" s="3"/>
    </row>
    <row r="153">
      <c r="B153" s="3"/>
    </row>
    <row r="154">
      <c r="B154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</sheetData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2" t="s">
        <v>200</v>
      </c>
      <c r="B1" s="1"/>
      <c r="C1" s="1"/>
    </row>
    <row r="3">
      <c r="A3" s="12" t="s">
        <v>1</v>
      </c>
      <c r="B3" s="38" t="s">
        <v>201</v>
      </c>
      <c r="C3" s="12"/>
    </row>
    <row r="4">
      <c r="A4" s="12" t="s">
        <v>3</v>
      </c>
      <c r="B4" s="73">
        <v>44635.0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203</v>
      </c>
      <c r="H6" s="30" t="s">
        <v>204</v>
      </c>
      <c r="I6" s="30" t="s">
        <v>205</v>
      </c>
      <c r="J6" s="30" t="s">
        <v>206</v>
      </c>
      <c r="K6" s="30" t="s">
        <v>207</v>
      </c>
      <c r="L6" s="30" t="s">
        <v>208</v>
      </c>
      <c r="M6" s="30" t="s">
        <v>209</v>
      </c>
      <c r="N6" s="30" t="s">
        <v>210</v>
      </c>
      <c r="O6" s="30" t="s">
        <v>211</v>
      </c>
      <c r="P6" s="30" t="s">
        <v>212</v>
      </c>
      <c r="Q6" s="30" t="s">
        <v>213</v>
      </c>
      <c r="R6" s="30" t="s">
        <v>214</v>
      </c>
      <c r="S6" s="30" t="s">
        <v>215</v>
      </c>
      <c r="T6" s="30" t="s">
        <v>216</v>
      </c>
      <c r="U6" s="30" t="s">
        <v>217</v>
      </c>
      <c r="V6" s="30" t="s">
        <v>218</v>
      </c>
      <c r="W6" s="30" t="s">
        <v>219</v>
      </c>
      <c r="X6" s="30" t="s">
        <v>220</v>
      </c>
      <c r="Y6" s="30" t="s">
        <v>221</v>
      </c>
      <c r="Z6" s="30" t="s">
        <v>222</v>
      </c>
      <c r="AA6" s="30" t="s">
        <v>223</v>
      </c>
      <c r="AB6" s="30" t="s">
        <v>224</v>
      </c>
      <c r="AC6" s="30" t="s">
        <v>225</v>
      </c>
      <c r="AD6" s="30" t="s">
        <v>226</v>
      </c>
      <c r="AE6" s="30" t="s">
        <v>227</v>
      </c>
      <c r="AF6" s="30" t="s">
        <v>228</v>
      </c>
      <c r="AG6" s="30" t="s">
        <v>229</v>
      </c>
      <c r="AH6" s="30" t="s">
        <v>230</v>
      </c>
      <c r="AI6" s="30" t="s">
        <v>231</v>
      </c>
      <c r="AJ6" s="30" t="s">
        <v>232</v>
      </c>
      <c r="AK6" s="30" t="s">
        <v>233</v>
      </c>
      <c r="AL6" s="30" t="s">
        <v>234</v>
      </c>
      <c r="AM6" s="30" t="s">
        <v>235</v>
      </c>
      <c r="AN6" s="30" t="s">
        <v>236</v>
      </c>
      <c r="AO6" s="30" t="s">
        <v>237</v>
      </c>
      <c r="AP6" s="30" t="s">
        <v>238</v>
      </c>
      <c r="AQ6" s="30" t="s">
        <v>239</v>
      </c>
      <c r="AR6" s="30" t="s">
        <v>240</v>
      </c>
      <c r="AS6" s="30" t="s">
        <v>241</v>
      </c>
      <c r="AT6" s="30" t="s">
        <v>242</v>
      </c>
      <c r="AU6" s="30" t="s">
        <v>243</v>
      </c>
      <c r="AV6" s="30" t="s">
        <v>244</v>
      </c>
      <c r="AW6" s="30" t="s">
        <v>245</v>
      </c>
      <c r="AX6" s="30" t="s">
        <v>246</v>
      </c>
      <c r="AY6" s="30" t="s">
        <v>247</v>
      </c>
      <c r="AZ6" s="30" t="s">
        <v>248</v>
      </c>
      <c r="BA6" s="30" t="s">
        <v>249</v>
      </c>
      <c r="BB6" s="30" t="s">
        <v>250</v>
      </c>
      <c r="BC6" s="30" t="s">
        <v>251</v>
      </c>
      <c r="BD6" s="30" t="s">
        <v>252</v>
      </c>
      <c r="BE6" s="30" t="s">
        <v>253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  <c r="AG7" s="33" t="str">
        <f t="shared" ref="AG7:AG136" si="1">AVERAGE(AB7,Y7,V7,S7,P7,M7,J7,G7)</f>
        <v>#DIV/0!</v>
      </c>
      <c r="BE7" s="33" t="str">
        <f t="shared" ref="BE7:BE136" si="2">AVERAGE(AZ7,AW7,AT7,AQ7,AN7,AK7,AH7)</f>
        <v>#DIV/0!</v>
      </c>
    </row>
    <row r="8">
      <c r="A8" s="12" t="s">
        <v>57</v>
      </c>
      <c r="B8" s="12" t="s">
        <v>58</v>
      </c>
      <c r="C8" s="12">
        <v>2353.0</v>
      </c>
      <c r="AG8" s="33" t="str">
        <f t="shared" si="1"/>
        <v>#DIV/0!</v>
      </c>
      <c r="BE8" s="33" t="str">
        <f t="shared" si="2"/>
        <v>#DIV/0!</v>
      </c>
    </row>
    <row r="9">
      <c r="A9" s="12" t="s">
        <v>57</v>
      </c>
      <c r="B9" s="12" t="s">
        <v>58</v>
      </c>
      <c r="C9" s="34">
        <v>2354.0</v>
      </c>
      <c r="AG9" s="33" t="str">
        <f t="shared" si="1"/>
        <v>#DIV/0!</v>
      </c>
      <c r="BE9" s="33" t="str">
        <f t="shared" si="2"/>
        <v>#DIV/0!</v>
      </c>
    </row>
    <row r="10">
      <c r="A10" s="12" t="s">
        <v>57</v>
      </c>
      <c r="B10" s="12" t="s">
        <v>64</v>
      </c>
      <c r="C10" s="12">
        <v>2355.0</v>
      </c>
      <c r="AG10" s="33" t="str">
        <f t="shared" si="1"/>
        <v>#DIV/0!</v>
      </c>
      <c r="BE10" s="33" t="str">
        <f t="shared" si="2"/>
        <v>#DIV/0!</v>
      </c>
    </row>
    <row r="11">
      <c r="A11" s="12" t="s">
        <v>57</v>
      </c>
      <c r="B11" s="12" t="s">
        <v>64</v>
      </c>
      <c r="C11" s="34" t="s">
        <v>65</v>
      </c>
      <c r="AG11" s="33" t="str">
        <f t="shared" si="1"/>
        <v>#DIV/0!</v>
      </c>
      <c r="BE11" s="33" t="str">
        <f t="shared" si="2"/>
        <v>#DIV/0!</v>
      </c>
    </row>
    <row r="12">
      <c r="A12" s="12" t="s">
        <v>57</v>
      </c>
      <c r="B12" s="12" t="s">
        <v>64</v>
      </c>
      <c r="C12" s="12">
        <v>2356.0</v>
      </c>
      <c r="AG12" s="33" t="str">
        <f t="shared" si="1"/>
        <v>#DIV/0!</v>
      </c>
      <c r="BE12" s="33" t="str">
        <f t="shared" si="2"/>
        <v>#DIV/0!</v>
      </c>
    </row>
    <row r="13">
      <c r="A13" s="12" t="s">
        <v>57</v>
      </c>
      <c r="B13" s="12" t="s">
        <v>64</v>
      </c>
      <c r="C13" s="12">
        <v>2357.0</v>
      </c>
      <c r="AG13" s="33" t="str">
        <f t="shared" si="1"/>
        <v>#DIV/0!</v>
      </c>
      <c r="BE13" s="33" t="str">
        <f t="shared" si="2"/>
        <v>#DIV/0!</v>
      </c>
    </row>
    <row r="14">
      <c r="A14" s="12" t="s">
        <v>57</v>
      </c>
      <c r="B14" s="12" t="s">
        <v>64</v>
      </c>
      <c r="C14" s="34" t="s">
        <v>65</v>
      </c>
      <c r="AG14" s="33" t="str">
        <f t="shared" si="1"/>
        <v>#DIV/0!</v>
      </c>
      <c r="BE14" s="33" t="str">
        <f t="shared" si="2"/>
        <v>#DIV/0!</v>
      </c>
    </row>
    <row r="15">
      <c r="A15" s="12" t="s">
        <v>57</v>
      </c>
      <c r="B15" s="12" t="s">
        <v>64</v>
      </c>
      <c r="C15" s="12">
        <v>2358.0</v>
      </c>
      <c r="AG15" s="33" t="str">
        <f t="shared" si="1"/>
        <v>#DIV/0!</v>
      </c>
      <c r="BE15" s="33" t="str">
        <f t="shared" si="2"/>
        <v>#DIV/0!</v>
      </c>
    </row>
    <row r="16">
      <c r="A16" s="12" t="s">
        <v>57</v>
      </c>
      <c r="B16" s="12" t="s">
        <v>64</v>
      </c>
      <c r="C16" s="12">
        <v>2359.0</v>
      </c>
      <c r="AG16" s="33" t="str">
        <f t="shared" si="1"/>
        <v>#DIV/0!</v>
      </c>
      <c r="BE16" s="33" t="str">
        <f t="shared" si="2"/>
        <v>#DIV/0!</v>
      </c>
    </row>
    <row r="17">
      <c r="A17" s="12" t="s">
        <v>57</v>
      </c>
      <c r="B17" s="12" t="s">
        <v>64</v>
      </c>
      <c r="C17" s="34" t="s">
        <v>65</v>
      </c>
      <c r="AG17" s="33" t="str">
        <f t="shared" si="1"/>
        <v>#DIV/0!</v>
      </c>
      <c r="BE17" s="33" t="str">
        <f t="shared" si="2"/>
        <v>#DIV/0!</v>
      </c>
    </row>
    <row r="18">
      <c r="A18" s="12" t="s">
        <v>57</v>
      </c>
      <c r="B18" s="12" t="s">
        <v>64</v>
      </c>
      <c r="C18" s="12">
        <v>2360.0</v>
      </c>
      <c r="AG18" s="33" t="str">
        <f t="shared" si="1"/>
        <v>#DIV/0!</v>
      </c>
      <c r="BE18" s="33" t="str">
        <f t="shared" si="2"/>
        <v>#DIV/0!</v>
      </c>
    </row>
    <row r="19">
      <c r="A19" s="12" t="s">
        <v>57</v>
      </c>
      <c r="B19" s="12" t="s">
        <v>64</v>
      </c>
      <c r="C19" s="12">
        <v>2361.0</v>
      </c>
      <c r="G19" s="57">
        <v>1.37</v>
      </c>
      <c r="H19" s="57" t="s">
        <v>60</v>
      </c>
      <c r="J19" s="57">
        <v>1.87</v>
      </c>
      <c r="K19" s="57" t="s">
        <v>60</v>
      </c>
      <c r="M19" s="57">
        <v>1.6</v>
      </c>
      <c r="N19" s="57" t="s">
        <v>60</v>
      </c>
      <c r="AG19" s="33">
        <f t="shared" si="1"/>
        <v>1.613333333</v>
      </c>
      <c r="BE19" s="33" t="str">
        <f t="shared" si="2"/>
        <v>#DIV/0!</v>
      </c>
    </row>
    <row r="20">
      <c r="A20" s="12" t="s">
        <v>57</v>
      </c>
      <c r="B20" s="12" t="s">
        <v>64</v>
      </c>
      <c r="C20" s="34" t="s">
        <v>65</v>
      </c>
      <c r="AG20" s="33" t="str">
        <f t="shared" si="1"/>
        <v>#DIV/0!</v>
      </c>
      <c r="BE20" s="33" t="str">
        <f t="shared" si="2"/>
        <v>#DIV/0!</v>
      </c>
    </row>
    <row r="21">
      <c r="A21" s="12" t="s">
        <v>57</v>
      </c>
      <c r="B21" s="12" t="s">
        <v>64</v>
      </c>
      <c r="C21" s="12">
        <v>2362.0</v>
      </c>
      <c r="AG21" s="33" t="str">
        <f t="shared" si="1"/>
        <v>#DIV/0!</v>
      </c>
      <c r="BE21" s="33" t="str">
        <f t="shared" si="2"/>
        <v>#DIV/0!</v>
      </c>
    </row>
    <row r="22">
      <c r="A22" s="12" t="s">
        <v>57</v>
      </c>
      <c r="B22" s="12" t="s">
        <v>64</v>
      </c>
      <c r="C22" s="12">
        <v>2363.0</v>
      </c>
      <c r="AG22" s="33" t="str">
        <f t="shared" si="1"/>
        <v>#DIV/0!</v>
      </c>
      <c r="BE22" s="33" t="str">
        <f t="shared" si="2"/>
        <v>#DIV/0!</v>
      </c>
    </row>
    <row r="23">
      <c r="A23" s="12" t="s">
        <v>57</v>
      </c>
      <c r="B23" s="12" t="s">
        <v>64</v>
      </c>
      <c r="C23" s="12">
        <v>2364.0</v>
      </c>
      <c r="AG23" s="33" t="str">
        <f t="shared" si="1"/>
        <v>#DIV/0!</v>
      </c>
      <c r="BE23" s="33" t="str">
        <f t="shared" si="2"/>
        <v>#DIV/0!</v>
      </c>
    </row>
    <row r="24">
      <c r="A24" s="12" t="s">
        <v>57</v>
      </c>
      <c r="B24" s="12" t="s">
        <v>64</v>
      </c>
      <c r="C24" s="12">
        <v>2365.0</v>
      </c>
      <c r="D24" s="57">
        <v>0.0</v>
      </c>
      <c r="E24" s="57">
        <v>2.0</v>
      </c>
      <c r="G24" s="57">
        <v>1.54</v>
      </c>
      <c r="H24" s="57">
        <v>0.08</v>
      </c>
      <c r="I24" s="57">
        <v>0.032</v>
      </c>
      <c r="J24" s="33">
        <f>average(1.68,0.82)</f>
        <v>1.25</v>
      </c>
      <c r="K24" s="57">
        <v>0.0721</v>
      </c>
      <c r="L24" s="57">
        <v>0.029</v>
      </c>
      <c r="M24" s="57">
        <v>0.475</v>
      </c>
      <c r="N24" s="57">
        <v>0.0589</v>
      </c>
      <c r="O24" s="57">
        <v>0.024</v>
      </c>
      <c r="P24" s="57">
        <v>1.85</v>
      </c>
      <c r="Q24" s="57">
        <v>0.03</v>
      </c>
      <c r="R24" s="57">
        <v>0.012</v>
      </c>
      <c r="S24" s="57">
        <v>1.05</v>
      </c>
      <c r="T24" s="57" t="s">
        <v>60</v>
      </c>
      <c r="U24" s="57" t="s">
        <v>60</v>
      </c>
      <c r="AE24" s="57">
        <v>0.182</v>
      </c>
      <c r="AF24" s="57">
        <v>0.074</v>
      </c>
      <c r="AG24" s="33">
        <f t="shared" si="1"/>
        <v>1.233</v>
      </c>
      <c r="AH24" s="57">
        <v>1.89</v>
      </c>
      <c r="AI24" s="57">
        <v>0.1353</v>
      </c>
      <c r="AJ24" s="57">
        <v>0.06</v>
      </c>
      <c r="AK24" s="57">
        <v>2.034</v>
      </c>
      <c r="AL24" s="57">
        <v>0.1318</v>
      </c>
      <c r="AM24" s="57">
        <v>0.054</v>
      </c>
      <c r="AN24" s="57">
        <v>2.318</v>
      </c>
      <c r="AO24" s="57">
        <v>0.1184</v>
      </c>
      <c r="AP24" s="57">
        <v>0.049</v>
      </c>
      <c r="AQ24" s="57">
        <v>2.948</v>
      </c>
      <c r="AR24" s="57">
        <v>0.0912</v>
      </c>
      <c r="AS24" s="57">
        <v>0.038</v>
      </c>
      <c r="AT24" s="57">
        <v>2.147</v>
      </c>
      <c r="AU24" s="57">
        <v>0.2872</v>
      </c>
      <c r="AV24" s="57">
        <v>0.16</v>
      </c>
      <c r="BC24" s="57">
        <v>0.2735</v>
      </c>
      <c r="BD24" s="57">
        <v>0.111</v>
      </c>
      <c r="BE24" s="33">
        <f t="shared" si="2"/>
        <v>2.2674</v>
      </c>
    </row>
    <row r="25">
      <c r="A25" s="12" t="s">
        <v>57</v>
      </c>
      <c r="B25" s="12" t="s">
        <v>64</v>
      </c>
      <c r="C25" s="12">
        <v>2366.0</v>
      </c>
      <c r="D25" s="57">
        <v>0.0</v>
      </c>
      <c r="E25" s="57">
        <v>2.0</v>
      </c>
      <c r="AG25" s="33" t="str">
        <f t="shared" si="1"/>
        <v>#DIV/0!</v>
      </c>
      <c r="BE25" s="33" t="str">
        <f t="shared" si="2"/>
        <v>#DIV/0!</v>
      </c>
    </row>
    <row r="26">
      <c r="A26" s="12" t="s">
        <v>57</v>
      </c>
      <c r="B26" s="12" t="s">
        <v>64</v>
      </c>
      <c r="C26" s="34" t="s">
        <v>65</v>
      </c>
      <c r="AG26" s="33" t="str">
        <f t="shared" si="1"/>
        <v>#DIV/0!</v>
      </c>
      <c r="BE26" s="33" t="str">
        <f t="shared" si="2"/>
        <v>#DIV/0!</v>
      </c>
    </row>
    <row r="27">
      <c r="A27" s="12" t="s">
        <v>57</v>
      </c>
      <c r="B27" s="12" t="s">
        <v>64</v>
      </c>
      <c r="C27" s="12">
        <v>2367.0</v>
      </c>
      <c r="D27" s="57">
        <v>0.0</v>
      </c>
      <c r="E27" s="57">
        <v>2.0</v>
      </c>
      <c r="AG27" s="33" t="str">
        <f t="shared" si="1"/>
        <v>#DIV/0!</v>
      </c>
      <c r="AH27" s="57">
        <v>1.6</v>
      </c>
      <c r="AI27" s="57">
        <v>0.077</v>
      </c>
      <c r="AJ27" s="57">
        <v>0.031</v>
      </c>
      <c r="AK27" s="33">
        <f>average(3.076,2.66)</f>
        <v>2.868</v>
      </c>
      <c r="AL27" s="57">
        <v>0.1065</v>
      </c>
      <c r="AM27" s="57">
        <v>0.039</v>
      </c>
      <c r="AN27" s="57">
        <v>3.32</v>
      </c>
      <c r="AO27" s="57">
        <v>0.0821</v>
      </c>
      <c r="AP27" s="57">
        <v>0.033</v>
      </c>
      <c r="AQ27" s="57">
        <v>2.29</v>
      </c>
      <c r="AR27" s="57">
        <v>0.0653</v>
      </c>
      <c r="AS27" s="57">
        <v>0.026</v>
      </c>
      <c r="BC27" s="33">
        <f>0.1176+0.0549</f>
        <v>0.1725</v>
      </c>
      <c r="BD27" s="57">
        <v>0.07</v>
      </c>
      <c r="BE27" s="33">
        <f t="shared" si="2"/>
        <v>2.5195</v>
      </c>
    </row>
    <row r="28">
      <c r="A28" s="12" t="s">
        <v>57</v>
      </c>
      <c r="B28" s="12" t="s">
        <v>64</v>
      </c>
      <c r="C28" s="34" t="s">
        <v>65</v>
      </c>
      <c r="AG28" s="33" t="str">
        <f t="shared" si="1"/>
        <v>#DIV/0!</v>
      </c>
      <c r="BE28" s="33" t="str">
        <f t="shared" si="2"/>
        <v>#DIV/0!</v>
      </c>
    </row>
    <row r="29">
      <c r="A29" s="12" t="s">
        <v>57</v>
      </c>
      <c r="B29" s="12" t="s">
        <v>64</v>
      </c>
      <c r="C29" s="34" t="s">
        <v>65</v>
      </c>
      <c r="AG29" s="33" t="str">
        <f t="shared" si="1"/>
        <v>#DIV/0!</v>
      </c>
      <c r="BE29" s="33" t="str">
        <f t="shared" si="2"/>
        <v>#DIV/0!</v>
      </c>
    </row>
    <row r="30">
      <c r="A30" s="12" t="s">
        <v>57</v>
      </c>
      <c r="B30" s="12" t="s">
        <v>64</v>
      </c>
      <c r="C30" s="12">
        <v>2369.0</v>
      </c>
      <c r="D30" s="57">
        <v>1.0</v>
      </c>
      <c r="E30" s="57">
        <v>3.0</v>
      </c>
      <c r="G30" s="57">
        <v>1.514</v>
      </c>
      <c r="H30" s="57">
        <v>0.0398</v>
      </c>
      <c r="I30" s="57">
        <v>0.016</v>
      </c>
      <c r="J30" s="57">
        <v>0.891</v>
      </c>
      <c r="K30" s="57">
        <v>0.0202</v>
      </c>
      <c r="L30" s="57">
        <v>0.009</v>
      </c>
      <c r="M30" s="57">
        <v>1.53</v>
      </c>
      <c r="N30" s="57">
        <v>0.0246</v>
      </c>
      <c r="O30" s="57">
        <v>0.011</v>
      </c>
      <c r="AE30" s="57">
        <v>0.1071</v>
      </c>
      <c r="AF30" s="57">
        <v>0.044</v>
      </c>
      <c r="AG30" s="33">
        <f t="shared" si="1"/>
        <v>1.311666667</v>
      </c>
      <c r="AH30" s="57">
        <v>2.41</v>
      </c>
      <c r="AI30" s="57">
        <v>0.0653</v>
      </c>
      <c r="AJ30" s="57">
        <v>0.038</v>
      </c>
      <c r="AK30" s="57">
        <v>3.31</v>
      </c>
      <c r="AL30" s="57">
        <v>0.1908</v>
      </c>
      <c r="AM30" s="57">
        <v>0.087</v>
      </c>
      <c r="AN30" s="57">
        <v>2.75</v>
      </c>
      <c r="AO30" s="57">
        <v>0.0625</v>
      </c>
      <c r="AP30" s="57">
        <v>0.027</v>
      </c>
      <c r="AQ30" s="57">
        <v>2.03</v>
      </c>
      <c r="AR30" s="57">
        <v>0.0972</v>
      </c>
      <c r="AS30" s="57">
        <v>0.04</v>
      </c>
      <c r="AT30" s="57">
        <v>1.76</v>
      </c>
      <c r="AU30" s="57">
        <v>0.1054</v>
      </c>
      <c r="AV30" s="57">
        <v>0.044</v>
      </c>
      <c r="BC30" s="57">
        <v>0.2188</v>
      </c>
      <c r="BD30" s="57">
        <v>0.088</v>
      </c>
      <c r="BE30" s="33">
        <f t="shared" si="2"/>
        <v>2.452</v>
      </c>
    </row>
    <row r="31">
      <c r="A31" s="38" t="s">
        <v>70</v>
      </c>
      <c r="B31" s="38" t="s">
        <v>58</v>
      </c>
      <c r="C31" s="38">
        <v>2376.0</v>
      </c>
      <c r="AG31" s="33" t="str">
        <f t="shared" si="1"/>
        <v>#DIV/0!</v>
      </c>
      <c r="BE31" s="33" t="str">
        <f t="shared" si="2"/>
        <v>#DIV/0!</v>
      </c>
    </row>
    <row r="32">
      <c r="A32" s="38" t="s">
        <v>70</v>
      </c>
      <c r="B32" s="38" t="s">
        <v>58</v>
      </c>
      <c r="C32" s="38">
        <v>2377.0</v>
      </c>
      <c r="AG32" s="33" t="str">
        <f t="shared" si="1"/>
        <v>#DIV/0!</v>
      </c>
      <c r="BE32" s="33" t="str">
        <f t="shared" si="2"/>
        <v>#DIV/0!</v>
      </c>
    </row>
    <row r="33">
      <c r="A33" s="38" t="s">
        <v>70</v>
      </c>
      <c r="B33" s="38" t="s">
        <v>64</v>
      </c>
      <c r="C33" s="38">
        <v>2378.0</v>
      </c>
      <c r="D33" s="57">
        <v>0.0</v>
      </c>
      <c r="E33" s="57">
        <v>7.0</v>
      </c>
      <c r="AG33" s="33" t="str">
        <f t="shared" si="1"/>
        <v>#DIV/0!</v>
      </c>
      <c r="BE33" s="33" t="str">
        <f t="shared" si="2"/>
        <v>#DIV/0!</v>
      </c>
    </row>
    <row r="34">
      <c r="A34" s="38" t="s">
        <v>70</v>
      </c>
      <c r="B34" s="38" t="s">
        <v>64</v>
      </c>
      <c r="C34" s="38">
        <v>2379.0</v>
      </c>
      <c r="D34" s="57">
        <v>0.0</v>
      </c>
      <c r="E34" s="57">
        <v>7.0</v>
      </c>
      <c r="AG34" s="33" t="str">
        <f t="shared" si="1"/>
        <v>#DIV/0!</v>
      </c>
      <c r="BE34" s="33" t="str">
        <f t="shared" si="2"/>
        <v>#DIV/0!</v>
      </c>
    </row>
    <row r="35">
      <c r="A35" s="38" t="s">
        <v>70</v>
      </c>
      <c r="B35" s="38" t="s">
        <v>58</v>
      </c>
      <c r="C35" s="38">
        <v>2380.0</v>
      </c>
      <c r="AG35" s="33" t="str">
        <f t="shared" si="1"/>
        <v>#DIV/0!</v>
      </c>
      <c r="BE35" s="33" t="str">
        <f t="shared" si="2"/>
        <v>#DIV/0!</v>
      </c>
    </row>
    <row r="36">
      <c r="A36" s="12" t="s">
        <v>74</v>
      </c>
      <c r="B36" s="12" t="s">
        <v>64</v>
      </c>
      <c r="C36" s="12">
        <v>2337.0</v>
      </c>
      <c r="AG36" s="33" t="str">
        <f t="shared" si="1"/>
        <v>#DIV/0!</v>
      </c>
      <c r="BE36" s="33" t="str">
        <f t="shared" si="2"/>
        <v>#DIV/0!</v>
      </c>
    </row>
    <row r="37">
      <c r="A37" s="12" t="s">
        <v>74</v>
      </c>
      <c r="B37" s="12" t="s">
        <v>64</v>
      </c>
      <c r="C37" s="12">
        <v>2338.0</v>
      </c>
      <c r="AG37" s="33" t="str">
        <f t="shared" si="1"/>
        <v>#DIV/0!</v>
      </c>
      <c r="BE37" s="33" t="str">
        <f t="shared" si="2"/>
        <v>#DIV/0!</v>
      </c>
    </row>
    <row r="38">
      <c r="A38" s="12" t="s">
        <v>74</v>
      </c>
      <c r="B38" s="12" t="s">
        <v>64</v>
      </c>
      <c r="C38" s="12">
        <v>2339.0</v>
      </c>
      <c r="AG38" s="33" t="str">
        <f t="shared" si="1"/>
        <v>#DIV/0!</v>
      </c>
      <c r="BE38" s="33" t="str">
        <f t="shared" si="2"/>
        <v>#DIV/0!</v>
      </c>
    </row>
    <row r="39">
      <c r="A39" s="12" t="s">
        <v>74</v>
      </c>
      <c r="B39" s="12" t="s">
        <v>64</v>
      </c>
      <c r="C39" s="12">
        <v>2340.0</v>
      </c>
      <c r="AG39" s="33" t="str">
        <f t="shared" si="1"/>
        <v>#DIV/0!</v>
      </c>
      <c r="BE39" s="33" t="str">
        <f t="shared" si="2"/>
        <v>#DIV/0!</v>
      </c>
    </row>
    <row r="40">
      <c r="A40" s="12" t="s">
        <v>74</v>
      </c>
      <c r="B40" s="12" t="s">
        <v>64</v>
      </c>
      <c r="C40" s="12">
        <v>2341.0</v>
      </c>
      <c r="AG40" s="33" t="str">
        <f t="shared" si="1"/>
        <v>#DIV/0!</v>
      </c>
      <c r="BE40" s="33" t="str">
        <f t="shared" si="2"/>
        <v>#DIV/0!</v>
      </c>
    </row>
    <row r="41">
      <c r="A41" s="12" t="s">
        <v>74</v>
      </c>
      <c r="B41" s="12" t="s">
        <v>64</v>
      </c>
      <c r="C41" s="12">
        <v>2342.0</v>
      </c>
      <c r="F41" s="57" t="s">
        <v>275</v>
      </c>
      <c r="AG41" s="33" t="str">
        <f t="shared" si="1"/>
        <v>#DIV/0!</v>
      </c>
      <c r="BE41" s="33" t="str">
        <f t="shared" si="2"/>
        <v>#DIV/0!</v>
      </c>
    </row>
    <row r="42">
      <c r="A42" s="12" t="s">
        <v>74</v>
      </c>
      <c r="B42" s="12" t="s">
        <v>64</v>
      </c>
      <c r="C42" s="12">
        <v>2343.0</v>
      </c>
      <c r="D42" s="57">
        <v>0.0</v>
      </c>
      <c r="E42" s="57">
        <v>3.0</v>
      </c>
      <c r="AG42" s="33" t="str">
        <f t="shared" si="1"/>
        <v>#DIV/0!</v>
      </c>
      <c r="BE42" s="33" t="str">
        <f t="shared" si="2"/>
        <v>#DIV/0!</v>
      </c>
    </row>
    <row r="43">
      <c r="A43" s="41" t="s">
        <v>74</v>
      </c>
      <c r="B43" s="41" t="s">
        <v>64</v>
      </c>
      <c r="C43" s="41" t="s">
        <v>78</v>
      </c>
      <c r="AG43" s="33" t="str">
        <f t="shared" si="1"/>
        <v>#DIV/0!</v>
      </c>
      <c r="BE43" s="33" t="str">
        <f t="shared" si="2"/>
        <v>#DIV/0!</v>
      </c>
    </row>
    <row r="44">
      <c r="A44" s="12" t="s">
        <v>74</v>
      </c>
      <c r="B44" s="12" t="s">
        <v>64</v>
      </c>
      <c r="C44" s="12">
        <v>2344.0</v>
      </c>
      <c r="AG44" s="33" t="str">
        <f t="shared" si="1"/>
        <v>#DIV/0!</v>
      </c>
      <c r="BE44" s="33" t="str">
        <f t="shared" si="2"/>
        <v>#DIV/0!</v>
      </c>
    </row>
    <row r="45">
      <c r="A45" s="41" t="s">
        <v>74</v>
      </c>
      <c r="B45" s="41" t="s">
        <v>58</v>
      </c>
      <c r="C45" s="41" t="s">
        <v>78</v>
      </c>
      <c r="AG45" s="33" t="str">
        <f t="shared" si="1"/>
        <v>#DIV/0!</v>
      </c>
      <c r="BE45" s="33" t="str">
        <f t="shared" si="2"/>
        <v>#DIV/0!</v>
      </c>
    </row>
    <row r="46">
      <c r="A46" s="12" t="s">
        <v>74</v>
      </c>
      <c r="B46" s="12" t="s">
        <v>58</v>
      </c>
      <c r="C46" s="34">
        <v>2345.0</v>
      </c>
      <c r="AG46" s="33" t="str">
        <f t="shared" si="1"/>
        <v>#DIV/0!</v>
      </c>
      <c r="BE46" s="33" t="str">
        <f t="shared" si="2"/>
        <v>#DIV/0!</v>
      </c>
    </row>
    <row r="47">
      <c r="A47" s="12" t="s">
        <v>74</v>
      </c>
      <c r="B47" s="12" t="s">
        <v>64</v>
      </c>
      <c r="C47" s="12">
        <v>2346.0</v>
      </c>
      <c r="G47" s="57">
        <v>0.89</v>
      </c>
      <c r="H47" s="57">
        <v>0.1108</v>
      </c>
      <c r="I47" s="57">
        <v>0.065</v>
      </c>
      <c r="J47" s="57">
        <v>0.925</v>
      </c>
      <c r="K47" s="57">
        <v>0.1156</v>
      </c>
      <c r="L47" s="57">
        <v>0.069</v>
      </c>
      <c r="M47" s="57">
        <v>1.22</v>
      </c>
      <c r="N47" s="57">
        <v>0.0367</v>
      </c>
      <c r="O47" s="57">
        <v>0.016</v>
      </c>
      <c r="P47" s="57">
        <v>3.9</v>
      </c>
      <c r="Q47" s="57" t="s">
        <v>60</v>
      </c>
      <c r="R47" s="57" t="s">
        <v>60</v>
      </c>
      <c r="AE47" s="57">
        <v>0.2731</v>
      </c>
      <c r="AF47" s="57">
        <v>0.156</v>
      </c>
      <c r="AG47" s="33">
        <f t="shared" si="1"/>
        <v>1.73375</v>
      </c>
      <c r="AH47" s="57">
        <v>1.819</v>
      </c>
      <c r="AI47" s="57">
        <v>0.0828</v>
      </c>
      <c r="AJ47" s="57">
        <v>0.049</v>
      </c>
      <c r="AK47" s="57">
        <v>3.09</v>
      </c>
      <c r="AL47" s="57">
        <v>0.0744</v>
      </c>
      <c r="AM47" s="57">
        <v>0.044</v>
      </c>
      <c r="AN47" s="57">
        <v>2.305</v>
      </c>
      <c r="AO47" s="57">
        <v>0.0783</v>
      </c>
      <c r="AP47" s="57">
        <v>0.045</v>
      </c>
      <c r="AQ47" s="57">
        <v>3.603</v>
      </c>
      <c r="AR47" s="57">
        <v>0.1185</v>
      </c>
      <c r="AS47" s="57">
        <v>0.053</v>
      </c>
      <c r="AV47" s="57">
        <v>0.071</v>
      </c>
      <c r="BC47" s="57">
        <v>0.1539</v>
      </c>
      <c r="BD47" s="57">
        <v>0.091</v>
      </c>
      <c r="BE47" s="33">
        <f t="shared" si="2"/>
        <v>2.70425</v>
      </c>
    </row>
    <row r="48">
      <c r="A48" s="12" t="s">
        <v>74</v>
      </c>
      <c r="B48" s="12" t="s">
        <v>64</v>
      </c>
      <c r="C48" s="12">
        <v>2347.0</v>
      </c>
      <c r="D48" s="57">
        <v>2.0</v>
      </c>
      <c r="E48" s="57">
        <v>1.0</v>
      </c>
      <c r="AG48" s="33" t="str">
        <f t="shared" si="1"/>
        <v>#DIV/0!</v>
      </c>
      <c r="AH48" s="57">
        <v>1.24</v>
      </c>
      <c r="AI48" s="57">
        <v>0.0219</v>
      </c>
      <c r="AJ48" s="57">
        <v>0.009</v>
      </c>
      <c r="AK48" s="57">
        <v>3.31</v>
      </c>
      <c r="AL48" s="57">
        <v>0.1466</v>
      </c>
      <c r="AM48" s="57">
        <v>0.01</v>
      </c>
      <c r="AN48" s="57">
        <v>1.68</v>
      </c>
      <c r="AO48" s="57">
        <v>0.0149</v>
      </c>
      <c r="AP48" s="57">
        <v>0.006</v>
      </c>
      <c r="AQ48" s="57">
        <v>1.66</v>
      </c>
      <c r="AR48" s="57">
        <v>0.0175</v>
      </c>
      <c r="AS48" s="57">
        <v>0.007</v>
      </c>
      <c r="BC48" s="57">
        <v>0.4809</v>
      </c>
      <c r="BD48" s="57">
        <v>0.176</v>
      </c>
      <c r="BE48" s="33">
        <f t="shared" si="2"/>
        <v>1.9725</v>
      </c>
    </row>
    <row r="49">
      <c r="A49" s="12" t="s">
        <v>74</v>
      </c>
      <c r="B49" s="12" t="s">
        <v>64</v>
      </c>
      <c r="C49" s="12">
        <v>2348.0</v>
      </c>
      <c r="G49" s="57">
        <v>1.39</v>
      </c>
      <c r="H49" s="57" t="s">
        <v>60</v>
      </c>
      <c r="J49" s="57">
        <v>1.57</v>
      </c>
      <c r="K49" s="57" t="s">
        <v>60</v>
      </c>
      <c r="M49" s="57">
        <v>1.47</v>
      </c>
      <c r="N49" s="57" t="s">
        <v>60</v>
      </c>
      <c r="AG49" s="33">
        <f t="shared" si="1"/>
        <v>1.476666667</v>
      </c>
      <c r="BE49" s="33" t="str">
        <f t="shared" si="2"/>
        <v>#DIV/0!</v>
      </c>
    </row>
    <row r="50">
      <c r="A50" s="12" t="s">
        <v>74</v>
      </c>
      <c r="B50" s="12" t="s">
        <v>64</v>
      </c>
      <c r="C50" s="12">
        <v>2349.0</v>
      </c>
      <c r="D50" s="57">
        <v>1.0</v>
      </c>
      <c r="E50" s="57">
        <v>2.0</v>
      </c>
      <c r="G50" s="57">
        <v>1.29</v>
      </c>
      <c r="H50" s="57">
        <v>0.0542</v>
      </c>
      <c r="I50" s="57">
        <v>0.033</v>
      </c>
      <c r="J50" s="57">
        <v>1.91</v>
      </c>
      <c r="K50" s="57">
        <v>0.051</v>
      </c>
      <c r="L50" s="57">
        <v>0.033</v>
      </c>
      <c r="M50" s="57">
        <v>1.43</v>
      </c>
      <c r="N50" s="57" t="s">
        <v>60</v>
      </c>
      <c r="AG50" s="33">
        <f t="shared" si="1"/>
        <v>1.543333333</v>
      </c>
      <c r="AH50" s="57">
        <v>3.29</v>
      </c>
      <c r="AI50" s="57">
        <v>0.0856</v>
      </c>
      <c r="AJ50" s="57">
        <v>0.052</v>
      </c>
      <c r="AK50" s="57">
        <v>3.42</v>
      </c>
      <c r="AL50" s="57">
        <v>0.1156</v>
      </c>
      <c r="AM50" s="57">
        <v>0.07</v>
      </c>
      <c r="BC50" s="57">
        <v>0.3058</v>
      </c>
      <c r="BD50" s="57">
        <v>0.186</v>
      </c>
      <c r="BE50" s="33">
        <f t="shared" si="2"/>
        <v>3.355</v>
      </c>
    </row>
    <row r="51">
      <c r="A51" s="12" t="s">
        <v>74</v>
      </c>
      <c r="B51" s="12" t="s">
        <v>64</v>
      </c>
      <c r="C51" s="12">
        <v>2350.0</v>
      </c>
      <c r="AG51" s="33" t="str">
        <f t="shared" si="1"/>
        <v>#DIV/0!</v>
      </c>
      <c r="BE51" s="33" t="str">
        <f t="shared" si="2"/>
        <v>#DIV/0!</v>
      </c>
    </row>
    <row r="52">
      <c r="A52" s="12" t="s">
        <v>74</v>
      </c>
      <c r="B52" s="12" t="s">
        <v>64</v>
      </c>
      <c r="C52" s="12">
        <v>2351.0</v>
      </c>
      <c r="AG52" s="33" t="str">
        <f t="shared" si="1"/>
        <v>#DIV/0!</v>
      </c>
      <c r="BE52" s="33" t="str">
        <f t="shared" si="2"/>
        <v>#DIV/0!</v>
      </c>
    </row>
    <row r="53">
      <c r="A53" s="38" t="s">
        <v>88</v>
      </c>
      <c r="B53" s="38" t="s">
        <v>64</v>
      </c>
      <c r="C53" s="38">
        <v>2375.0</v>
      </c>
      <c r="AG53" s="33" t="str">
        <f t="shared" si="1"/>
        <v>#DIV/0!</v>
      </c>
      <c r="BE53" s="33" t="str">
        <f t="shared" si="2"/>
        <v>#DIV/0!</v>
      </c>
    </row>
    <row r="54">
      <c r="A54" s="12" t="s">
        <v>90</v>
      </c>
      <c r="B54" s="12" t="s">
        <v>64</v>
      </c>
      <c r="C54" s="12">
        <v>2310.0</v>
      </c>
      <c r="AG54" s="33" t="str">
        <f t="shared" si="1"/>
        <v>#DIV/0!</v>
      </c>
      <c r="BE54" s="33" t="str">
        <f t="shared" si="2"/>
        <v>#DIV/0!</v>
      </c>
    </row>
    <row r="55">
      <c r="A55" s="12" t="s">
        <v>90</v>
      </c>
      <c r="B55" s="12" t="s">
        <v>64</v>
      </c>
      <c r="C55" s="12">
        <v>2311.0</v>
      </c>
      <c r="AG55" s="33" t="str">
        <f t="shared" si="1"/>
        <v>#DIV/0!</v>
      </c>
      <c r="BE55" s="33" t="str">
        <f t="shared" si="2"/>
        <v>#DIV/0!</v>
      </c>
    </row>
    <row r="56">
      <c r="A56" s="12" t="s">
        <v>90</v>
      </c>
      <c r="B56" s="12" t="s">
        <v>64</v>
      </c>
      <c r="C56" s="12">
        <v>2312.0</v>
      </c>
      <c r="AG56" s="33" t="str">
        <f t="shared" si="1"/>
        <v>#DIV/0!</v>
      </c>
      <c r="BE56" s="33" t="str">
        <f t="shared" si="2"/>
        <v>#DIV/0!</v>
      </c>
    </row>
    <row r="57">
      <c r="A57" s="12" t="s">
        <v>90</v>
      </c>
      <c r="B57" s="12" t="s">
        <v>64</v>
      </c>
      <c r="C57" s="12">
        <v>2313.0</v>
      </c>
      <c r="AG57" s="33" t="str">
        <f t="shared" si="1"/>
        <v>#DIV/0!</v>
      </c>
      <c r="BE57" s="33" t="str">
        <f t="shared" si="2"/>
        <v>#DIV/0!</v>
      </c>
    </row>
    <row r="58">
      <c r="A58" s="12" t="s">
        <v>90</v>
      </c>
      <c r="B58" s="12" t="s">
        <v>64</v>
      </c>
      <c r="C58" s="12">
        <v>2314.0</v>
      </c>
      <c r="AG58" s="33" t="str">
        <f t="shared" si="1"/>
        <v>#DIV/0!</v>
      </c>
      <c r="BE58" s="33" t="str">
        <f t="shared" si="2"/>
        <v>#DIV/0!</v>
      </c>
    </row>
    <row r="59">
      <c r="A59" s="12" t="s">
        <v>90</v>
      </c>
      <c r="B59" s="12" t="s">
        <v>58</v>
      </c>
      <c r="C59" s="12">
        <v>2315.0</v>
      </c>
      <c r="AG59" s="33" t="str">
        <f t="shared" si="1"/>
        <v>#DIV/0!</v>
      </c>
      <c r="BE59" s="33" t="str">
        <f t="shared" si="2"/>
        <v>#DIV/0!</v>
      </c>
    </row>
    <row r="60">
      <c r="A60" s="12" t="s">
        <v>90</v>
      </c>
      <c r="B60" s="12" t="s">
        <v>64</v>
      </c>
      <c r="C60" s="12">
        <v>2316.0</v>
      </c>
      <c r="AG60" s="33" t="str">
        <f t="shared" si="1"/>
        <v>#DIV/0!</v>
      </c>
      <c r="BE60" s="33" t="str">
        <f t="shared" si="2"/>
        <v>#DIV/0!</v>
      </c>
    </row>
    <row r="61">
      <c r="A61" s="12" t="s">
        <v>90</v>
      </c>
      <c r="B61" s="12" t="s">
        <v>64</v>
      </c>
      <c r="C61" s="12">
        <v>2317.0</v>
      </c>
      <c r="AG61" s="33" t="str">
        <f t="shared" si="1"/>
        <v>#DIV/0!</v>
      </c>
      <c r="BE61" s="33" t="str">
        <f t="shared" si="2"/>
        <v>#DIV/0!</v>
      </c>
    </row>
    <row r="62">
      <c r="A62" s="12" t="s">
        <v>90</v>
      </c>
      <c r="B62" s="12" t="s">
        <v>64</v>
      </c>
      <c r="C62" s="12">
        <v>2318.0</v>
      </c>
      <c r="AG62" s="33" t="str">
        <f t="shared" si="1"/>
        <v>#DIV/0!</v>
      </c>
      <c r="BE62" s="33" t="str">
        <f t="shared" si="2"/>
        <v>#DIV/0!</v>
      </c>
    </row>
    <row r="63">
      <c r="A63" s="12" t="s">
        <v>90</v>
      </c>
      <c r="B63" s="12" t="s">
        <v>64</v>
      </c>
      <c r="C63" s="12">
        <v>2319.0</v>
      </c>
      <c r="AG63" s="33" t="str">
        <f t="shared" si="1"/>
        <v>#DIV/0!</v>
      </c>
      <c r="BE63" s="33" t="str">
        <f t="shared" si="2"/>
        <v>#DIV/0!</v>
      </c>
    </row>
    <row r="64">
      <c r="A64" s="12" t="s">
        <v>90</v>
      </c>
      <c r="B64" s="12" t="s">
        <v>58</v>
      </c>
      <c r="C64" s="12">
        <v>2320.0</v>
      </c>
      <c r="AG64" s="33" t="str">
        <f t="shared" si="1"/>
        <v>#DIV/0!</v>
      </c>
      <c r="BE64" s="33" t="str">
        <f t="shared" si="2"/>
        <v>#DIV/0!</v>
      </c>
    </row>
    <row r="65">
      <c r="A65" s="12" t="s">
        <v>90</v>
      </c>
      <c r="B65" s="12" t="s">
        <v>64</v>
      </c>
      <c r="C65" s="12">
        <v>2321.0</v>
      </c>
      <c r="AG65" s="33" t="str">
        <f t="shared" si="1"/>
        <v>#DIV/0!</v>
      </c>
      <c r="BE65" s="33" t="str">
        <f t="shared" si="2"/>
        <v>#DIV/0!</v>
      </c>
    </row>
    <row r="66">
      <c r="A66" s="12" t="s">
        <v>90</v>
      </c>
      <c r="B66" s="12" t="s">
        <v>58</v>
      </c>
      <c r="C66" s="12">
        <v>2322.0</v>
      </c>
      <c r="AG66" s="33" t="str">
        <f t="shared" si="1"/>
        <v>#DIV/0!</v>
      </c>
      <c r="BE66" s="33" t="str">
        <f t="shared" si="2"/>
        <v>#DIV/0!</v>
      </c>
    </row>
    <row r="67">
      <c r="A67" s="12" t="s">
        <v>90</v>
      </c>
      <c r="B67" s="12" t="s">
        <v>58</v>
      </c>
      <c r="C67" s="12">
        <v>2323.0</v>
      </c>
      <c r="AG67" s="33" t="str">
        <f t="shared" si="1"/>
        <v>#DIV/0!</v>
      </c>
      <c r="BE67" s="33" t="str">
        <f t="shared" si="2"/>
        <v>#DIV/0!</v>
      </c>
    </row>
    <row r="68">
      <c r="A68" s="12" t="s">
        <v>90</v>
      </c>
      <c r="B68" s="12" t="s">
        <v>64</v>
      </c>
      <c r="C68" s="12">
        <v>2324.0</v>
      </c>
      <c r="AG68" s="33" t="str">
        <f t="shared" si="1"/>
        <v>#DIV/0!</v>
      </c>
      <c r="BE68" s="33" t="str">
        <f t="shared" si="2"/>
        <v>#DIV/0!</v>
      </c>
    </row>
    <row r="69">
      <c r="A69" s="12" t="s">
        <v>90</v>
      </c>
      <c r="B69" s="12" t="s">
        <v>64</v>
      </c>
      <c r="C69" s="12">
        <v>2325.0</v>
      </c>
      <c r="AG69" s="33" t="str">
        <f t="shared" si="1"/>
        <v>#DIV/0!</v>
      </c>
      <c r="BE69" s="33" t="str">
        <f t="shared" si="2"/>
        <v>#DIV/0!</v>
      </c>
    </row>
    <row r="70">
      <c r="A70" s="12" t="s">
        <v>90</v>
      </c>
      <c r="B70" s="12" t="s">
        <v>64</v>
      </c>
      <c r="C70" s="12">
        <v>2327.0</v>
      </c>
      <c r="AG70" s="33" t="str">
        <f t="shared" si="1"/>
        <v>#DIV/0!</v>
      </c>
      <c r="BE70" s="33" t="str">
        <f t="shared" si="2"/>
        <v>#DIV/0!</v>
      </c>
    </row>
    <row r="71">
      <c r="A71" s="12" t="s">
        <v>90</v>
      </c>
      <c r="B71" s="12" t="s">
        <v>64</v>
      </c>
      <c r="C71" s="12">
        <v>2326.0</v>
      </c>
      <c r="AG71" s="33" t="str">
        <f t="shared" si="1"/>
        <v>#DIV/0!</v>
      </c>
      <c r="BE71" s="33" t="str">
        <f t="shared" si="2"/>
        <v>#DIV/0!</v>
      </c>
    </row>
    <row r="72">
      <c r="A72" s="12" t="s">
        <v>90</v>
      </c>
      <c r="B72" s="12" t="s">
        <v>58</v>
      </c>
      <c r="C72" s="12">
        <v>2328.0</v>
      </c>
      <c r="AG72" s="33" t="str">
        <f t="shared" si="1"/>
        <v>#DIV/0!</v>
      </c>
      <c r="BE72" s="33" t="str">
        <f t="shared" si="2"/>
        <v>#DIV/0!</v>
      </c>
    </row>
    <row r="73">
      <c r="A73" s="12" t="s">
        <v>90</v>
      </c>
      <c r="B73" s="12" t="s">
        <v>64</v>
      </c>
      <c r="C73" s="12">
        <v>2329.0</v>
      </c>
      <c r="AG73" s="33" t="str">
        <f t="shared" si="1"/>
        <v>#DIV/0!</v>
      </c>
      <c r="BE73" s="33" t="str">
        <f t="shared" si="2"/>
        <v>#DIV/0!</v>
      </c>
    </row>
    <row r="74">
      <c r="A74" s="12" t="s">
        <v>90</v>
      </c>
      <c r="B74" s="12" t="s">
        <v>64</v>
      </c>
      <c r="C74" s="12">
        <v>2330.0</v>
      </c>
      <c r="AG74" s="33" t="str">
        <f t="shared" si="1"/>
        <v>#DIV/0!</v>
      </c>
      <c r="BE74" s="33" t="str">
        <f t="shared" si="2"/>
        <v>#DIV/0!</v>
      </c>
    </row>
    <row r="75">
      <c r="A75" s="12" t="s">
        <v>90</v>
      </c>
      <c r="B75" s="12" t="s">
        <v>58</v>
      </c>
      <c r="C75" s="12">
        <v>2331.0</v>
      </c>
      <c r="AG75" s="33" t="str">
        <f t="shared" si="1"/>
        <v>#DIV/0!</v>
      </c>
      <c r="BE75" s="33" t="str">
        <f t="shared" si="2"/>
        <v>#DIV/0!</v>
      </c>
    </row>
    <row r="76">
      <c r="A76" s="12" t="s">
        <v>90</v>
      </c>
      <c r="B76" s="12" t="s">
        <v>64</v>
      </c>
      <c r="C76" s="12">
        <v>2332.0</v>
      </c>
      <c r="AG76" s="33" t="str">
        <f t="shared" si="1"/>
        <v>#DIV/0!</v>
      </c>
      <c r="BE76" s="33" t="str">
        <f t="shared" si="2"/>
        <v>#DIV/0!</v>
      </c>
    </row>
    <row r="77">
      <c r="A77" s="12" t="s">
        <v>90</v>
      </c>
      <c r="B77" s="12" t="s">
        <v>64</v>
      </c>
      <c r="C77" s="12">
        <v>2333.0</v>
      </c>
      <c r="AG77" s="33" t="str">
        <f t="shared" si="1"/>
        <v>#DIV/0!</v>
      </c>
      <c r="BE77" s="33" t="str">
        <f t="shared" si="2"/>
        <v>#DIV/0!</v>
      </c>
    </row>
    <row r="78">
      <c r="A78" s="2" t="s">
        <v>90</v>
      </c>
      <c r="B78" s="3" t="s">
        <v>64</v>
      </c>
      <c r="C78" s="12">
        <v>2334.0</v>
      </c>
      <c r="AG78" s="33" t="str">
        <f t="shared" si="1"/>
        <v>#DIV/0!</v>
      </c>
      <c r="BE78" s="33" t="str">
        <f t="shared" si="2"/>
        <v>#DIV/0!</v>
      </c>
    </row>
    <row r="79">
      <c r="A79" s="12" t="s">
        <v>90</v>
      </c>
      <c r="B79" s="12" t="s">
        <v>64</v>
      </c>
      <c r="C79" s="12">
        <v>2336.0</v>
      </c>
      <c r="AG79" s="33" t="str">
        <f t="shared" si="1"/>
        <v>#DIV/0!</v>
      </c>
      <c r="BE79" s="33" t="str">
        <f t="shared" si="2"/>
        <v>#DIV/0!</v>
      </c>
    </row>
    <row r="80">
      <c r="A80" s="12" t="s">
        <v>90</v>
      </c>
      <c r="B80" s="12" t="s">
        <v>64</v>
      </c>
      <c r="C80" s="12">
        <v>2335.0</v>
      </c>
      <c r="AG80" s="33" t="str">
        <f t="shared" si="1"/>
        <v>#DIV/0!</v>
      </c>
      <c r="BE80" s="33" t="str">
        <f t="shared" si="2"/>
        <v>#DIV/0!</v>
      </c>
    </row>
    <row r="81">
      <c r="A81" s="38" t="s">
        <v>100</v>
      </c>
      <c r="B81" s="38" t="s">
        <v>64</v>
      </c>
      <c r="C81" s="38">
        <v>2374.0</v>
      </c>
      <c r="AG81" s="33" t="str">
        <f t="shared" si="1"/>
        <v>#DIV/0!</v>
      </c>
      <c r="BE81" s="33" t="str">
        <f t="shared" si="2"/>
        <v>#DIV/0!</v>
      </c>
    </row>
    <row r="82">
      <c r="A82" s="12" t="s">
        <v>101</v>
      </c>
      <c r="B82" s="12" t="s">
        <v>58</v>
      </c>
      <c r="C82" s="34">
        <v>2301.0</v>
      </c>
      <c r="AG82" s="33" t="str">
        <f t="shared" si="1"/>
        <v>#DIV/0!</v>
      </c>
      <c r="BE82" s="33" t="str">
        <f t="shared" si="2"/>
        <v>#DIV/0!</v>
      </c>
    </row>
    <row r="83">
      <c r="A83" s="12" t="s">
        <v>101</v>
      </c>
      <c r="B83" s="12" t="s">
        <v>64</v>
      </c>
      <c r="C83" s="12">
        <v>2302.0</v>
      </c>
      <c r="AG83" s="33" t="str">
        <f t="shared" si="1"/>
        <v>#DIV/0!</v>
      </c>
      <c r="BE83" s="33" t="str">
        <f t="shared" si="2"/>
        <v>#DIV/0!</v>
      </c>
    </row>
    <row r="84">
      <c r="A84" s="12" t="s">
        <v>101</v>
      </c>
      <c r="B84" s="12" t="s">
        <v>64</v>
      </c>
      <c r="C84" s="12">
        <v>2303.0</v>
      </c>
      <c r="AG84" s="33" t="str">
        <f t="shared" si="1"/>
        <v>#DIV/0!</v>
      </c>
      <c r="BE84" s="33" t="str">
        <f t="shared" si="2"/>
        <v>#DIV/0!</v>
      </c>
    </row>
    <row r="85">
      <c r="A85" s="12" t="s">
        <v>101</v>
      </c>
      <c r="B85" s="12" t="s">
        <v>64</v>
      </c>
      <c r="C85" s="12">
        <v>2304.0</v>
      </c>
      <c r="AG85" s="33" t="str">
        <f t="shared" si="1"/>
        <v>#DIV/0!</v>
      </c>
      <c r="BE85" s="33" t="str">
        <f t="shared" si="2"/>
        <v>#DIV/0!</v>
      </c>
    </row>
    <row r="86">
      <c r="A86" s="12" t="s">
        <v>101</v>
      </c>
      <c r="B86" s="12" t="s">
        <v>64</v>
      </c>
      <c r="C86" s="12">
        <v>2305.0</v>
      </c>
      <c r="AG86" s="33" t="str">
        <f t="shared" si="1"/>
        <v>#DIV/0!</v>
      </c>
      <c r="BE86" s="33" t="str">
        <f t="shared" si="2"/>
        <v>#DIV/0!</v>
      </c>
    </row>
    <row r="87">
      <c r="A87" s="12" t="s">
        <v>101</v>
      </c>
      <c r="B87" s="12" t="s">
        <v>64</v>
      </c>
      <c r="C87" s="12">
        <v>2306.0</v>
      </c>
      <c r="AG87" s="33" t="str">
        <f t="shared" si="1"/>
        <v>#DIV/0!</v>
      </c>
      <c r="BE87" s="33" t="str">
        <f t="shared" si="2"/>
        <v>#DIV/0!</v>
      </c>
    </row>
    <row r="88">
      <c r="A88" s="12" t="s">
        <v>101</v>
      </c>
      <c r="B88" s="12" t="s">
        <v>64</v>
      </c>
      <c r="C88" s="12">
        <v>2307.0</v>
      </c>
      <c r="AG88" s="33" t="str">
        <f t="shared" si="1"/>
        <v>#DIV/0!</v>
      </c>
      <c r="BE88" s="33" t="str">
        <f t="shared" si="2"/>
        <v>#DIV/0!</v>
      </c>
    </row>
    <row r="89">
      <c r="A89" s="12" t="s">
        <v>101</v>
      </c>
      <c r="B89" s="12" t="s">
        <v>64</v>
      </c>
      <c r="C89" s="12">
        <v>2308.0</v>
      </c>
      <c r="AG89" s="33" t="str">
        <f t="shared" si="1"/>
        <v>#DIV/0!</v>
      </c>
      <c r="BE89" s="33" t="str">
        <f t="shared" si="2"/>
        <v>#DIV/0!</v>
      </c>
    </row>
    <row r="90">
      <c r="A90" s="12" t="s">
        <v>101</v>
      </c>
      <c r="B90" s="12" t="s">
        <v>64</v>
      </c>
      <c r="C90" s="12">
        <v>2309.0</v>
      </c>
      <c r="AG90" s="33" t="str">
        <f t="shared" si="1"/>
        <v>#DIV/0!</v>
      </c>
      <c r="BE90" s="33" t="str">
        <f t="shared" si="2"/>
        <v>#DIV/0!</v>
      </c>
    </row>
    <row r="91">
      <c r="A91" s="53" t="s">
        <v>106</v>
      </c>
      <c r="B91" s="54" t="s">
        <v>64</v>
      </c>
      <c r="C91" s="55">
        <v>2370.0</v>
      </c>
      <c r="AG91" s="33" t="str">
        <f t="shared" si="1"/>
        <v>#DIV/0!</v>
      </c>
      <c r="BE91" s="33" t="str">
        <f t="shared" si="2"/>
        <v>#DIV/0!</v>
      </c>
    </row>
    <row r="92">
      <c r="A92" s="53" t="s">
        <v>107</v>
      </c>
      <c r="B92" s="54" t="s">
        <v>64</v>
      </c>
      <c r="C92" s="55">
        <v>2371.0</v>
      </c>
      <c r="D92" s="57">
        <v>0.0</v>
      </c>
      <c r="E92" s="57">
        <v>1.0</v>
      </c>
      <c r="AG92" s="33" t="str">
        <f t="shared" si="1"/>
        <v>#DIV/0!</v>
      </c>
      <c r="BE92" s="33" t="str">
        <f t="shared" si="2"/>
        <v>#DIV/0!</v>
      </c>
    </row>
    <row r="93">
      <c r="A93" s="53" t="s">
        <v>108</v>
      </c>
      <c r="B93" s="54" t="s">
        <v>64</v>
      </c>
      <c r="C93" s="55">
        <v>2372.0</v>
      </c>
      <c r="D93" s="57">
        <v>0.0</v>
      </c>
      <c r="E93" s="57">
        <v>2.0</v>
      </c>
      <c r="AG93" s="33" t="str">
        <f t="shared" si="1"/>
        <v>#DIV/0!</v>
      </c>
      <c r="BE93" s="33" t="str">
        <f t="shared" si="2"/>
        <v>#DIV/0!</v>
      </c>
    </row>
    <row r="94">
      <c r="A94" s="53" t="s">
        <v>110</v>
      </c>
      <c r="B94" s="54" t="s">
        <v>64</v>
      </c>
      <c r="C94" s="55">
        <v>2373.0</v>
      </c>
      <c r="D94" s="57">
        <v>0.0</v>
      </c>
      <c r="E94" s="57">
        <v>2.0</v>
      </c>
      <c r="AG94" s="33" t="str">
        <f t="shared" si="1"/>
        <v>#DIV/0!</v>
      </c>
      <c r="BE94" s="33" t="str">
        <f t="shared" si="2"/>
        <v>#DIV/0!</v>
      </c>
    </row>
    <row r="95">
      <c r="A95" s="2" t="s">
        <v>112</v>
      </c>
      <c r="B95" s="3" t="s">
        <v>64</v>
      </c>
      <c r="C95" s="3"/>
      <c r="AG95" s="33" t="str">
        <f t="shared" si="1"/>
        <v>#DIV/0!</v>
      </c>
      <c r="BE95" s="33" t="str">
        <f t="shared" si="2"/>
        <v>#DIV/0!</v>
      </c>
    </row>
    <row r="96">
      <c r="A96" s="2" t="s">
        <v>112</v>
      </c>
      <c r="B96" s="3" t="s">
        <v>64</v>
      </c>
      <c r="C96" s="3"/>
      <c r="AG96" s="33" t="str">
        <f t="shared" si="1"/>
        <v>#DIV/0!</v>
      </c>
      <c r="BE96" s="33" t="str">
        <f t="shared" si="2"/>
        <v>#DIV/0!</v>
      </c>
    </row>
    <row r="97">
      <c r="A97" s="2" t="s">
        <v>112</v>
      </c>
      <c r="B97" s="3" t="s">
        <v>64</v>
      </c>
      <c r="C97" s="3"/>
      <c r="AG97" s="33" t="str">
        <f t="shared" si="1"/>
        <v>#DIV/0!</v>
      </c>
      <c r="BE97" s="33" t="str">
        <f t="shared" si="2"/>
        <v>#DIV/0!</v>
      </c>
    </row>
    <row r="98">
      <c r="A98" s="2" t="s">
        <v>112</v>
      </c>
      <c r="B98" s="3" t="s">
        <v>64</v>
      </c>
      <c r="C98" s="3"/>
      <c r="AG98" s="33" t="str">
        <f t="shared" si="1"/>
        <v>#DIV/0!</v>
      </c>
      <c r="BE98" s="33" t="str">
        <f t="shared" si="2"/>
        <v>#DIV/0!</v>
      </c>
    </row>
    <row r="99">
      <c r="A99" s="2" t="s">
        <v>112</v>
      </c>
      <c r="B99" s="3" t="s">
        <v>64</v>
      </c>
      <c r="C99" s="3"/>
      <c r="AG99" s="33" t="str">
        <f t="shared" si="1"/>
        <v>#DIV/0!</v>
      </c>
      <c r="BE99" s="33" t="str">
        <f t="shared" si="2"/>
        <v>#DIV/0!</v>
      </c>
    </row>
    <row r="100">
      <c r="A100" s="2" t="s">
        <v>113</v>
      </c>
      <c r="B100" s="3" t="s">
        <v>64</v>
      </c>
      <c r="C100" s="3"/>
      <c r="AG100" s="33" t="str">
        <f t="shared" si="1"/>
        <v>#DIV/0!</v>
      </c>
      <c r="BE100" s="33" t="str">
        <f t="shared" si="2"/>
        <v>#DIV/0!</v>
      </c>
    </row>
    <row r="101">
      <c r="A101" s="2" t="s">
        <v>113</v>
      </c>
      <c r="B101" s="3" t="s">
        <v>64</v>
      </c>
      <c r="C101" s="3"/>
      <c r="AG101" s="33" t="str">
        <f t="shared" si="1"/>
        <v>#DIV/0!</v>
      </c>
      <c r="BE101" s="33" t="str">
        <f t="shared" si="2"/>
        <v>#DIV/0!</v>
      </c>
    </row>
    <row r="102">
      <c r="A102" s="2" t="s">
        <v>113</v>
      </c>
      <c r="B102" s="3" t="s">
        <v>64</v>
      </c>
      <c r="C102" s="3"/>
      <c r="AG102" s="33" t="str">
        <f t="shared" si="1"/>
        <v>#DIV/0!</v>
      </c>
      <c r="BE102" s="33" t="str">
        <f t="shared" si="2"/>
        <v>#DIV/0!</v>
      </c>
    </row>
    <row r="103">
      <c r="A103" s="2" t="s">
        <v>113</v>
      </c>
      <c r="B103" s="3" t="s">
        <v>64</v>
      </c>
      <c r="C103" s="3"/>
      <c r="AG103" s="33" t="str">
        <f t="shared" si="1"/>
        <v>#DIV/0!</v>
      </c>
      <c r="BE103" s="33" t="str">
        <f t="shared" si="2"/>
        <v>#DIV/0!</v>
      </c>
    </row>
    <row r="104">
      <c r="A104" s="2" t="s">
        <v>113</v>
      </c>
      <c r="B104" s="3" t="s">
        <v>64</v>
      </c>
      <c r="C104" s="3"/>
      <c r="AG104" s="33" t="str">
        <f t="shared" si="1"/>
        <v>#DIV/0!</v>
      </c>
      <c r="BE104" s="33" t="str">
        <f t="shared" si="2"/>
        <v>#DIV/0!</v>
      </c>
    </row>
    <row r="105">
      <c r="A105" s="12" t="s">
        <v>114</v>
      </c>
      <c r="B105" s="12" t="s">
        <v>58</v>
      </c>
      <c r="C105" s="12"/>
      <c r="AG105" s="33" t="str">
        <f t="shared" si="1"/>
        <v>#DIV/0!</v>
      </c>
      <c r="BE105" s="33" t="str">
        <f t="shared" si="2"/>
        <v>#DIV/0!</v>
      </c>
    </row>
    <row r="106">
      <c r="A106" s="12" t="s">
        <v>114</v>
      </c>
      <c r="B106" s="12" t="s">
        <v>58</v>
      </c>
      <c r="C106" s="12"/>
      <c r="AG106" s="33" t="str">
        <f t="shared" si="1"/>
        <v>#DIV/0!</v>
      </c>
      <c r="BE106" s="33" t="str">
        <f t="shared" si="2"/>
        <v>#DIV/0!</v>
      </c>
    </row>
    <row r="107">
      <c r="A107" s="2" t="s">
        <v>117</v>
      </c>
      <c r="B107" s="3" t="s">
        <v>64</v>
      </c>
      <c r="C107" s="58">
        <v>2381.0</v>
      </c>
      <c r="D107" s="57">
        <v>0.0</v>
      </c>
      <c r="E107" s="57">
        <v>8.0</v>
      </c>
      <c r="G107" s="57">
        <v>0.841</v>
      </c>
      <c r="H107" s="57">
        <v>0.142</v>
      </c>
      <c r="I107" s="57">
        <v>0.058</v>
      </c>
      <c r="J107" s="57">
        <v>1.32</v>
      </c>
      <c r="K107" s="57">
        <v>0.1173</v>
      </c>
      <c r="L107" s="57">
        <v>0.044</v>
      </c>
      <c r="M107" s="57">
        <v>1.35</v>
      </c>
      <c r="N107" s="57">
        <v>0.1452</v>
      </c>
      <c r="O107" s="57">
        <v>0.057</v>
      </c>
      <c r="P107" s="57">
        <v>1.226</v>
      </c>
      <c r="Q107" s="57">
        <v>0.237</v>
      </c>
      <c r="R107" s="57">
        <v>0.105</v>
      </c>
      <c r="S107" s="57">
        <v>1.39</v>
      </c>
      <c r="T107" s="57">
        <v>0.1232</v>
      </c>
      <c r="U107" s="57">
        <v>0.048</v>
      </c>
      <c r="AE107" s="57">
        <v>0.1502</v>
      </c>
      <c r="AF107" s="57">
        <v>0.06</v>
      </c>
      <c r="AG107" s="33">
        <f t="shared" si="1"/>
        <v>1.2254</v>
      </c>
      <c r="AH107" s="57">
        <v>0.43</v>
      </c>
      <c r="AI107" s="57">
        <v>0.1304</v>
      </c>
      <c r="AJ107" s="57">
        <v>0.057</v>
      </c>
      <c r="AK107" s="57">
        <v>1.93</v>
      </c>
      <c r="AL107" s="57">
        <v>0.0978</v>
      </c>
      <c r="AM107" s="57">
        <v>0.04</v>
      </c>
      <c r="AN107" s="57">
        <v>1.96</v>
      </c>
      <c r="AO107" s="57">
        <v>0.1348</v>
      </c>
      <c r="AP107" s="57">
        <v>0.062</v>
      </c>
      <c r="AQ107" s="33">
        <f>average(1.74,2.25)</f>
        <v>1.995</v>
      </c>
      <c r="AR107" s="57">
        <v>0.1554</v>
      </c>
      <c r="AS107" s="57">
        <v>0.067</v>
      </c>
      <c r="AV107" s="57">
        <v>0.042</v>
      </c>
      <c r="BC107" s="57">
        <v>0.225</v>
      </c>
      <c r="BD107" s="57">
        <v>0.109</v>
      </c>
      <c r="BE107" s="33">
        <f t="shared" si="2"/>
        <v>1.57875</v>
      </c>
    </row>
    <row r="108">
      <c r="A108" s="2" t="s">
        <v>117</v>
      </c>
      <c r="B108" s="3" t="s">
        <v>64</v>
      </c>
      <c r="C108" s="58"/>
      <c r="AG108" s="33" t="str">
        <f t="shared" si="1"/>
        <v>#DIV/0!</v>
      </c>
      <c r="BE108" s="33" t="str">
        <f t="shared" si="2"/>
        <v>#DIV/0!</v>
      </c>
    </row>
    <row r="109">
      <c r="A109" s="2" t="s">
        <v>117</v>
      </c>
      <c r="B109" s="3" t="s">
        <v>64</v>
      </c>
      <c r="C109" s="58"/>
      <c r="AG109" s="33" t="str">
        <f t="shared" si="1"/>
        <v>#DIV/0!</v>
      </c>
      <c r="BE109" s="33" t="str">
        <f t="shared" si="2"/>
        <v>#DIV/0!</v>
      </c>
    </row>
    <row r="110">
      <c r="A110" s="2" t="s">
        <v>117</v>
      </c>
      <c r="B110" s="3" t="s">
        <v>64</v>
      </c>
      <c r="C110" s="58">
        <v>2382.0</v>
      </c>
      <c r="D110" s="57">
        <v>0.0</v>
      </c>
      <c r="E110" s="57">
        <v>8.0</v>
      </c>
      <c r="G110" s="57">
        <v>0.81</v>
      </c>
      <c r="H110" s="57">
        <v>0.1738</v>
      </c>
      <c r="I110" s="57">
        <v>0.082</v>
      </c>
      <c r="J110" s="57">
        <v>0.778</v>
      </c>
      <c r="K110" s="57">
        <v>0.2153</v>
      </c>
      <c r="L110" s="57">
        <v>0.1</v>
      </c>
      <c r="AE110" s="57">
        <v>0.6252</v>
      </c>
      <c r="AF110" s="57">
        <v>0.287</v>
      </c>
      <c r="AG110" s="33">
        <f t="shared" si="1"/>
        <v>0.794</v>
      </c>
      <c r="AH110" s="57">
        <v>2.7</v>
      </c>
      <c r="AI110" s="57">
        <v>0.1876</v>
      </c>
      <c r="AJ110" s="57">
        <v>0.095</v>
      </c>
      <c r="AK110" s="57">
        <v>2.69</v>
      </c>
      <c r="AL110" s="57">
        <v>0.1933</v>
      </c>
      <c r="AM110" s="57">
        <v>0.101</v>
      </c>
      <c r="BC110" s="57">
        <v>0.7026</v>
      </c>
      <c r="BD110" s="57">
        <v>0.355</v>
      </c>
      <c r="BE110" s="33">
        <f t="shared" si="2"/>
        <v>2.695</v>
      </c>
    </row>
    <row r="111">
      <c r="A111" s="2" t="s">
        <v>117</v>
      </c>
      <c r="B111" s="54" t="s">
        <v>64</v>
      </c>
      <c r="C111" s="60">
        <v>2383.0</v>
      </c>
      <c r="AG111" s="33" t="str">
        <f t="shared" si="1"/>
        <v>#DIV/0!</v>
      </c>
      <c r="BE111" s="33" t="str">
        <f t="shared" si="2"/>
        <v>#DIV/0!</v>
      </c>
    </row>
    <row r="112">
      <c r="A112" s="2" t="s">
        <v>117</v>
      </c>
      <c r="B112" s="54" t="s">
        <v>64</v>
      </c>
      <c r="C112" s="57">
        <v>2384.0</v>
      </c>
      <c r="D112" s="57">
        <v>0.0</v>
      </c>
      <c r="E112" s="57">
        <v>7.0</v>
      </c>
      <c r="AG112" s="33" t="str">
        <f t="shared" si="1"/>
        <v>#DIV/0!</v>
      </c>
      <c r="AH112" s="57">
        <v>2.49</v>
      </c>
      <c r="AI112" s="57">
        <v>0.0883</v>
      </c>
      <c r="AJ112" s="57">
        <v>0.043</v>
      </c>
      <c r="AK112" s="57">
        <v>2.39</v>
      </c>
      <c r="AL112" s="57">
        <v>0.1475</v>
      </c>
      <c r="AM112" s="57">
        <v>0.071</v>
      </c>
      <c r="AN112" s="57">
        <v>1.945</v>
      </c>
      <c r="AO112" s="57">
        <v>0.0884</v>
      </c>
      <c r="AP112" s="57">
        <v>0.04</v>
      </c>
      <c r="AQ112" s="57">
        <v>2.032</v>
      </c>
      <c r="AR112" s="57">
        <v>0.0937</v>
      </c>
      <c r="AS112" s="57">
        <v>0.046</v>
      </c>
      <c r="AT112" s="57">
        <v>2.504</v>
      </c>
      <c r="AU112" s="57">
        <v>0.0861</v>
      </c>
      <c r="AV112" s="57">
        <v>0.042</v>
      </c>
      <c r="BC112" s="57">
        <v>0.0819</v>
      </c>
      <c r="BD112" s="57">
        <v>0.039</v>
      </c>
      <c r="BE112" s="33">
        <f t="shared" si="2"/>
        <v>2.2722</v>
      </c>
    </row>
    <row r="113">
      <c r="A113" s="57" t="s">
        <v>136</v>
      </c>
      <c r="B113" s="54" t="s">
        <v>64</v>
      </c>
      <c r="C113" s="57">
        <v>2004.0</v>
      </c>
      <c r="D113" s="57">
        <v>0.0</v>
      </c>
      <c r="E113" s="57">
        <v>8.0</v>
      </c>
      <c r="AG113" s="33" t="str">
        <f t="shared" si="1"/>
        <v>#DIV/0!</v>
      </c>
      <c r="BE113" s="33" t="str">
        <f t="shared" si="2"/>
        <v>#DIV/0!</v>
      </c>
    </row>
    <row r="114">
      <c r="A114" s="57" t="s">
        <v>136</v>
      </c>
      <c r="B114" s="54" t="s">
        <v>64</v>
      </c>
      <c r="C114" s="57">
        <v>2005.0</v>
      </c>
      <c r="D114" s="57">
        <v>0.0</v>
      </c>
      <c r="E114" s="57">
        <v>9.0</v>
      </c>
      <c r="AG114" s="33" t="str">
        <f t="shared" si="1"/>
        <v>#DIV/0!</v>
      </c>
      <c r="BE114" s="33" t="str">
        <f t="shared" si="2"/>
        <v>#DIV/0!</v>
      </c>
    </row>
    <row r="115">
      <c r="A115" s="57" t="s">
        <v>136</v>
      </c>
      <c r="B115" s="54" t="s">
        <v>64</v>
      </c>
      <c r="C115" s="57">
        <v>2006.0</v>
      </c>
      <c r="D115" s="57">
        <v>0.0</v>
      </c>
      <c r="E115" s="57">
        <v>8.0</v>
      </c>
      <c r="AG115" s="33" t="str">
        <f t="shared" si="1"/>
        <v>#DIV/0!</v>
      </c>
      <c r="BE115" s="33" t="str">
        <f t="shared" si="2"/>
        <v>#DIV/0!</v>
      </c>
    </row>
    <row r="116">
      <c r="A116" s="57" t="s">
        <v>136</v>
      </c>
      <c r="B116" s="54" t="s">
        <v>64</v>
      </c>
      <c r="C116" s="57">
        <v>2007.0</v>
      </c>
      <c r="D116" s="57">
        <v>0.0</v>
      </c>
      <c r="E116" s="57">
        <v>7.0</v>
      </c>
      <c r="AG116" s="33" t="str">
        <f t="shared" si="1"/>
        <v>#DIV/0!</v>
      </c>
      <c r="BE116" s="33" t="str">
        <f t="shared" si="2"/>
        <v>#DIV/0!</v>
      </c>
    </row>
    <row r="117">
      <c r="A117" s="57" t="s">
        <v>136</v>
      </c>
      <c r="B117" s="54" t="s">
        <v>139</v>
      </c>
      <c r="AG117" s="33" t="str">
        <f t="shared" si="1"/>
        <v>#DIV/0!</v>
      </c>
      <c r="BE117" s="33" t="str">
        <f t="shared" si="2"/>
        <v>#DIV/0!</v>
      </c>
    </row>
    <row r="118">
      <c r="A118" s="57" t="s">
        <v>141</v>
      </c>
      <c r="B118" s="54" t="s">
        <v>144</v>
      </c>
      <c r="G118" s="57">
        <v>2.1</v>
      </c>
      <c r="H118" s="57">
        <v>0.4308</v>
      </c>
      <c r="I118" s="57">
        <v>0.171</v>
      </c>
      <c r="J118" s="57">
        <v>1.76</v>
      </c>
      <c r="K118" s="57">
        <v>0.6652</v>
      </c>
      <c r="L118" s="57">
        <v>0.218</v>
      </c>
      <c r="M118" s="57">
        <v>1.98</v>
      </c>
      <c r="N118" s="57">
        <v>0.4807</v>
      </c>
      <c r="O118" s="57">
        <v>0.222</v>
      </c>
      <c r="P118" s="57">
        <v>2.04</v>
      </c>
      <c r="Q118" s="57">
        <v>0.3734</v>
      </c>
      <c r="R118" s="57">
        <v>0.148</v>
      </c>
      <c r="S118" s="57">
        <v>1.8</v>
      </c>
      <c r="T118" s="57">
        <v>0.3326</v>
      </c>
      <c r="U118" s="57">
        <v>0.119</v>
      </c>
      <c r="AE118" s="57">
        <v>1.724</v>
      </c>
      <c r="AF118" s="57">
        <v>0.709</v>
      </c>
      <c r="AG118" s="33">
        <f t="shared" si="1"/>
        <v>1.936</v>
      </c>
      <c r="BE118" s="33" t="str">
        <f t="shared" si="2"/>
        <v>#DIV/0!</v>
      </c>
    </row>
    <row r="119">
      <c r="A119" s="57" t="s">
        <v>136</v>
      </c>
      <c r="B119" s="54" t="s">
        <v>144</v>
      </c>
      <c r="AG119" s="33" t="str">
        <f t="shared" si="1"/>
        <v>#DIV/0!</v>
      </c>
      <c r="BE119" s="33" t="str">
        <f t="shared" si="2"/>
        <v>#DIV/0!</v>
      </c>
    </row>
    <row r="120">
      <c r="A120" s="57" t="s">
        <v>255</v>
      </c>
      <c r="B120" s="54" t="s">
        <v>58</v>
      </c>
      <c r="C120" s="57">
        <v>2093.0</v>
      </c>
      <c r="G120" s="57">
        <v>0.35</v>
      </c>
      <c r="H120" s="57">
        <v>0.2452</v>
      </c>
      <c r="I120" s="57">
        <v>0.158</v>
      </c>
      <c r="J120" s="57">
        <v>0.51</v>
      </c>
      <c r="K120" s="57">
        <v>0.3532</v>
      </c>
      <c r="L120" s="57">
        <v>0.229</v>
      </c>
      <c r="M120" s="57">
        <v>0.25</v>
      </c>
      <c r="N120" s="57">
        <v>0.2809</v>
      </c>
      <c r="O120" s="57">
        <v>0.178</v>
      </c>
      <c r="P120" s="57">
        <v>0.18</v>
      </c>
      <c r="Q120" s="57">
        <v>0.363</v>
      </c>
      <c r="R120" s="57">
        <v>0.228</v>
      </c>
      <c r="AE120" s="57">
        <v>0.7345</v>
      </c>
      <c r="AF120" s="57">
        <v>0.472</v>
      </c>
      <c r="AG120" s="33">
        <f t="shared" si="1"/>
        <v>0.3225</v>
      </c>
      <c r="BE120" s="33" t="str">
        <f t="shared" si="2"/>
        <v>#DIV/0!</v>
      </c>
    </row>
    <row r="121">
      <c r="A121" s="57" t="s">
        <v>255</v>
      </c>
      <c r="B121" s="54" t="s">
        <v>58</v>
      </c>
      <c r="C121" s="57">
        <v>2092.0</v>
      </c>
      <c r="G121" s="57">
        <v>0.286</v>
      </c>
      <c r="H121" s="57">
        <v>0.2323</v>
      </c>
      <c r="I121" s="57">
        <v>0.143</v>
      </c>
      <c r="J121" s="57">
        <v>0.2</v>
      </c>
      <c r="K121" s="57">
        <v>0.2821</v>
      </c>
      <c r="L121" s="57">
        <v>0.165</v>
      </c>
      <c r="M121" s="57">
        <v>0.264</v>
      </c>
      <c r="N121" s="57">
        <v>0.235</v>
      </c>
      <c r="O121" s="57">
        <v>0.143</v>
      </c>
      <c r="AE121" s="57">
        <v>1.3508</v>
      </c>
      <c r="AF121" s="57">
        <v>0.824</v>
      </c>
      <c r="AG121" s="33">
        <f t="shared" si="1"/>
        <v>0.25</v>
      </c>
      <c r="BE121" s="33" t="str">
        <f t="shared" si="2"/>
        <v>#DIV/0!</v>
      </c>
    </row>
    <row r="122">
      <c r="A122" s="57" t="s">
        <v>255</v>
      </c>
      <c r="B122" s="54" t="s">
        <v>58</v>
      </c>
      <c r="C122" s="57">
        <v>2091.0</v>
      </c>
      <c r="G122" s="57">
        <v>0.373</v>
      </c>
      <c r="H122" s="57">
        <v>0.3789</v>
      </c>
      <c r="I122" s="57">
        <v>0.223</v>
      </c>
      <c r="J122" s="57">
        <v>0.296</v>
      </c>
      <c r="K122" s="57">
        <v>0.4072</v>
      </c>
      <c r="L122" s="57">
        <v>0.237</v>
      </c>
      <c r="M122" s="57">
        <v>0.275</v>
      </c>
      <c r="N122" s="57">
        <v>0.3382</v>
      </c>
      <c r="O122" s="57">
        <v>0.199</v>
      </c>
      <c r="AE122" s="57">
        <v>1.2569</v>
      </c>
      <c r="AF122" s="57">
        <v>0.759</v>
      </c>
      <c r="AG122" s="33">
        <f t="shared" si="1"/>
        <v>0.3146666667</v>
      </c>
      <c r="BE122" s="33" t="str">
        <f t="shared" si="2"/>
        <v>#DIV/0!</v>
      </c>
    </row>
    <row r="123">
      <c r="A123" s="57" t="s">
        <v>255</v>
      </c>
      <c r="B123" s="54" t="s">
        <v>149</v>
      </c>
      <c r="C123" s="57">
        <v>2090.0</v>
      </c>
      <c r="D123" s="57">
        <v>0.0</v>
      </c>
      <c r="E123" s="57">
        <v>4.0</v>
      </c>
      <c r="G123" s="57">
        <v>1.74</v>
      </c>
      <c r="H123" s="57" t="s">
        <v>60</v>
      </c>
      <c r="J123" s="57">
        <v>0.579</v>
      </c>
      <c r="K123" s="57" t="s">
        <v>60</v>
      </c>
      <c r="AG123" s="33">
        <f t="shared" si="1"/>
        <v>1.1595</v>
      </c>
      <c r="BE123" s="33" t="str">
        <f t="shared" si="2"/>
        <v>#DIV/0!</v>
      </c>
    </row>
    <row r="124">
      <c r="A124" s="57" t="s">
        <v>255</v>
      </c>
      <c r="B124" s="54" t="s">
        <v>58</v>
      </c>
      <c r="C124" s="57">
        <v>2089.0</v>
      </c>
      <c r="G124" s="57">
        <v>0.99</v>
      </c>
      <c r="H124" s="57">
        <v>0.4242</v>
      </c>
      <c r="I124" s="57">
        <v>0.259</v>
      </c>
      <c r="J124" s="57">
        <v>1.5</v>
      </c>
      <c r="K124" s="57">
        <v>0.7123</v>
      </c>
      <c r="L124" s="57">
        <v>0.45</v>
      </c>
      <c r="M124" s="57">
        <v>1.5</v>
      </c>
      <c r="N124" s="57">
        <v>0.3219</v>
      </c>
      <c r="O124" s="57">
        <v>0.195</v>
      </c>
      <c r="P124" s="57">
        <v>0.6</v>
      </c>
      <c r="Q124" s="57">
        <v>0.3605</v>
      </c>
      <c r="R124" s="57">
        <v>0.224</v>
      </c>
      <c r="S124" s="57">
        <v>0.45</v>
      </c>
      <c r="T124" s="57">
        <v>0.263</v>
      </c>
      <c r="U124" s="57">
        <v>0.156</v>
      </c>
      <c r="V124" s="57">
        <v>0.32</v>
      </c>
      <c r="W124" s="57">
        <v>0.2506</v>
      </c>
      <c r="X124" s="57">
        <v>0.152</v>
      </c>
      <c r="Y124" s="57">
        <v>1.49</v>
      </c>
      <c r="Z124" s="57">
        <v>0.4046</v>
      </c>
      <c r="AA124" s="57">
        <v>0.25</v>
      </c>
      <c r="AB124" s="57">
        <v>1.19</v>
      </c>
      <c r="AC124" s="57">
        <v>0.19</v>
      </c>
      <c r="AD124" s="57">
        <v>0.117</v>
      </c>
      <c r="AE124" s="57">
        <v>0.214</v>
      </c>
      <c r="AF124" s="57">
        <v>0.131</v>
      </c>
      <c r="AG124" s="33">
        <f t="shared" si="1"/>
        <v>1.005</v>
      </c>
      <c r="BE124" s="33" t="str">
        <f t="shared" si="2"/>
        <v>#DIV/0!</v>
      </c>
    </row>
    <row r="125">
      <c r="A125" s="57" t="s">
        <v>255</v>
      </c>
      <c r="B125" s="54" t="s">
        <v>64</v>
      </c>
      <c r="C125" s="57">
        <v>2088.0</v>
      </c>
      <c r="D125" s="57">
        <v>0.0</v>
      </c>
      <c r="E125" s="57">
        <v>4.0</v>
      </c>
      <c r="G125" s="57">
        <v>1.43</v>
      </c>
      <c r="H125" s="57" t="s">
        <v>60</v>
      </c>
      <c r="J125" s="57">
        <v>1.32</v>
      </c>
      <c r="K125" s="57" t="s">
        <v>60</v>
      </c>
      <c r="M125" s="57">
        <v>1.5</v>
      </c>
      <c r="N125" s="57" t="s">
        <v>60</v>
      </c>
      <c r="AG125" s="33">
        <f t="shared" si="1"/>
        <v>1.416666667</v>
      </c>
      <c r="BE125" s="33" t="str">
        <f t="shared" si="2"/>
        <v>#DIV/0!</v>
      </c>
    </row>
    <row r="126">
      <c r="A126" s="57" t="s">
        <v>255</v>
      </c>
      <c r="B126" s="54" t="s">
        <v>64</v>
      </c>
      <c r="C126" s="57">
        <v>2087.0</v>
      </c>
      <c r="D126" s="57">
        <v>0.0</v>
      </c>
      <c r="E126" s="57">
        <v>3.0</v>
      </c>
      <c r="G126" s="57">
        <v>1.17</v>
      </c>
      <c r="H126" s="57" t="s">
        <v>60</v>
      </c>
      <c r="J126" s="57">
        <v>1.13</v>
      </c>
      <c r="K126" s="57" t="s">
        <v>60</v>
      </c>
      <c r="AG126" s="33">
        <f t="shared" si="1"/>
        <v>1.15</v>
      </c>
      <c r="BE126" s="33" t="str">
        <f t="shared" si="2"/>
        <v>#DIV/0!</v>
      </c>
    </row>
    <row r="127">
      <c r="A127" s="57" t="s">
        <v>255</v>
      </c>
      <c r="B127" s="54" t="s">
        <v>64</v>
      </c>
      <c r="C127" s="57">
        <v>2086.0</v>
      </c>
      <c r="D127" s="57">
        <v>0.0</v>
      </c>
      <c r="E127" s="57">
        <v>2.0</v>
      </c>
      <c r="G127" s="57">
        <v>0.458</v>
      </c>
      <c r="H127" s="57" t="s">
        <v>60</v>
      </c>
      <c r="J127" s="57">
        <v>1.3</v>
      </c>
      <c r="K127" s="57" t="s">
        <v>60</v>
      </c>
      <c r="M127" s="57">
        <v>0.916</v>
      </c>
      <c r="N127" s="57" t="s">
        <v>60</v>
      </c>
      <c r="P127" s="57">
        <v>1.07</v>
      </c>
      <c r="Q127" s="57" t="s">
        <v>60</v>
      </c>
      <c r="AG127" s="33">
        <f t="shared" si="1"/>
        <v>0.936</v>
      </c>
      <c r="BE127" s="33" t="str">
        <f t="shared" si="2"/>
        <v>#DIV/0!</v>
      </c>
    </row>
    <row r="128">
      <c r="A128" s="57" t="s">
        <v>255</v>
      </c>
      <c r="B128" s="54" t="s">
        <v>64</v>
      </c>
      <c r="C128" s="57">
        <v>2085.0</v>
      </c>
      <c r="D128" s="57">
        <v>1.0</v>
      </c>
      <c r="E128" s="57">
        <v>1.0</v>
      </c>
      <c r="G128" s="57">
        <v>1.149</v>
      </c>
      <c r="H128" s="57" t="s">
        <v>60</v>
      </c>
      <c r="J128" s="57">
        <v>1.26</v>
      </c>
      <c r="K128" s="57" t="s">
        <v>60</v>
      </c>
      <c r="M128" s="57">
        <v>1.13</v>
      </c>
      <c r="N128" s="57" t="s">
        <v>60</v>
      </c>
      <c r="AG128" s="33">
        <f t="shared" si="1"/>
        <v>1.179666667</v>
      </c>
      <c r="BE128" s="33" t="str">
        <f t="shared" si="2"/>
        <v>#DIV/0!</v>
      </c>
    </row>
    <row r="129">
      <c r="A129" s="57" t="s">
        <v>141</v>
      </c>
      <c r="B129" s="54" t="s">
        <v>64</v>
      </c>
      <c r="C129" s="57">
        <v>2020.0</v>
      </c>
      <c r="D129" s="57">
        <v>0.0</v>
      </c>
      <c r="E129" s="57">
        <v>7.0</v>
      </c>
      <c r="G129" s="57">
        <v>1.64</v>
      </c>
      <c r="H129" s="57">
        <v>0.174</v>
      </c>
      <c r="I129" s="57">
        <v>0.087</v>
      </c>
      <c r="J129" s="57">
        <v>1.315</v>
      </c>
      <c r="K129" s="57">
        <v>0.236</v>
      </c>
      <c r="L129" s="57">
        <v>0.113</v>
      </c>
      <c r="M129" s="57">
        <v>1.786</v>
      </c>
      <c r="N129" s="57">
        <v>0.2114</v>
      </c>
      <c r="O129" s="57">
        <v>0.103</v>
      </c>
      <c r="P129" s="57">
        <v>1.59</v>
      </c>
      <c r="Q129" s="57">
        <v>0.2139</v>
      </c>
      <c r="R129" s="57">
        <v>0.102</v>
      </c>
      <c r="AE129" s="57">
        <v>0.6473</v>
      </c>
      <c r="AF129" s="57">
        <v>0.304</v>
      </c>
      <c r="AG129" s="33">
        <f t="shared" si="1"/>
        <v>1.58275</v>
      </c>
      <c r="BE129" s="33" t="str">
        <f t="shared" si="2"/>
        <v>#DIV/0!</v>
      </c>
    </row>
    <row r="130">
      <c r="A130" s="57" t="s">
        <v>141</v>
      </c>
      <c r="B130" s="54" t="s">
        <v>64</v>
      </c>
      <c r="C130" s="57">
        <v>2021.0</v>
      </c>
      <c r="D130" s="57">
        <v>0.0</v>
      </c>
      <c r="E130" s="57">
        <v>6.0</v>
      </c>
      <c r="G130" s="57">
        <v>1.52</v>
      </c>
      <c r="H130" s="57">
        <v>0.1254</v>
      </c>
      <c r="I130" s="57">
        <v>0.055</v>
      </c>
      <c r="J130" s="57">
        <v>1.14</v>
      </c>
      <c r="K130" s="57">
        <v>0.1518</v>
      </c>
      <c r="L130" s="57">
        <v>0.061</v>
      </c>
      <c r="M130" s="57">
        <v>1.53</v>
      </c>
      <c r="N130" s="57">
        <v>0.2002</v>
      </c>
      <c r="O130" s="57">
        <v>0.078</v>
      </c>
      <c r="AE130" s="57">
        <v>0.5049</v>
      </c>
      <c r="AF130" s="57">
        <v>0.211</v>
      </c>
      <c r="AG130" s="33">
        <f t="shared" si="1"/>
        <v>1.396666667</v>
      </c>
      <c r="BE130" s="33" t="str">
        <f t="shared" si="2"/>
        <v>#DIV/0!</v>
      </c>
    </row>
    <row r="131">
      <c r="A131" s="57" t="s">
        <v>141</v>
      </c>
      <c r="B131" s="54" t="s">
        <v>58</v>
      </c>
      <c r="C131" s="57">
        <v>2022.0</v>
      </c>
      <c r="G131" s="57">
        <v>0.92</v>
      </c>
      <c r="H131" s="57">
        <v>0.3054</v>
      </c>
      <c r="I131" s="57">
        <v>0.155</v>
      </c>
      <c r="J131" s="57">
        <v>0.55</v>
      </c>
      <c r="K131" s="57">
        <v>0.3707</v>
      </c>
      <c r="L131" s="57">
        <v>0.216</v>
      </c>
      <c r="M131" s="57">
        <v>1.56</v>
      </c>
      <c r="N131" s="57">
        <v>0.3022</v>
      </c>
      <c r="O131" s="57">
        <v>0.157</v>
      </c>
      <c r="P131" s="57">
        <v>0.98</v>
      </c>
      <c r="Q131" s="57">
        <v>0.3463</v>
      </c>
      <c r="R131" s="57">
        <v>0.18</v>
      </c>
      <c r="AE131" s="57">
        <v>1.8375</v>
      </c>
      <c r="AF131" s="57">
        <v>1.027</v>
      </c>
      <c r="AG131" s="33">
        <f t="shared" si="1"/>
        <v>1.0025</v>
      </c>
      <c r="BE131" s="33" t="str">
        <f t="shared" si="2"/>
        <v>#DIV/0!</v>
      </c>
    </row>
    <row r="132">
      <c r="A132" s="57" t="s">
        <v>141</v>
      </c>
      <c r="B132" s="54" t="s">
        <v>58</v>
      </c>
      <c r="C132" s="57">
        <v>2023.0</v>
      </c>
      <c r="G132" s="57">
        <v>0.782</v>
      </c>
      <c r="H132" s="57">
        <v>0.2919</v>
      </c>
      <c r="I132" s="57">
        <v>0.143</v>
      </c>
      <c r="J132" s="57">
        <v>0.645</v>
      </c>
      <c r="K132" s="57">
        <v>0.4059</v>
      </c>
      <c r="L132" s="57">
        <v>0.188</v>
      </c>
      <c r="M132" s="57">
        <v>0.779</v>
      </c>
      <c r="N132" s="57">
        <v>0.4371</v>
      </c>
      <c r="O132" s="57">
        <v>0.261</v>
      </c>
      <c r="P132" s="57">
        <v>0.617</v>
      </c>
      <c r="Q132" s="57">
        <v>0.308</v>
      </c>
      <c r="R132" s="57">
        <v>0.187</v>
      </c>
      <c r="AE132" s="57">
        <v>2.3073</v>
      </c>
      <c r="AF132" s="57">
        <v>1.21</v>
      </c>
      <c r="AG132" s="33">
        <f t="shared" si="1"/>
        <v>0.70575</v>
      </c>
      <c r="BE132" s="33" t="str">
        <f t="shared" si="2"/>
        <v>#DIV/0!</v>
      </c>
    </row>
    <row r="133">
      <c r="A133" s="57" t="s">
        <v>141</v>
      </c>
      <c r="B133" s="54" t="s">
        <v>64</v>
      </c>
      <c r="C133" s="57">
        <v>2024.0</v>
      </c>
      <c r="D133" s="57">
        <v>0.0</v>
      </c>
      <c r="E133" s="57">
        <v>8.0</v>
      </c>
      <c r="G133" s="57">
        <v>0.77</v>
      </c>
      <c r="H133" s="57">
        <v>0.2779</v>
      </c>
      <c r="I133" s="57">
        <v>0.116</v>
      </c>
      <c r="J133" s="57">
        <v>0.9</v>
      </c>
      <c r="K133" s="57">
        <v>0.2038</v>
      </c>
      <c r="L133" s="57">
        <v>0.081</v>
      </c>
      <c r="M133" s="57">
        <v>1.26</v>
      </c>
      <c r="N133" s="57">
        <v>0.187</v>
      </c>
      <c r="O133" s="57">
        <v>0.073</v>
      </c>
      <c r="P133" s="57">
        <v>1.44</v>
      </c>
      <c r="Q133" s="57">
        <v>0.2177</v>
      </c>
      <c r="R133" s="57">
        <v>0.1</v>
      </c>
      <c r="AE133" s="57">
        <v>0.6158</v>
      </c>
      <c r="AF133" s="57">
        <v>0.235</v>
      </c>
      <c r="AG133" s="33">
        <f t="shared" si="1"/>
        <v>1.0925</v>
      </c>
      <c r="BE133" s="33" t="str">
        <f t="shared" si="2"/>
        <v>#DIV/0!</v>
      </c>
    </row>
    <row r="134">
      <c r="A134" s="57" t="s">
        <v>141</v>
      </c>
      <c r="B134" s="54" t="s">
        <v>64</v>
      </c>
      <c r="C134" s="57">
        <v>2025.0</v>
      </c>
      <c r="D134" s="57">
        <v>0.0</v>
      </c>
      <c r="E134" s="57">
        <v>7.0</v>
      </c>
      <c r="G134" s="57">
        <v>1.1</v>
      </c>
      <c r="H134" s="57">
        <v>0.1097</v>
      </c>
      <c r="I134" s="57">
        <v>0.05</v>
      </c>
      <c r="J134" s="57">
        <v>1.35</v>
      </c>
      <c r="K134" s="57">
        <v>0.1081</v>
      </c>
      <c r="L134" s="57">
        <v>0.05</v>
      </c>
      <c r="M134" s="57">
        <v>1.42</v>
      </c>
      <c r="N134" s="57">
        <v>0.1479</v>
      </c>
      <c r="O134" s="57">
        <v>0.064</v>
      </c>
      <c r="P134" s="57">
        <v>1.5</v>
      </c>
      <c r="Q134" s="57">
        <v>0.0972</v>
      </c>
      <c r="R134" s="57">
        <v>0.045</v>
      </c>
      <c r="AE134" s="57">
        <v>0.2484</v>
      </c>
      <c r="AF134" s="57">
        <v>0.113</v>
      </c>
      <c r="AG134" s="33">
        <f t="shared" si="1"/>
        <v>1.3425</v>
      </c>
      <c r="BE134" s="33" t="str">
        <f t="shared" si="2"/>
        <v>#DIV/0!</v>
      </c>
    </row>
    <row r="135">
      <c r="A135" s="57" t="s">
        <v>150</v>
      </c>
      <c r="B135" s="54" t="s">
        <v>64</v>
      </c>
      <c r="C135" s="57">
        <v>2026.0</v>
      </c>
      <c r="D135" s="57">
        <v>0.0</v>
      </c>
      <c r="E135" s="57">
        <v>6.0</v>
      </c>
      <c r="G135" s="57">
        <v>1.6</v>
      </c>
      <c r="H135" s="57">
        <v>0.133</v>
      </c>
      <c r="I135" s="57">
        <v>0.05</v>
      </c>
      <c r="J135" s="57">
        <v>1.15</v>
      </c>
      <c r="K135" s="57">
        <v>0.1327</v>
      </c>
      <c r="L135" s="57">
        <v>0.053</v>
      </c>
      <c r="M135" s="57">
        <v>1.59</v>
      </c>
      <c r="N135" s="57">
        <v>0.1909</v>
      </c>
      <c r="O135" s="57">
        <v>0.076</v>
      </c>
      <c r="P135" s="57">
        <v>1.43</v>
      </c>
      <c r="Q135" s="57">
        <v>0.1652</v>
      </c>
      <c r="R135" s="57">
        <v>0.068</v>
      </c>
      <c r="AE135" s="57">
        <v>0.758</v>
      </c>
      <c r="AF135" s="57">
        <v>0.297</v>
      </c>
      <c r="AG135" s="33">
        <f t="shared" si="1"/>
        <v>1.4425</v>
      </c>
      <c r="BE135" s="33" t="str">
        <f t="shared" si="2"/>
        <v>#DIV/0!</v>
      </c>
    </row>
    <row r="136">
      <c r="A136" s="57" t="s">
        <v>150</v>
      </c>
      <c r="B136" s="54" t="s">
        <v>64</v>
      </c>
      <c r="C136" s="57">
        <v>2027.0</v>
      </c>
      <c r="D136" s="57">
        <v>0.0</v>
      </c>
      <c r="E136" s="57">
        <v>7.0</v>
      </c>
      <c r="G136" s="57">
        <v>1.42</v>
      </c>
      <c r="H136" s="57">
        <v>0.0967</v>
      </c>
      <c r="I136" s="57">
        <v>0.079</v>
      </c>
      <c r="J136" s="57">
        <v>1.6</v>
      </c>
      <c r="K136" s="57">
        <v>0.0958</v>
      </c>
      <c r="L136" s="57">
        <v>0.094</v>
      </c>
      <c r="M136" s="57">
        <v>1.55</v>
      </c>
      <c r="N136" s="57">
        <v>0.1248</v>
      </c>
      <c r="O136" s="57">
        <v>0.051</v>
      </c>
      <c r="P136" s="57">
        <v>1.4</v>
      </c>
      <c r="Q136" s="57">
        <v>0.1722</v>
      </c>
      <c r="S136" s="57">
        <v>1.32</v>
      </c>
      <c r="T136" s="57">
        <v>0.1902</v>
      </c>
      <c r="V136" s="57">
        <v>1.39</v>
      </c>
      <c r="W136" s="57">
        <v>0.1053</v>
      </c>
      <c r="AE136" s="57">
        <v>0.3338</v>
      </c>
      <c r="AF136" s="57">
        <v>0.14</v>
      </c>
      <c r="AG136" s="33">
        <f t="shared" si="1"/>
        <v>1.446666667</v>
      </c>
      <c r="BE136" s="33" t="str">
        <f t="shared" si="2"/>
        <v>#DIV/0!</v>
      </c>
    </row>
    <row r="137">
      <c r="A137" s="57" t="s">
        <v>150</v>
      </c>
      <c r="B137" s="54"/>
      <c r="C137" s="57">
        <v>2028.0</v>
      </c>
    </row>
    <row r="138">
      <c r="A138" s="57" t="s">
        <v>150</v>
      </c>
      <c r="B138" s="54"/>
      <c r="C138" s="57">
        <v>2029.0</v>
      </c>
    </row>
    <row r="139">
      <c r="A139" s="57" t="s">
        <v>150</v>
      </c>
      <c r="B139" s="54"/>
      <c r="C139" s="57">
        <v>2030.0</v>
      </c>
    </row>
    <row r="140">
      <c r="A140" s="57" t="s">
        <v>150</v>
      </c>
      <c r="B140" s="54"/>
      <c r="C140" s="57">
        <v>2031.0</v>
      </c>
    </row>
    <row r="141">
      <c r="A141" s="57" t="s">
        <v>256</v>
      </c>
      <c r="B141" s="54" t="s">
        <v>64</v>
      </c>
      <c r="C141" s="57">
        <v>2012.0</v>
      </c>
    </row>
    <row r="142">
      <c r="A142" s="57" t="s">
        <v>256</v>
      </c>
      <c r="B142" s="54" t="s">
        <v>64</v>
      </c>
      <c r="C142" s="57">
        <v>2013.0</v>
      </c>
    </row>
    <row r="143">
      <c r="A143" s="57" t="s">
        <v>256</v>
      </c>
      <c r="B143" s="54" t="s">
        <v>64</v>
      </c>
      <c r="C143" s="57">
        <v>2014.0</v>
      </c>
    </row>
    <row r="144">
      <c r="A144" s="57" t="s">
        <v>256</v>
      </c>
      <c r="B144" s="54" t="s">
        <v>64</v>
      </c>
      <c r="C144" s="57">
        <v>2015.0</v>
      </c>
    </row>
    <row r="145">
      <c r="A145" s="57" t="s">
        <v>256</v>
      </c>
      <c r="B145" s="54" t="s">
        <v>64</v>
      </c>
      <c r="C145" s="57">
        <v>1478.0</v>
      </c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</sheetData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2" t="s">
        <v>200</v>
      </c>
      <c r="B1" s="1"/>
      <c r="C1" s="1"/>
    </row>
    <row r="3">
      <c r="A3" s="12" t="s">
        <v>1</v>
      </c>
      <c r="B3" s="38" t="s">
        <v>201</v>
      </c>
      <c r="C3" s="12"/>
    </row>
    <row r="4">
      <c r="A4" s="12" t="s">
        <v>3</v>
      </c>
      <c r="B4" s="73">
        <v>44645.0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203</v>
      </c>
      <c r="H6" s="30" t="s">
        <v>204</v>
      </c>
      <c r="I6" s="30" t="s">
        <v>205</v>
      </c>
      <c r="J6" s="30" t="s">
        <v>206</v>
      </c>
      <c r="K6" s="30" t="s">
        <v>207</v>
      </c>
      <c r="L6" s="30" t="s">
        <v>208</v>
      </c>
      <c r="M6" s="30" t="s">
        <v>209</v>
      </c>
      <c r="N6" s="30" t="s">
        <v>210</v>
      </c>
      <c r="O6" s="30" t="s">
        <v>211</v>
      </c>
      <c r="P6" s="30" t="s">
        <v>212</v>
      </c>
      <c r="Q6" s="30" t="s">
        <v>213</v>
      </c>
      <c r="R6" s="30" t="s">
        <v>214</v>
      </c>
      <c r="S6" s="30" t="s">
        <v>215</v>
      </c>
      <c r="T6" s="30" t="s">
        <v>216</v>
      </c>
      <c r="U6" s="30" t="s">
        <v>217</v>
      </c>
      <c r="V6" s="30" t="s">
        <v>218</v>
      </c>
      <c r="W6" s="30" t="s">
        <v>219</v>
      </c>
      <c r="X6" s="30" t="s">
        <v>220</v>
      </c>
      <c r="Y6" s="30" t="s">
        <v>221</v>
      </c>
      <c r="Z6" s="30" t="s">
        <v>222</v>
      </c>
      <c r="AA6" s="30" t="s">
        <v>223</v>
      </c>
      <c r="AB6" s="30" t="s">
        <v>224</v>
      </c>
      <c r="AC6" s="30" t="s">
        <v>225</v>
      </c>
      <c r="AD6" s="30" t="s">
        <v>226</v>
      </c>
      <c r="AE6" s="74" t="s">
        <v>227</v>
      </c>
      <c r="AF6" s="74" t="s">
        <v>228</v>
      </c>
      <c r="AG6" s="30" t="s">
        <v>229</v>
      </c>
      <c r="AH6" s="30" t="s">
        <v>230</v>
      </c>
      <c r="AI6" s="30" t="s">
        <v>231</v>
      </c>
      <c r="AJ6" s="30" t="s">
        <v>232</v>
      </c>
      <c r="AK6" s="30" t="s">
        <v>233</v>
      </c>
      <c r="AL6" s="30" t="s">
        <v>234</v>
      </c>
      <c r="AM6" s="30" t="s">
        <v>235</v>
      </c>
      <c r="AN6" s="30" t="s">
        <v>236</v>
      </c>
      <c r="AO6" s="30" t="s">
        <v>237</v>
      </c>
      <c r="AP6" s="30" t="s">
        <v>238</v>
      </c>
      <c r="AQ6" s="30" t="s">
        <v>239</v>
      </c>
      <c r="AR6" s="30" t="s">
        <v>240</v>
      </c>
      <c r="AS6" s="30" t="s">
        <v>241</v>
      </c>
      <c r="AT6" s="30" t="s">
        <v>242</v>
      </c>
      <c r="AU6" s="30" t="s">
        <v>243</v>
      </c>
      <c r="AV6" s="30" t="s">
        <v>244</v>
      </c>
      <c r="AW6" s="30" t="s">
        <v>245</v>
      </c>
      <c r="AX6" s="30" t="s">
        <v>246</v>
      </c>
      <c r="AY6" s="30" t="s">
        <v>247</v>
      </c>
      <c r="AZ6" s="30" t="s">
        <v>248</v>
      </c>
      <c r="BA6" s="30" t="s">
        <v>249</v>
      </c>
      <c r="BB6" s="30" t="s">
        <v>250</v>
      </c>
      <c r="BC6" s="74" t="s">
        <v>251</v>
      </c>
      <c r="BD6" s="74" t="s">
        <v>252</v>
      </c>
      <c r="BE6" s="30" t="s">
        <v>253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  <c r="F7" s="70">
        <v>44645.0</v>
      </c>
      <c r="G7" s="57">
        <v>1.275</v>
      </c>
      <c r="J7" s="57">
        <v>1.275</v>
      </c>
      <c r="M7" s="57">
        <v>0.75</v>
      </c>
      <c r="AE7" s="57">
        <v>3.599</v>
      </c>
      <c r="AF7" s="57">
        <v>2.21</v>
      </c>
    </row>
    <row r="8">
      <c r="A8" s="12" t="s">
        <v>57</v>
      </c>
      <c r="B8" s="12" t="s">
        <v>58</v>
      </c>
      <c r="C8" s="12">
        <v>2353.0</v>
      </c>
      <c r="AK8" s="57">
        <v>2.3</v>
      </c>
    </row>
    <row r="9">
      <c r="A9" s="12" t="s">
        <v>57</v>
      </c>
      <c r="B9" s="12" t="s">
        <v>58</v>
      </c>
      <c r="C9" s="34">
        <v>2354.0</v>
      </c>
      <c r="F9" s="70">
        <v>44645.0</v>
      </c>
      <c r="G9" s="57">
        <v>0.76</v>
      </c>
      <c r="J9" s="57">
        <v>1.16</v>
      </c>
      <c r="M9" s="57">
        <v>1.0</v>
      </c>
      <c r="Q9" s="57">
        <v>1.24</v>
      </c>
      <c r="AE9" s="57">
        <v>5.212</v>
      </c>
      <c r="AF9" s="57">
        <v>2.663</v>
      </c>
      <c r="AH9" s="57">
        <v>2.725</v>
      </c>
      <c r="AK9" s="57">
        <v>2.4</v>
      </c>
      <c r="AN9" s="57">
        <v>2.45</v>
      </c>
      <c r="AQ9" s="57">
        <v>3.25</v>
      </c>
      <c r="AT9" s="57">
        <v>2.95</v>
      </c>
      <c r="BC9" s="57">
        <v>0.211</v>
      </c>
      <c r="BD9" s="57">
        <v>0.124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  <c r="E24" s="57">
        <v>9.0</v>
      </c>
      <c r="F24" s="70">
        <v>44645.0</v>
      </c>
      <c r="G24" s="57">
        <v>1.35</v>
      </c>
      <c r="J24" s="57">
        <v>2.4</v>
      </c>
      <c r="M24" s="57">
        <v>2.4</v>
      </c>
      <c r="P24" s="57">
        <v>2.21</v>
      </c>
      <c r="AE24" s="57">
        <v>1.717</v>
      </c>
      <c r="AF24" s="57">
        <v>0.712</v>
      </c>
      <c r="AH24" s="57">
        <v>2.05</v>
      </c>
      <c r="AK24" s="57">
        <v>2.55</v>
      </c>
      <c r="AN24" s="57">
        <v>2.0</v>
      </c>
      <c r="AQ24" s="57">
        <v>2.2</v>
      </c>
      <c r="BC24" s="57">
        <v>1.099</v>
      </c>
      <c r="BD24" s="57">
        <v>0.483</v>
      </c>
      <c r="BF24" s="57" t="s">
        <v>276</v>
      </c>
    </row>
    <row r="25">
      <c r="A25" s="12" t="s">
        <v>57</v>
      </c>
      <c r="B25" s="12" t="s">
        <v>64</v>
      </c>
      <c r="C25" s="12">
        <v>2366.0</v>
      </c>
      <c r="E25" s="57">
        <v>8.0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E27" s="57">
        <v>9.0</v>
      </c>
      <c r="F27" s="70">
        <v>44645.0</v>
      </c>
      <c r="G27" s="57">
        <v>0.9</v>
      </c>
      <c r="AH27" s="57">
        <v>1.35</v>
      </c>
      <c r="AK27" s="57">
        <v>1.95</v>
      </c>
      <c r="AN27" s="57">
        <v>1.95</v>
      </c>
      <c r="AQ27" s="57">
        <v>1.95</v>
      </c>
      <c r="BC27" s="57">
        <v>0.359</v>
      </c>
      <c r="BD27" s="57">
        <v>0.144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E30" s="57">
        <v>9.0</v>
      </c>
      <c r="F30" s="70">
        <v>44645.0</v>
      </c>
      <c r="G30" s="57">
        <v>1.3</v>
      </c>
      <c r="J30" s="57">
        <v>0.702</v>
      </c>
      <c r="M30" s="57">
        <v>0.802</v>
      </c>
      <c r="P30" s="57">
        <v>0.99</v>
      </c>
      <c r="AE30" s="57">
        <v>2.582</v>
      </c>
      <c r="AF30" s="57">
        <v>1.071</v>
      </c>
      <c r="AH30" s="57">
        <v>3.05</v>
      </c>
      <c r="AK30" s="57">
        <v>2.55</v>
      </c>
      <c r="AN30" s="57">
        <v>2.8</v>
      </c>
      <c r="BC30" s="57">
        <v>0.669</v>
      </c>
      <c r="BD30" s="57">
        <v>0.287</v>
      </c>
    </row>
    <row r="31">
      <c r="A31" s="38" t="s">
        <v>70</v>
      </c>
      <c r="B31" s="38" t="s">
        <v>58</v>
      </c>
      <c r="C31" s="38">
        <v>2376.0</v>
      </c>
      <c r="F31" s="70">
        <v>44645.0</v>
      </c>
      <c r="G31" s="57">
        <v>0.45</v>
      </c>
      <c r="J31" s="57">
        <v>0.475</v>
      </c>
      <c r="M31" s="57">
        <v>0.4</v>
      </c>
      <c r="AE31" s="57">
        <v>4.237</v>
      </c>
      <c r="AF31" s="57">
        <v>2.454</v>
      </c>
      <c r="AH31" s="57">
        <v>2.35</v>
      </c>
      <c r="AK31" s="57">
        <v>2.3</v>
      </c>
      <c r="AN31" s="57">
        <v>2.55</v>
      </c>
      <c r="BC31" s="57">
        <v>1.072</v>
      </c>
      <c r="BD31" s="57">
        <v>0.641</v>
      </c>
    </row>
    <row r="32">
      <c r="A32" s="38" t="s">
        <v>70</v>
      </c>
      <c r="B32" s="38" t="s">
        <v>58</v>
      </c>
      <c r="C32" s="38">
        <v>2377.0</v>
      </c>
      <c r="F32" s="70">
        <v>44645.0</v>
      </c>
      <c r="G32" s="57">
        <v>0.65</v>
      </c>
      <c r="J32" s="57">
        <v>0.7</v>
      </c>
      <c r="M32" s="57">
        <v>0.65</v>
      </c>
      <c r="AE32" s="57">
        <v>4.734</v>
      </c>
      <c r="AF32" s="57">
        <v>2.489</v>
      </c>
      <c r="BC32" s="57">
        <v>2.672</v>
      </c>
      <c r="BD32" s="57">
        <v>1.472</v>
      </c>
    </row>
    <row r="33">
      <c r="A33" s="38" t="s">
        <v>70</v>
      </c>
      <c r="B33" s="38" t="s">
        <v>64</v>
      </c>
      <c r="C33" s="38">
        <v>2378.0</v>
      </c>
      <c r="F33" s="70">
        <v>44645.0</v>
      </c>
      <c r="G33" s="57">
        <v>0.875</v>
      </c>
      <c r="J33" s="57">
        <v>1.05</v>
      </c>
      <c r="M33" s="57">
        <v>1.05</v>
      </c>
      <c r="AE33" s="57">
        <v>2.082</v>
      </c>
      <c r="AF33" s="57">
        <v>0.951</v>
      </c>
      <c r="BC33" s="57">
        <v>2.265</v>
      </c>
      <c r="BD33" s="57">
        <v>1.078</v>
      </c>
    </row>
    <row r="34">
      <c r="A34" s="38" t="s">
        <v>70</v>
      </c>
      <c r="B34" s="38" t="s">
        <v>64</v>
      </c>
      <c r="C34" s="38">
        <v>2379.0</v>
      </c>
      <c r="F34" s="70">
        <v>44645.0</v>
      </c>
      <c r="G34" s="57">
        <v>0.919</v>
      </c>
      <c r="J34" s="57">
        <v>1.058</v>
      </c>
      <c r="M34" s="57">
        <v>1.066</v>
      </c>
      <c r="P34" s="57">
        <v>1.085</v>
      </c>
      <c r="AE34" s="57">
        <v>2.164</v>
      </c>
      <c r="AF34" s="57">
        <v>0.988</v>
      </c>
      <c r="BC34" s="57">
        <v>1.695</v>
      </c>
      <c r="BD34" s="57">
        <v>0.84</v>
      </c>
    </row>
    <row r="35">
      <c r="A35" s="38" t="s">
        <v>70</v>
      </c>
      <c r="B35" s="38" t="s">
        <v>58</v>
      </c>
      <c r="C35" s="38">
        <v>2380.0</v>
      </c>
      <c r="F35" s="70">
        <v>44645.0</v>
      </c>
      <c r="G35" s="57">
        <v>0.4</v>
      </c>
      <c r="J35" s="57">
        <v>0.4</v>
      </c>
      <c r="M35" s="57">
        <v>0.3</v>
      </c>
      <c r="P35" s="57">
        <v>0.45</v>
      </c>
      <c r="AE35" s="57">
        <v>6.155</v>
      </c>
      <c r="AF35" s="57">
        <v>3.531</v>
      </c>
      <c r="BC35" s="57">
        <v>2.803</v>
      </c>
      <c r="BD35" s="57">
        <v>1.597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  <c r="E42" s="57">
        <v>7.0</v>
      </c>
      <c r="F42" s="70">
        <v>44646.0</v>
      </c>
      <c r="G42" s="57">
        <v>1.2</v>
      </c>
      <c r="J42" s="57">
        <v>1.15</v>
      </c>
      <c r="M42" s="57">
        <v>1.45</v>
      </c>
      <c r="P42" s="57">
        <v>1.2</v>
      </c>
      <c r="AE42" s="57">
        <v>1.254</v>
      </c>
      <c r="AF42" s="57">
        <v>0.4</v>
      </c>
      <c r="AH42" s="57">
        <v>2.35</v>
      </c>
      <c r="AK42" s="57">
        <v>2.1</v>
      </c>
      <c r="AN42" s="57">
        <v>1.8</v>
      </c>
      <c r="AQ42" s="57">
        <v>2.257</v>
      </c>
      <c r="BC42" s="57">
        <v>0.964</v>
      </c>
      <c r="BD42" s="57">
        <v>0.363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  <c r="E46" s="57">
        <v>4.0</v>
      </c>
      <c r="F46" s="70">
        <v>44645.0</v>
      </c>
      <c r="G46" s="57">
        <v>3.1</v>
      </c>
      <c r="J46" s="57">
        <v>3.45</v>
      </c>
      <c r="M46" s="57">
        <v>1.8</v>
      </c>
      <c r="P46" s="57">
        <v>2.7</v>
      </c>
      <c r="AE46" s="57">
        <v>0.694</v>
      </c>
      <c r="AF46" s="57">
        <v>0.393</v>
      </c>
      <c r="AH46" s="57">
        <v>1.85</v>
      </c>
      <c r="AK46" s="57">
        <v>2.05</v>
      </c>
      <c r="AN46" s="57">
        <v>1.3</v>
      </c>
      <c r="AQ46" s="57">
        <v>1.5</v>
      </c>
      <c r="AT46" s="57">
        <v>2.5</v>
      </c>
      <c r="AW46" s="57">
        <v>2.4</v>
      </c>
      <c r="AZ46" s="57">
        <v>2.45</v>
      </c>
    </row>
    <row r="47">
      <c r="A47" s="12" t="s">
        <v>74</v>
      </c>
      <c r="B47" s="12" t="s">
        <v>64</v>
      </c>
      <c r="C47" s="12">
        <v>2346.0</v>
      </c>
      <c r="E47" s="57">
        <v>4.0</v>
      </c>
      <c r="F47" s="70">
        <v>44645.0</v>
      </c>
      <c r="G47" s="57">
        <v>2.2</v>
      </c>
      <c r="J47" s="57">
        <v>1.55</v>
      </c>
      <c r="M47" s="57">
        <v>1.6</v>
      </c>
      <c r="AE47" s="57">
        <v>0.467</v>
      </c>
      <c r="AF47" s="57">
        <v>0.172</v>
      </c>
      <c r="AH47" s="57">
        <v>2.9</v>
      </c>
      <c r="AK47" s="57">
        <v>2.9</v>
      </c>
      <c r="AN47" s="57">
        <v>3.3</v>
      </c>
      <c r="AQ47" s="57">
        <v>2.35</v>
      </c>
      <c r="AT47" s="57">
        <v>2.35</v>
      </c>
      <c r="AW47" s="57">
        <v>2.3</v>
      </c>
      <c r="BC47" s="57">
        <v>0.166</v>
      </c>
      <c r="BD47" s="57">
        <v>0.076</v>
      </c>
      <c r="BF47" s="57" t="s">
        <v>276</v>
      </c>
    </row>
    <row r="48">
      <c r="A48" s="12" t="s">
        <v>74</v>
      </c>
      <c r="B48" s="12" t="s">
        <v>64</v>
      </c>
      <c r="C48" s="12">
        <v>2347.0</v>
      </c>
      <c r="E48" s="57">
        <v>6.0</v>
      </c>
      <c r="F48" s="70">
        <v>44646.0</v>
      </c>
      <c r="G48" s="57">
        <v>1.1</v>
      </c>
      <c r="J48" s="57">
        <v>1.5</v>
      </c>
      <c r="M48" s="57">
        <v>1.0</v>
      </c>
      <c r="AH48" s="57">
        <v>2.4</v>
      </c>
      <c r="AK48" s="57">
        <v>2.5</v>
      </c>
      <c r="AN48" s="57">
        <v>2.0</v>
      </c>
      <c r="AQ48" s="57">
        <v>2.35</v>
      </c>
    </row>
    <row r="49">
      <c r="A49" s="12" t="s">
        <v>74</v>
      </c>
      <c r="B49" s="12" t="s">
        <v>64</v>
      </c>
      <c r="C49" s="12">
        <v>2348.0</v>
      </c>
      <c r="E49" s="57">
        <v>6.0</v>
      </c>
    </row>
    <row r="50">
      <c r="A50" s="12" t="s">
        <v>74</v>
      </c>
      <c r="B50" s="12" t="s">
        <v>64</v>
      </c>
      <c r="C50" s="12">
        <v>2349.0</v>
      </c>
      <c r="E50" s="57">
        <v>6.0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  <c r="F53" s="70">
        <v>44646.0</v>
      </c>
      <c r="G53" s="57">
        <v>1.05</v>
      </c>
      <c r="J53" s="57">
        <v>0.9</v>
      </c>
      <c r="M53" s="57">
        <v>1.4</v>
      </c>
      <c r="P53" s="57">
        <v>0.95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  <c r="F75" s="70">
        <v>44645.0</v>
      </c>
      <c r="G75" s="57">
        <v>1.9</v>
      </c>
      <c r="J75" s="57">
        <v>1.65</v>
      </c>
      <c r="M75" s="57">
        <v>1.75</v>
      </c>
      <c r="AE75" s="57">
        <v>2.027</v>
      </c>
      <c r="AF75" s="57">
        <v>1.223</v>
      </c>
      <c r="AH75" s="57">
        <v>2.75</v>
      </c>
      <c r="AK75" s="57">
        <v>2.3</v>
      </c>
      <c r="AN75" s="57">
        <v>2.1</v>
      </c>
      <c r="AP75" s="57">
        <v>2.3</v>
      </c>
      <c r="BC75" s="57">
        <v>1.086</v>
      </c>
      <c r="BD75" s="57">
        <v>0.647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  <c r="F82" s="70">
        <v>44645.0</v>
      </c>
      <c r="G82" s="57">
        <v>0.95</v>
      </c>
      <c r="J82" s="57">
        <v>0.775</v>
      </c>
      <c r="M82" s="57">
        <v>0.9</v>
      </c>
      <c r="AE82" s="57">
        <v>2.3</v>
      </c>
      <c r="AF82" s="57">
        <v>1.313</v>
      </c>
      <c r="AH82" s="57">
        <v>2.6</v>
      </c>
      <c r="AK82" s="57">
        <v>2.95</v>
      </c>
      <c r="AN82" s="57">
        <v>3.7</v>
      </c>
      <c r="AQ82" s="57">
        <v>3.2</v>
      </c>
      <c r="AT82" s="57">
        <v>2.4</v>
      </c>
      <c r="BC82" s="57">
        <v>1.356</v>
      </c>
      <c r="BD82" s="57">
        <v>0.781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  <c r="F91" s="70">
        <v>44646.0</v>
      </c>
      <c r="G91" s="57">
        <v>1.15</v>
      </c>
      <c r="J91" s="57">
        <v>1.35</v>
      </c>
      <c r="M91" s="57">
        <v>1.25</v>
      </c>
    </row>
    <row r="92">
      <c r="A92" s="53" t="s">
        <v>107</v>
      </c>
      <c r="B92" s="54" t="s">
        <v>64</v>
      </c>
      <c r="C92" s="55">
        <v>2371.0</v>
      </c>
      <c r="F92" s="70">
        <v>44645.0</v>
      </c>
      <c r="G92" s="57">
        <v>1.3</v>
      </c>
      <c r="J92" s="57">
        <v>1.2</v>
      </c>
      <c r="M92" s="57">
        <v>0.95</v>
      </c>
      <c r="AE92" s="57">
        <v>0.302</v>
      </c>
      <c r="AF92" s="57">
        <v>0.095</v>
      </c>
    </row>
    <row r="93">
      <c r="A93" s="53" t="s">
        <v>108</v>
      </c>
      <c r="B93" s="54" t="s">
        <v>64</v>
      </c>
      <c r="C93" s="55">
        <v>2372.0</v>
      </c>
      <c r="F93" s="70">
        <v>44645.0</v>
      </c>
      <c r="G93" s="57">
        <v>1.65</v>
      </c>
      <c r="J93" s="57">
        <v>1.8</v>
      </c>
      <c r="M93" s="57">
        <v>1.8</v>
      </c>
      <c r="AE93" s="57">
        <v>0.892</v>
      </c>
      <c r="AF93" s="57">
        <v>0.299</v>
      </c>
    </row>
    <row r="94">
      <c r="A94" s="53" t="s">
        <v>110</v>
      </c>
      <c r="B94" s="54" t="s">
        <v>64</v>
      </c>
      <c r="C94" s="55">
        <v>2373.0</v>
      </c>
      <c r="F94" s="70">
        <v>44645.0</v>
      </c>
      <c r="G94" s="57">
        <v>0.95</v>
      </c>
      <c r="J94" s="57">
        <v>1.025</v>
      </c>
      <c r="M94" s="57">
        <v>1.15</v>
      </c>
      <c r="AE94" s="57">
        <v>1.074</v>
      </c>
      <c r="AF94" s="57">
        <v>0.333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  <c r="F107" s="70">
        <v>44645.0</v>
      </c>
      <c r="G107" s="57">
        <v>0.408</v>
      </c>
      <c r="J107" s="57">
        <v>0.482</v>
      </c>
      <c r="M107" s="57">
        <v>0.422</v>
      </c>
      <c r="AE107" s="57">
        <v>1.254</v>
      </c>
      <c r="AF107" s="57">
        <v>0.545</v>
      </c>
      <c r="AH107" s="57">
        <v>2.35</v>
      </c>
      <c r="AK107" s="57">
        <v>2.5</v>
      </c>
      <c r="AN107" s="57">
        <v>2.15</v>
      </c>
      <c r="BC107" s="57">
        <v>0.744</v>
      </c>
      <c r="BD107" s="57">
        <v>0.339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F110" s="70">
        <v>44645.0</v>
      </c>
      <c r="G110" s="57">
        <v>0.936</v>
      </c>
      <c r="J110" s="57">
        <v>0.966</v>
      </c>
      <c r="M110" s="57">
        <v>0.972</v>
      </c>
      <c r="AE110" s="57">
        <v>3.251</v>
      </c>
      <c r="AF110" s="57">
        <v>1.477</v>
      </c>
    </row>
    <row r="111">
      <c r="A111" s="2" t="s">
        <v>117</v>
      </c>
      <c r="B111" s="54" t="s">
        <v>64</v>
      </c>
      <c r="C111" s="60">
        <v>2383.0</v>
      </c>
      <c r="AE111" s="57">
        <v>3.719</v>
      </c>
      <c r="AF111" s="57">
        <v>1.718</v>
      </c>
    </row>
    <row r="112">
      <c r="A112" s="2" t="s">
        <v>117</v>
      </c>
      <c r="B112" s="54" t="s">
        <v>64</v>
      </c>
      <c r="C112" s="57">
        <v>2384.0</v>
      </c>
      <c r="F112" s="70">
        <v>44645.0</v>
      </c>
      <c r="G112" s="57">
        <v>0.828</v>
      </c>
      <c r="J112" s="57">
        <v>0.574</v>
      </c>
      <c r="M112" s="57">
        <v>0.633</v>
      </c>
      <c r="P112" s="57">
        <v>0.682</v>
      </c>
      <c r="AE112" s="57">
        <v>1.287</v>
      </c>
      <c r="AF112" s="57">
        <v>0.59</v>
      </c>
    </row>
    <row r="113">
      <c r="A113" s="57" t="s">
        <v>136</v>
      </c>
      <c r="B113" s="54" t="s">
        <v>64</v>
      </c>
      <c r="C113" s="57">
        <v>2004.0</v>
      </c>
    </row>
    <row r="114">
      <c r="A114" s="57" t="s">
        <v>136</v>
      </c>
      <c r="B114" s="54" t="s">
        <v>64</v>
      </c>
      <c r="C114" s="57">
        <v>2005.0</v>
      </c>
    </row>
    <row r="115">
      <c r="A115" s="57" t="s">
        <v>136</v>
      </c>
      <c r="B115" s="54" t="s">
        <v>64</v>
      </c>
      <c r="C115" s="57">
        <v>2006.0</v>
      </c>
    </row>
    <row r="116">
      <c r="A116" s="57" t="s">
        <v>136</v>
      </c>
      <c r="B116" s="54" t="s">
        <v>64</v>
      </c>
      <c r="C116" s="57">
        <v>2007.0</v>
      </c>
    </row>
    <row r="117">
      <c r="A117" s="57" t="s">
        <v>136</v>
      </c>
      <c r="B117" s="54" t="s">
        <v>139</v>
      </c>
    </row>
    <row r="118">
      <c r="A118" s="57" t="s">
        <v>141</v>
      </c>
      <c r="B118" s="54" t="s">
        <v>144</v>
      </c>
    </row>
    <row r="119">
      <c r="A119" s="57" t="s">
        <v>136</v>
      </c>
      <c r="B119" s="54" t="s">
        <v>144</v>
      </c>
    </row>
    <row r="120">
      <c r="A120" s="57" t="s">
        <v>255</v>
      </c>
      <c r="B120" s="54" t="s">
        <v>58</v>
      </c>
      <c r="C120" s="57">
        <v>2093.0</v>
      </c>
    </row>
    <row r="121">
      <c r="A121" s="57" t="s">
        <v>255</v>
      </c>
      <c r="B121" s="54" t="s">
        <v>58</v>
      </c>
      <c r="C121" s="57">
        <v>2092.0</v>
      </c>
    </row>
    <row r="122">
      <c r="A122" s="57" t="s">
        <v>255</v>
      </c>
      <c r="B122" s="54" t="s">
        <v>58</v>
      </c>
      <c r="C122" s="57">
        <v>2091.0</v>
      </c>
    </row>
    <row r="123">
      <c r="A123" s="57" t="s">
        <v>255</v>
      </c>
      <c r="B123" s="54" t="s">
        <v>149</v>
      </c>
      <c r="C123" s="57">
        <v>2090.0</v>
      </c>
    </row>
    <row r="124">
      <c r="A124" s="57" t="s">
        <v>255</v>
      </c>
      <c r="B124" s="54" t="s">
        <v>58</v>
      </c>
      <c r="C124" s="57">
        <v>2089.0</v>
      </c>
    </row>
    <row r="125">
      <c r="A125" s="57" t="s">
        <v>255</v>
      </c>
      <c r="B125" s="54" t="s">
        <v>64</v>
      </c>
      <c r="C125" s="57">
        <v>2088.0</v>
      </c>
    </row>
    <row r="126">
      <c r="A126" s="57" t="s">
        <v>255</v>
      </c>
      <c r="B126" s="54" t="s">
        <v>64</v>
      </c>
      <c r="C126" s="57">
        <v>2087.0</v>
      </c>
    </row>
    <row r="127">
      <c r="A127" s="57" t="s">
        <v>255</v>
      </c>
      <c r="B127" s="54" t="s">
        <v>64</v>
      </c>
      <c r="C127" s="57">
        <v>2086.0</v>
      </c>
    </row>
    <row r="128">
      <c r="A128" s="57" t="s">
        <v>255</v>
      </c>
      <c r="B128" s="54" t="s">
        <v>64</v>
      </c>
      <c r="C128" s="57">
        <v>2085.0</v>
      </c>
    </row>
    <row r="129">
      <c r="A129" s="57" t="s">
        <v>141</v>
      </c>
      <c r="B129" s="54" t="s">
        <v>64</v>
      </c>
      <c r="C129" s="57">
        <v>2020.0</v>
      </c>
    </row>
    <row r="130">
      <c r="A130" s="57" t="s">
        <v>141</v>
      </c>
      <c r="B130" s="54" t="s">
        <v>64</v>
      </c>
      <c r="C130" s="57">
        <v>2021.0</v>
      </c>
    </row>
    <row r="131">
      <c r="A131" s="57" t="s">
        <v>141</v>
      </c>
      <c r="B131" s="54" t="s">
        <v>58</v>
      </c>
      <c r="C131" s="57">
        <v>2022.0</v>
      </c>
    </row>
    <row r="132">
      <c r="A132" s="57" t="s">
        <v>141</v>
      </c>
      <c r="B132" s="54" t="s">
        <v>58</v>
      </c>
      <c r="C132" s="57">
        <v>2023.0</v>
      </c>
    </row>
    <row r="133">
      <c r="A133" s="57" t="s">
        <v>141</v>
      </c>
      <c r="B133" s="54" t="s">
        <v>64</v>
      </c>
      <c r="C133" s="57">
        <v>2024.0</v>
      </c>
    </row>
    <row r="134">
      <c r="A134" s="57" t="s">
        <v>141</v>
      </c>
      <c r="B134" s="54" t="s">
        <v>64</v>
      </c>
      <c r="C134" s="57">
        <v>2025.0</v>
      </c>
    </row>
    <row r="135">
      <c r="A135" s="57" t="s">
        <v>150</v>
      </c>
      <c r="B135" s="54" t="s">
        <v>64</v>
      </c>
      <c r="C135" s="57">
        <v>2026.0</v>
      </c>
    </row>
    <row r="136">
      <c r="A136" s="57" t="s">
        <v>150</v>
      </c>
      <c r="B136" s="54" t="s">
        <v>64</v>
      </c>
      <c r="C136" s="57">
        <v>2027.0</v>
      </c>
    </row>
    <row r="137">
      <c r="A137" s="57" t="s">
        <v>150</v>
      </c>
      <c r="B137" s="54"/>
      <c r="C137" s="57">
        <v>2028.0</v>
      </c>
    </row>
    <row r="138">
      <c r="A138" s="57" t="s">
        <v>150</v>
      </c>
      <c r="B138" s="54"/>
      <c r="C138" s="57">
        <v>2029.0</v>
      </c>
    </row>
    <row r="139">
      <c r="A139" s="57" t="s">
        <v>150</v>
      </c>
      <c r="B139" s="54"/>
      <c r="C139" s="57">
        <v>2030.0</v>
      </c>
    </row>
    <row r="140">
      <c r="A140" s="57" t="s">
        <v>150</v>
      </c>
      <c r="B140" s="54"/>
      <c r="C140" s="57">
        <v>2031.0</v>
      </c>
    </row>
    <row r="141">
      <c r="A141" s="57" t="s">
        <v>256</v>
      </c>
      <c r="B141" s="54" t="s">
        <v>64</v>
      </c>
      <c r="C141" s="57">
        <v>2012.0</v>
      </c>
    </row>
    <row r="142">
      <c r="A142" s="57" t="s">
        <v>256</v>
      </c>
      <c r="B142" s="54" t="s">
        <v>64</v>
      </c>
      <c r="C142" s="57">
        <v>2013.0</v>
      </c>
    </row>
    <row r="143">
      <c r="A143" s="57" t="s">
        <v>256</v>
      </c>
      <c r="B143" s="54" t="s">
        <v>64</v>
      </c>
      <c r="C143" s="57">
        <v>2014.0</v>
      </c>
    </row>
    <row r="144">
      <c r="A144" s="57" t="s">
        <v>256</v>
      </c>
      <c r="B144" s="54" t="s">
        <v>64</v>
      </c>
      <c r="C144" s="57">
        <v>2015.0</v>
      </c>
    </row>
    <row r="145">
      <c r="A145" s="57" t="s">
        <v>256</v>
      </c>
      <c r="B145" s="54" t="s">
        <v>64</v>
      </c>
      <c r="C145" s="57">
        <v>1478.0</v>
      </c>
    </row>
    <row r="146">
      <c r="A146" s="57" t="s">
        <v>136</v>
      </c>
      <c r="B146" s="54" t="s">
        <v>64</v>
      </c>
      <c r="C146" s="57">
        <v>2009.0</v>
      </c>
      <c r="F146" s="70">
        <v>44645.0</v>
      </c>
      <c r="G146" s="57">
        <v>1.25</v>
      </c>
      <c r="J146" s="57">
        <v>1.1</v>
      </c>
      <c r="M146" s="57">
        <v>1.45</v>
      </c>
      <c r="AE146" s="57">
        <v>3.228</v>
      </c>
      <c r="AF146" s="57">
        <v>1.395</v>
      </c>
      <c r="AH146" s="57">
        <v>2.15</v>
      </c>
      <c r="AK146" s="57">
        <v>1.95</v>
      </c>
      <c r="AN146" s="57">
        <v>1.9</v>
      </c>
      <c r="AQ146" s="57">
        <v>2.25</v>
      </c>
      <c r="BC146" s="57">
        <v>0.608</v>
      </c>
      <c r="BD146" s="57">
        <v>0.285</v>
      </c>
    </row>
    <row r="147">
      <c r="B147" s="3"/>
      <c r="C147" s="57">
        <v>2010.0</v>
      </c>
      <c r="F147" s="70">
        <v>44645.0</v>
      </c>
      <c r="G147" s="57">
        <v>1.65</v>
      </c>
      <c r="J147" s="57">
        <v>1.2</v>
      </c>
      <c r="M147" s="57">
        <v>1.6</v>
      </c>
      <c r="P147" s="57">
        <v>1.5</v>
      </c>
      <c r="AE147" s="57">
        <v>0.426</v>
      </c>
      <c r="AF147" s="57">
        <v>0.129</v>
      </c>
      <c r="BF147" s="57" t="s">
        <v>276</v>
      </c>
    </row>
    <row r="148">
      <c r="B148" s="3"/>
      <c r="BC148" s="57">
        <v>0.665</v>
      </c>
      <c r="BD148" s="57">
        <v>0.193</v>
      </c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</sheetData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2" t="s">
        <v>200</v>
      </c>
      <c r="B1" s="1"/>
      <c r="C1" s="1"/>
    </row>
    <row r="3">
      <c r="A3" s="12" t="s">
        <v>1</v>
      </c>
      <c r="B3" s="38" t="s">
        <v>201</v>
      </c>
      <c r="C3" s="12"/>
    </row>
    <row r="4">
      <c r="A4" s="12" t="s">
        <v>3</v>
      </c>
      <c r="B4" s="73">
        <v>44650.0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203</v>
      </c>
      <c r="H6" s="30" t="s">
        <v>204</v>
      </c>
      <c r="I6" s="30" t="s">
        <v>205</v>
      </c>
      <c r="J6" s="30" t="s">
        <v>206</v>
      </c>
      <c r="K6" s="30" t="s">
        <v>207</v>
      </c>
      <c r="L6" s="30" t="s">
        <v>208</v>
      </c>
      <c r="M6" s="30" t="s">
        <v>209</v>
      </c>
      <c r="N6" s="30" t="s">
        <v>210</v>
      </c>
      <c r="O6" s="30" t="s">
        <v>211</v>
      </c>
      <c r="P6" s="30" t="s">
        <v>212</v>
      </c>
      <c r="Q6" s="30" t="s">
        <v>213</v>
      </c>
      <c r="R6" s="30" t="s">
        <v>214</v>
      </c>
      <c r="S6" s="30" t="s">
        <v>215</v>
      </c>
      <c r="T6" s="30" t="s">
        <v>216</v>
      </c>
      <c r="U6" s="30" t="s">
        <v>217</v>
      </c>
      <c r="V6" s="30" t="s">
        <v>218</v>
      </c>
      <c r="W6" s="30" t="s">
        <v>219</v>
      </c>
      <c r="X6" s="30" t="s">
        <v>220</v>
      </c>
      <c r="Y6" s="30" t="s">
        <v>221</v>
      </c>
      <c r="Z6" s="30" t="s">
        <v>222</v>
      </c>
      <c r="AA6" s="30" t="s">
        <v>223</v>
      </c>
      <c r="AB6" s="30" t="s">
        <v>224</v>
      </c>
      <c r="AC6" s="30" t="s">
        <v>225</v>
      </c>
      <c r="AD6" s="30" t="s">
        <v>226</v>
      </c>
      <c r="AE6" s="30" t="s">
        <v>227</v>
      </c>
      <c r="AF6" s="30" t="s">
        <v>228</v>
      </c>
      <c r="AG6" s="30" t="s">
        <v>229</v>
      </c>
      <c r="AH6" s="30" t="s">
        <v>230</v>
      </c>
      <c r="AI6" s="30" t="s">
        <v>231</v>
      </c>
      <c r="AJ6" s="30" t="s">
        <v>232</v>
      </c>
      <c r="AK6" s="30" t="s">
        <v>233</v>
      </c>
      <c r="AL6" s="30" t="s">
        <v>234</v>
      </c>
      <c r="AM6" s="30" t="s">
        <v>235</v>
      </c>
      <c r="AN6" s="30" t="s">
        <v>236</v>
      </c>
      <c r="AO6" s="30" t="s">
        <v>237</v>
      </c>
      <c r="AP6" s="30" t="s">
        <v>238</v>
      </c>
      <c r="AQ6" s="30" t="s">
        <v>239</v>
      </c>
      <c r="AR6" s="30" t="s">
        <v>240</v>
      </c>
      <c r="AS6" s="30" t="s">
        <v>241</v>
      </c>
      <c r="AT6" s="30" t="s">
        <v>242</v>
      </c>
      <c r="AU6" s="30" t="s">
        <v>243</v>
      </c>
      <c r="AV6" s="30" t="s">
        <v>244</v>
      </c>
      <c r="AW6" s="30" t="s">
        <v>245</v>
      </c>
      <c r="AX6" s="30" t="s">
        <v>246</v>
      </c>
      <c r="AY6" s="30" t="s">
        <v>247</v>
      </c>
      <c r="AZ6" s="30" t="s">
        <v>248</v>
      </c>
      <c r="BA6" s="30" t="s">
        <v>249</v>
      </c>
      <c r="BB6" s="30" t="s">
        <v>250</v>
      </c>
      <c r="BC6" s="30" t="s">
        <v>251</v>
      </c>
      <c r="BD6" s="30" t="s">
        <v>252</v>
      </c>
      <c r="BE6" s="30" t="s">
        <v>253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  <c r="G7" s="57">
        <v>0.69</v>
      </c>
      <c r="H7" s="57">
        <v>0.5258</v>
      </c>
      <c r="J7" s="57">
        <v>1.34</v>
      </c>
      <c r="K7" s="57">
        <v>0.8877</v>
      </c>
      <c r="M7" s="57">
        <v>0.609</v>
      </c>
      <c r="N7" s="57">
        <v>0.6782</v>
      </c>
      <c r="P7" s="57">
        <v>0.52</v>
      </c>
      <c r="AE7" s="57">
        <v>1.373</v>
      </c>
      <c r="AF7" s="57">
        <v>0.882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  <c r="G9" s="57">
        <v>0.748</v>
      </c>
      <c r="H9" s="57">
        <v>2.6446</v>
      </c>
      <c r="J9" s="57">
        <v>0.87</v>
      </c>
      <c r="K9" s="57">
        <v>3.0135</v>
      </c>
      <c r="M9" s="57">
        <v>0.554</v>
      </c>
      <c r="N9" s="57">
        <v>1.3947</v>
      </c>
      <c r="P9" s="57">
        <v>0.89</v>
      </c>
      <c r="S9" s="57">
        <v>1.02</v>
      </c>
      <c r="AE9" s="57">
        <v>1.3441</v>
      </c>
      <c r="AF9" s="57">
        <v>0.669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  <c r="G18" s="57">
        <v>1.214</v>
      </c>
      <c r="H18" s="57">
        <v>1.0328</v>
      </c>
      <c r="J18" s="57">
        <v>0.97</v>
      </c>
      <c r="K18" s="57">
        <v>0.9288</v>
      </c>
      <c r="M18" s="57">
        <v>1.06</v>
      </c>
      <c r="N18" s="57">
        <v>1.2668</v>
      </c>
      <c r="AE18" s="57">
        <v>1.5724</v>
      </c>
      <c r="AF18" s="57">
        <v>0.757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  <c r="H23" s="57">
        <v>0.4321</v>
      </c>
      <c r="K23" s="57">
        <v>1.1874</v>
      </c>
      <c r="N23" s="57">
        <v>0.9958</v>
      </c>
    </row>
    <row r="24">
      <c r="A24" s="12" t="s">
        <v>57</v>
      </c>
      <c r="B24" s="12" t="s">
        <v>64</v>
      </c>
      <c r="C24" s="12">
        <v>2365.0</v>
      </c>
      <c r="G24" s="57">
        <v>1.03</v>
      </c>
      <c r="J24" s="57">
        <v>1.12</v>
      </c>
      <c r="M24" s="57">
        <v>1.16</v>
      </c>
      <c r="AE24" s="57">
        <v>0.8271</v>
      </c>
      <c r="AF24" s="57">
        <v>0.393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G27" s="57">
        <v>1.11</v>
      </c>
      <c r="H27" s="33">
        <f>0.161+1.5393</f>
        <v>1.7003</v>
      </c>
      <c r="J27" s="57">
        <v>1.11</v>
      </c>
      <c r="K27" s="57">
        <v>0.9452</v>
      </c>
      <c r="N27" s="57">
        <v>0.7471</v>
      </c>
      <c r="AE27" s="57">
        <v>1.258</v>
      </c>
      <c r="AF27" s="57">
        <v>0.581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G30" s="57">
        <v>1.21</v>
      </c>
      <c r="H30" s="57">
        <v>0.97</v>
      </c>
      <c r="J30" s="57">
        <v>0.98</v>
      </c>
      <c r="K30" s="57">
        <v>0.482</v>
      </c>
      <c r="M30" s="57">
        <v>0.93</v>
      </c>
      <c r="N30" s="57">
        <v>0.4499</v>
      </c>
      <c r="P30" s="57">
        <v>1.06</v>
      </c>
      <c r="AE30" s="57">
        <v>0.8397</v>
      </c>
      <c r="AF30" s="57">
        <v>0.4</v>
      </c>
    </row>
    <row r="31">
      <c r="A31" s="38" t="s">
        <v>70</v>
      </c>
      <c r="B31" s="38" t="s">
        <v>58</v>
      </c>
      <c r="C31" s="38">
        <v>2376.0</v>
      </c>
      <c r="G31" s="57">
        <v>0.25</v>
      </c>
      <c r="H31" s="57">
        <v>3.3447</v>
      </c>
      <c r="J31" s="57">
        <v>0.35</v>
      </c>
      <c r="K31" s="57">
        <v>0.6154</v>
      </c>
      <c r="M31" s="57">
        <v>0.25</v>
      </c>
      <c r="N31" s="57">
        <v>1.4186</v>
      </c>
      <c r="AE31" s="57">
        <v>2.8144</v>
      </c>
      <c r="AF31" s="57">
        <v>1.725</v>
      </c>
    </row>
    <row r="32">
      <c r="A32" s="38" t="s">
        <v>70</v>
      </c>
      <c r="B32" s="38" t="s">
        <v>58</v>
      </c>
      <c r="C32" s="38">
        <v>2377.0</v>
      </c>
      <c r="G32" s="57">
        <v>0.22</v>
      </c>
      <c r="H32" s="57">
        <v>0.9263</v>
      </c>
      <c r="J32" s="57">
        <v>0.3</v>
      </c>
      <c r="K32" s="57">
        <v>0.6756</v>
      </c>
      <c r="M32" s="57">
        <v>0.21</v>
      </c>
      <c r="N32" s="57">
        <v>1.7253</v>
      </c>
      <c r="AE32" s="33">
        <f>2.259-0.3092</f>
        <v>1.9498</v>
      </c>
      <c r="AF32" s="57">
        <v>1.251</v>
      </c>
    </row>
    <row r="33">
      <c r="A33" s="38" t="s">
        <v>70</v>
      </c>
      <c r="B33" s="38" t="s">
        <v>64</v>
      </c>
      <c r="C33" s="38">
        <v>2378.0</v>
      </c>
      <c r="G33" s="57">
        <v>0.63</v>
      </c>
      <c r="H33" s="57">
        <v>0.9152</v>
      </c>
      <c r="J33" s="57">
        <v>0.55</v>
      </c>
      <c r="K33" s="57">
        <v>1.1207</v>
      </c>
      <c r="M33" s="57">
        <v>0.55</v>
      </c>
      <c r="N33" s="57">
        <v>0.273</v>
      </c>
      <c r="P33" s="57">
        <v>0.61</v>
      </c>
      <c r="AE33" s="57">
        <v>1.4118</v>
      </c>
      <c r="AF33" s="57">
        <v>0.697</v>
      </c>
    </row>
    <row r="34">
      <c r="A34" s="38" t="s">
        <v>70</v>
      </c>
      <c r="B34" s="38" t="s">
        <v>64</v>
      </c>
      <c r="C34" s="38">
        <v>2379.0</v>
      </c>
      <c r="G34" s="57">
        <v>0.6</v>
      </c>
      <c r="H34" s="57">
        <v>0.2175</v>
      </c>
      <c r="J34" s="57">
        <v>0.45</v>
      </c>
      <c r="K34" s="57">
        <v>0.4687</v>
      </c>
      <c r="M34" s="57">
        <v>0.55</v>
      </c>
      <c r="N34" s="57">
        <v>0.5076</v>
      </c>
      <c r="P34" s="57">
        <v>0.4</v>
      </c>
      <c r="S34" s="57">
        <v>0.55</v>
      </c>
      <c r="AE34" s="57">
        <v>1.5152</v>
      </c>
      <c r="AF34" s="57">
        <v>0.756</v>
      </c>
    </row>
    <row r="35">
      <c r="A35" s="38" t="s">
        <v>70</v>
      </c>
      <c r="B35" s="38" t="s">
        <v>58</v>
      </c>
      <c r="C35" s="38">
        <v>2380.0</v>
      </c>
      <c r="G35" s="57">
        <v>0.271</v>
      </c>
      <c r="H35" s="57">
        <v>0.7421</v>
      </c>
      <c r="J35" s="57">
        <v>0.361</v>
      </c>
      <c r="K35" s="57">
        <v>2.6938</v>
      </c>
      <c r="M35" s="57">
        <v>0.241</v>
      </c>
      <c r="N35" s="57">
        <v>2.1783</v>
      </c>
      <c r="P35" s="57">
        <v>0.183</v>
      </c>
      <c r="S35" s="57">
        <v>1.176</v>
      </c>
      <c r="AE35" s="57">
        <v>1.7382</v>
      </c>
      <c r="AF35" s="57">
        <v>1.073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  <c r="G42" s="57">
        <v>0.8</v>
      </c>
      <c r="H42" s="57">
        <v>0.7177</v>
      </c>
      <c r="J42" s="57">
        <v>1.05</v>
      </c>
      <c r="K42" s="57">
        <v>1.4125</v>
      </c>
      <c r="M42" s="57">
        <v>0.87</v>
      </c>
      <c r="N42" s="57">
        <v>0.3604</v>
      </c>
      <c r="AE42" s="57">
        <v>1.1816</v>
      </c>
      <c r="AF42" s="57">
        <v>0.478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  <c r="G46" s="57">
        <v>0.23</v>
      </c>
      <c r="H46" s="57">
        <v>2.1683</v>
      </c>
      <c r="J46" s="57">
        <v>0.215</v>
      </c>
      <c r="K46" s="57">
        <v>2.4947</v>
      </c>
      <c r="N46" s="57">
        <v>1.72</v>
      </c>
      <c r="AE46" s="57">
        <v>0.3836</v>
      </c>
      <c r="AF46" s="57">
        <v>0.232</v>
      </c>
    </row>
    <row r="47">
      <c r="A47" s="12" t="s">
        <v>74</v>
      </c>
      <c r="B47" s="12" t="s">
        <v>64</v>
      </c>
      <c r="C47" s="12">
        <v>2346.0</v>
      </c>
      <c r="G47" s="57">
        <v>1.1</v>
      </c>
      <c r="H47" s="57">
        <v>0.5932</v>
      </c>
      <c r="J47" s="57">
        <v>1.0</v>
      </c>
      <c r="K47" s="57">
        <v>0.2559</v>
      </c>
      <c r="M47" s="57">
        <v>1.1</v>
      </c>
      <c r="N47" s="57">
        <v>0.1828</v>
      </c>
      <c r="AE47" s="57">
        <v>0.3764</v>
      </c>
      <c r="AF47" s="57">
        <v>0.161</v>
      </c>
    </row>
    <row r="48">
      <c r="A48" s="12" t="s">
        <v>74</v>
      </c>
      <c r="B48" s="12" t="s">
        <v>64</v>
      </c>
      <c r="C48" s="12">
        <v>2347.0</v>
      </c>
      <c r="G48" s="57">
        <v>1.177</v>
      </c>
      <c r="H48" s="57">
        <v>1.6727</v>
      </c>
      <c r="J48" s="57">
        <v>1.28</v>
      </c>
      <c r="K48" s="57">
        <v>0.4425</v>
      </c>
      <c r="M48" s="57">
        <v>1.24</v>
      </c>
      <c r="N48" s="57">
        <v>1.1916</v>
      </c>
      <c r="AE48" s="57">
        <v>0.3557</v>
      </c>
      <c r="AF48" s="57">
        <v>0.151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  <c r="G53" s="57">
        <v>1.01</v>
      </c>
      <c r="H53" s="57">
        <v>0.4871</v>
      </c>
      <c r="J53" s="57">
        <v>1.01</v>
      </c>
      <c r="K53" s="57">
        <v>0.4551</v>
      </c>
      <c r="M53" s="57">
        <v>1.2</v>
      </c>
      <c r="N53" s="57">
        <v>0.7933</v>
      </c>
      <c r="AE53" s="57">
        <v>0.5395</v>
      </c>
      <c r="AF53" s="57">
        <v>0.199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  <c r="G75" s="57">
        <v>0.45</v>
      </c>
      <c r="H75" s="57">
        <v>1.5339</v>
      </c>
      <c r="J75" s="57">
        <v>0.3</v>
      </c>
      <c r="K75" s="57">
        <v>2.9236</v>
      </c>
      <c r="M75" s="57">
        <v>0.425</v>
      </c>
      <c r="N75" s="57">
        <v>0.9921</v>
      </c>
      <c r="AE75" s="57">
        <v>1.4611</v>
      </c>
      <c r="AF75" s="57">
        <v>0.903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  <c r="G82" s="57">
        <v>0.35</v>
      </c>
      <c r="H82" s="57">
        <v>1.6583</v>
      </c>
      <c r="J82" s="57">
        <v>0.45</v>
      </c>
      <c r="K82" s="57">
        <v>1.2179</v>
      </c>
      <c r="M82" s="57">
        <v>0.5</v>
      </c>
      <c r="N82" s="57">
        <v>1.4681</v>
      </c>
      <c r="P82" s="57">
        <v>0.55</v>
      </c>
      <c r="S82" s="57">
        <v>0.55</v>
      </c>
      <c r="AE82" s="57">
        <v>1.8827</v>
      </c>
      <c r="AF82" s="57">
        <v>1.119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  <c r="G91" s="57">
        <v>1.13</v>
      </c>
      <c r="H91" s="57">
        <v>0.3183</v>
      </c>
      <c r="J91" s="57">
        <v>1.15</v>
      </c>
      <c r="K91" s="57">
        <v>0.2022</v>
      </c>
      <c r="M91" s="57">
        <v>1.204</v>
      </c>
      <c r="N91" s="57">
        <v>0.5121</v>
      </c>
      <c r="AE91" s="57">
        <v>0.2422</v>
      </c>
      <c r="AF91" s="57">
        <v>0.093</v>
      </c>
    </row>
    <row r="92">
      <c r="A92" s="53" t="s">
        <v>107</v>
      </c>
      <c r="B92" s="54" t="s">
        <v>64</v>
      </c>
      <c r="C92" s="55">
        <v>2371.0</v>
      </c>
      <c r="G92" s="57">
        <v>0.38</v>
      </c>
      <c r="H92" s="57">
        <v>0.8268</v>
      </c>
      <c r="J92" s="57">
        <v>1.1</v>
      </c>
      <c r="K92" s="57">
        <v>0.7536</v>
      </c>
      <c r="M92" s="57">
        <v>1.18</v>
      </c>
      <c r="N92" s="57">
        <v>1.3643</v>
      </c>
      <c r="P92" s="57">
        <v>1.12</v>
      </c>
      <c r="AE92" s="57">
        <v>0.3013</v>
      </c>
      <c r="AF92" s="57">
        <v>0.11</v>
      </c>
    </row>
    <row r="93">
      <c r="A93" s="53" t="s">
        <v>108</v>
      </c>
      <c r="B93" s="54" t="s">
        <v>64</v>
      </c>
      <c r="C93" s="55">
        <v>2372.0</v>
      </c>
      <c r="G93" s="57">
        <v>1.41</v>
      </c>
      <c r="H93" s="57">
        <v>0.7638</v>
      </c>
      <c r="J93" s="57">
        <v>1.19</v>
      </c>
      <c r="K93" s="57">
        <v>0.8885</v>
      </c>
      <c r="M93" s="57">
        <v>1.25</v>
      </c>
      <c r="N93" s="57">
        <v>1.5595</v>
      </c>
      <c r="AE93" s="57">
        <v>0.4522</v>
      </c>
      <c r="AF93" s="57">
        <v>0.167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  <c r="G107" s="57">
        <v>0.42</v>
      </c>
      <c r="J107" s="57">
        <v>0.46</v>
      </c>
      <c r="M107" s="57">
        <v>0.42</v>
      </c>
      <c r="AE107" s="57">
        <v>1.7637</v>
      </c>
      <c r="AF107" s="57">
        <v>0.872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G110" s="57">
        <v>0.32</v>
      </c>
      <c r="J110" s="57">
        <v>0.32</v>
      </c>
      <c r="M110" s="57">
        <v>0.35</v>
      </c>
      <c r="AE110" s="57">
        <v>1.9034</v>
      </c>
      <c r="AF110" s="57">
        <v>0.982</v>
      </c>
    </row>
    <row r="111">
      <c r="A111" s="2" t="s">
        <v>117</v>
      </c>
      <c r="B111" s="54" t="s">
        <v>64</v>
      </c>
      <c r="C111" s="60">
        <v>2383.0</v>
      </c>
      <c r="G111" s="57">
        <v>0.4</v>
      </c>
      <c r="J111" s="57">
        <v>0.46</v>
      </c>
      <c r="M111" s="57">
        <v>0.45</v>
      </c>
      <c r="AE111" s="57">
        <v>2.3087</v>
      </c>
      <c r="AF111" s="57">
        <v>1.16</v>
      </c>
    </row>
    <row r="112">
      <c r="A112" s="2" t="s">
        <v>117</v>
      </c>
      <c r="B112" s="54" t="s">
        <v>64</v>
      </c>
      <c r="C112" s="57">
        <v>2384.0</v>
      </c>
      <c r="G112" s="57">
        <v>1.4</v>
      </c>
      <c r="J112" s="57">
        <v>1.4</v>
      </c>
      <c r="M112" s="57">
        <v>0.4</v>
      </c>
      <c r="P112" s="57">
        <v>0.2</v>
      </c>
      <c r="S112" s="57">
        <v>0.1</v>
      </c>
      <c r="V112" s="57">
        <v>0.4</v>
      </c>
      <c r="Y112" s="57">
        <v>0.4</v>
      </c>
      <c r="AE112" s="57">
        <v>1.2413</v>
      </c>
      <c r="AF112" s="57">
        <v>0.619</v>
      </c>
    </row>
    <row r="113">
      <c r="A113" s="57" t="s">
        <v>136</v>
      </c>
      <c r="B113" s="54" t="s">
        <v>64</v>
      </c>
      <c r="C113" s="57">
        <v>2004.0</v>
      </c>
    </row>
    <row r="114">
      <c r="A114" s="57" t="s">
        <v>136</v>
      </c>
      <c r="B114" s="54" t="s">
        <v>64</v>
      </c>
      <c r="C114" s="57">
        <v>2005.0</v>
      </c>
    </row>
    <row r="115">
      <c r="A115" s="57" t="s">
        <v>136</v>
      </c>
      <c r="B115" s="54" t="s">
        <v>64</v>
      </c>
      <c r="C115" s="57">
        <v>2006.0</v>
      </c>
    </row>
    <row r="116">
      <c r="A116" s="57" t="s">
        <v>136</v>
      </c>
      <c r="B116" s="54" t="s">
        <v>64</v>
      </c>
      <c r="C116" s="57">
        <v>2007.0</v>
      </c>
    </row>
    <row r="117">
      <c r="A117" s="57" t="s">
        <v>136</v>
      </c>
      <c r="B117" s="54" t="s">
        <v>139</v>
      </c>
    </row>
    <row r="118">
      <c r="A118" s="57" t="s">
        <v>141</v>
      </c>
      <c r="B118" s="54" t="s">
        <v>144</v>
      </c>
    </row>
    <row r="119">
      <c r="A119" s="57" t="s">
        <v>136</v>
      </c>
      <c r="B119" s="54" t="s">
        <v>144</v>
      </c>
    </row>
    <row r="120">
      <c r="A120" s="57" t="s">
        <v>255</v>
      </c>
      <c r="B120" s="54" t="s">
        <v>58</v>
      </c>
      <c r="C120" s="57">
        <v>2093.0</v>
      </c>
    </row>
    <row r="121">
      <c r="A121" s="57" t="s">
        <v>255</v>
      </c>
      <c r="B121" s="54" t="s">
        <v>58</v>
      </c>
      <c r="C121" s="57">
        <v>2092.0</v>
      </c>
    </row>
    <row r="122">
      <c r="A122" s="57" t="s">
        <v>255</v>
      </c>
      <c r="B122" s="54" t="s">
        <v>58</v>
      </c>
      <c r="C122" s="57">
        <v>2091.0</v>
      </c>
    </row>
    <row r="123">
      <c r="A123" s="57" t="s">
        <v>255</v>
      </c>
      <c r="B123" s="54" t="s">
        <v>149</v>
      </c>
      <c r="C123" s="57">
        <v>2090.0</v>
      </c>
    </row>
    <row r="124">
      <c r="A124" s="57" t="s">
        <v>255</v>
      </c>
      <c r="B124" s="54" t="s">
        <v>58</v>
      </c>
      <c r="C124" s="57">
        <v>2089.0</v>
      </c>
    </row>
    <row r="125">
      <c r="A125" s="57" t="s">
        <v>255</v>
      </c>
      <c r="B125" s="54" t="s">
        <v>64</v>
      </c>
      <c r="C125" s="57">
        <v>2088.0</v>
      </c>
    </row>
    <row r="126">
      <c r="A126" s="57" t="s">
        <v>255</v>
      </c>
      <c r="B126" s="54" t="s">
        <v>64</v>
      </c>
      <c r="C126" s="57">
        <v>2087.0</v>
      </c>
    </row>
    <row r="127">
      <c r="A127" s="57" t="s">
        <v>255</v>
      </c>
      <c r="B127" s="54" t="s">
        <v>64</v>
      </c>
      <c r="C127" s="57">
        <v>2086.0</v>
      </c>
    </row>
    <row r="128">
      <c r="A128" s="57" t="s">
        <v>255</v>
      </c>
      <c r="B128" s="54" t="s">
        <v>64</v>
      </c>
      <c r="C128" s="57">
        <v>2085.0</v>
      </c>
    </row>
    <row r="129">
      <c r="A129" s="57" t="s">
        <v>141</v>
      </c>
      <c r="B129" s="54" t="s">
        <v>64</v>
      </c>
      <c r="C129" s="57">
        <v>2020.0</v>
      </c>
    </row>
    <row r="130">
      <c r="A130" s="57" t="s">
        <v>141</v>
      </c>
      <c r="B130" s="54" t="s">
        <v>64</v>
      </c>
      <c r="C130" s="57">
        <v>2021.0</v>
      </c>
    </row>
    <row r="131">
      <c r="A131" s="57" t="s">
        <v>141</v>
      </c>
      <c r="B131" s="54" t="s">
        <v>58</v>
      </c>
      <c r="C131" s="57">
        <v>2022.0</v>
      </c>
    </row>
    <row r="132">
      <c r="A132" s="57" t="s">
        <v>141</v>
      </c>
      <c r="B132" s="54" t="s">
        <v>58</v>
      </c>
      <c r="C132" s="57">
        <v>2023.0</v>
      </c>
    </row>
    <row r="133">
      <c r="A133" s="57" t="s">
        <v>141</v>
      </c>
      <c r="B133" s="54" t="s">
        <v>64</v>
      </c>
      <c r="C133" s="57">
        <v>2024.0</v>
      </c>
    </row>
    <row r="134">
      <c r="A134" s="57" t="s">
        <v>141</v>
      </c>
      <c r="B134" s="54" t="s">
        <v>64</v>
      </c>
      <c r="C134" s="57">
        <v>2025.0</v>
      </c>
    </row>
    <row r="135">
      <c r="A135" s="57" t="s">
        <v>150</v>
      </c>
      <c r="B135" s="54" t="s">
        <v>64</v>
      </c>
      <c r="C135" s="57">
        <v>2026.0</v>
      </c>
    </row>
    <row r="136">
      <c r="A136" s="57" t="s">
        <v>150</v>
      </c>
      <c r="B136" s="54" t="s">
        <v>64</v>
      </c>
      <c r="C136" s="57">
        <v>2027.0</v>
      </c>
    </row>
    <row r="137">
      <c r="A137" s="57" t="s">
        <v>150</v>
      </c>
      <c r="B137" s="54"/>
      <c r="C137" s="57">
        <v>2028.0</v>
      </c>
    </row>
    <row r="138">
      <c r="A138" s="57" t="s">
        <v>150</v>
      </c>
      <c r="B138" s="54"/>
      <c r="C138" s="57">
        <v>2029.0</v>
      </c>
    </row>
    <row r="139">
      <c r="A139" s="57" t="s">
        <v>150</v>
      </c>
      <c r="B139" s="54"/>
      <c r="C139" s="57">
        <v>2030.0</v>
      </c>
    </row>
    <row r="140">
      <c r="A140" s="57" t="s">
        <v>150</v>
      </c>
      <c r="B140" s="54"/>
      <c r="C140" s="57">
        <v>2031.0</v>
      </c>
    </row>
    <row r="141">
      <c r="A141" s="57" t="s">
        <v>256</v>
      </c>
      <c r="B141" s="54" t="s">
        <v>64</v>
      </c>
      <c r="C141" s="57">
        <v>2012.0</v>
      </c>
    </row>
    <row r="142">
      <c r="A142" s="57" t="s">
        <v>256</v>
      </c>
      <c r="B142" s="54" t="s">
        <v>64</v>
      </c>
      <c r="C142" s="57">
        <v>2013.0</v>
      </c>
    </row>
    <row r="143">
      <c r="A143" s="57" t="s">
        <v>256</v>
      </c>
      <c r="B143" s="54" t="s">
        <v>64</v>
      </c>
      <c r="C143" s="57">
        <v>2014.0</v>
      </c>
    </row>
    <row r="144">
      <c r="A144" s="57" t="s">
        <v>256</v>
      </c>
      <c r="B144" s="54" t="s">
        <v>64</v>
      </c>
      <c r="C144" s="57">
        <v>2015.0</v>
      </c>
    </row>
    <row r="145">
      <c r="A145" s="57" t="s">
        <v>256</v>
      </c>
      <c r="B145" s="54" t="s">
        <v>64</v>
      </c>
      <c r="C145" s="57">
        <v>1478.0</v>
      </c>
    </row>
    <row r="146">
      <c r="B146" s="54" t="s">
        <v>64</v>
      </c>
      <c r="C146" s="57">
        <v>2010.0</v>
      </c>
      <c r="G146" s="57">
        <v>0.518</v>
      </c>
      <c r="J146" s="57">
        <v>0.479</v>
      </c>
      <c r="M146" s="57">
        <v>0.516</v>
      </c>
      <c r="AE146" s="57">
        <v>1.3442</v>
      </c>
      <c r="AF146" s="57">
        <v>0.643</v>
      </c>
    </row>
    <row r="147">
      <c r="B147" s="54" t="s">
        <v>64</v>
      </c>
      <c r="C147" s="57">
        <v>2009.0</v>
      </c>
      <c r="G147" s="57">
        <v>1.18</v>
      </c>
      <c r="H147" s="57">
        <v>0.7187</v>
      </c>
      <c r="J147" s="57">
        <v>1.12</v>
      </c>
      <c r="K147" s="57">
        <v>0.9085</v>
      </c>
      <c r="M147" s="57">
        <v>1.07</v>
      </c>
      <c r="N147" s="75">
        <v>12544.0</v>
      </c>
      <c r="AE147" s="57">
        <v>0.3815</v>
      </c>
      <c r="AF147" s="57">
        <v>0.161</v>
      </c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2" t="s">
        <v>200</v>
      </c>
      <c r="B1" s="1"/>
      <c r="C1" s="1"/>
    </row>
    <row r="3">
      <c r="A3" s="12" t="s">
        <v>1</v>
      </c>
      <c r="B3" s="38" t="s">
        <v>201</v>
      </c>
      <c r="C3" s="12"/>
    </row>
    <row r="4">
      <c r="A4" s="12" t="s">
        <v>3</v>
      </c>
      <c r="B4" s="73">
        <v>44655.0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203</v>
      </c>
      <c r="H6" s="30" t="s">
        <v>204</v>
      </c>
      <c r="I6" s="30" t="s">
        <v>205</v>
      </c>
      <c r="J6" s="30" t="s">
        <v>206</v>
      </c>
      <c r="K6" s="30" t="s">
        <v>207</v>
      </c>
      <c r="L6" s="30" t="s">
        <v>208</v>
      </c>
      <c r="M6" s="30" t="s">
        <v>209</v>
      </c>
      <c r="N6" s="30" t="s">
        <v>210</v>
      </c>
      <c r="O6" s="30" t="s">
        <v>211</v>
      </c>
      <c r="P6" s="30" t="s">
        <v>212</v>
      </c>
      <c r="Q6" s="30" t="s">
        <v>213</v>
      </c>
      <c r="R6" s="30" t="s">
        <v>214</v>
      </c>
      <c r="S6" s="30" t="s">
        <v>215</v>
      </c>
      <c r="T6" s="30" t="s">
        <v>216</v>
      </c>
      <c r="U6" s="30" t="s">
        <v>217</v>
      </c>
      <c r="V6" s="30" t="s">
        <v>218</v>
      </c>
      <c r="W6" s="30" t="s">
        <v>219</v>
      </c>
      <c r="X6" s="30" t="s">
        <v>220</v>
      </c>
      <c r="Y6" s="30" t="s">
        <v>221</v>
      </c>
      <c r="Z6" s="30" t="s">
        <v>222</v>
      </c>
      <c r="AA6" s="30" t="s">
        <v>223</v>
      </c>
      <c r="AB6" s="30" t="s">
        <v>224</v>
      </c>
      <c r="AC6" s="30" t="s">
        <v>225</v>
      </c>
      <c r="AD6" s="30" t="s">
        <v>226</v>
      </c>
      <c r="AE6" s="30" t="s">
        <v>227</v>
      </c>
      <c r="AF6" s="30" t="s">
        <v>228</v>
      </c>
      <c r="AG6" s="30" t="s">
        <v>229</v>
      </c>
      <c r="AH6" s="30" t="s">
        <v>230</v>
      </c>
      <c r="AI6" s="30" t="s">
        <v>231</v>
      </c>
      <c r="AJ6" s="30" t="s">
        <v>232</v>
      </c>
      <c r="AK6" s="30" t="s">
        <v>233</v>
      </c>
      <c r="AL6" s="30" t="s">
        <v>234</v>
      </c>
      <c r="AM6" s="30" t="s">
        <v>235</v>
      </c>
      <c r="AN6" s="30" t="s">
        <v>236</v>
      </c>
      <c r="AO6" s="30" t="s">
        <v>237</v>
      </c>
      <c r="AP6" s="30" t="s">
        <v>238</v>
      </c>
      <c r="AQ6" s="30" t="s">
        <v>239</v>
      </c>
      <c r="AR6" s="30" t="s">
        <v>240</v>
      </c>
      <c r="AS6" s="30" t="s">
        <v>241</v>
      </c>
      <c r="AT6" s="30" t="s">
        <v>242</v>
      </c>
      <c r="AU6" s="30" t="s">
        <v>243</v>
      </c>
      <c r="AV6" s="30" t="s">
        <v>244</v>
      </c>
      <c r="AW6" s="30" t="s">
        <v>245</v>
      </c>
      <c r="AX6" s="30" t="s">
        <v>246</v>
      </c>
      <c r="AY6" s="30" t="s">
        <v>247</v>
      </c>
      <c r="AZ6" s="30" t="s">
        <v>248</v>
      </c>
      <c r="BA6" s="30" t="s">
        <v>249</v>
      </c>
      <c r="BB6" s="30" t="s">
        <v>250</v>
      </c>
      <c r="BC6" s="30" t="s">
        <v>251</v>
      </c>
      <c r="BD6" s="30" t="s">
        <v>252</v>
      </c>
      <c r="BE6" s="30" t="s">
        <v>253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</row>
    <row r="31">
      <c r="A31" s="38" t="s">
        <v>70</v>
      </c>
      <c r="B31" s="38" t="s">
        <v>58</v>
      </c>
      <c r="C31" s="38">
        <v>2376.0</v>
      </c>
    </row>
    <row r="32">
      <c r="A32" s="38" t="s">
        <v>70</v>
      </c>
      <c r="B32" s="38" t="s">
        <v>58</v>
      </c>
      <c r="C32" s="38">
        <v>2377.0</v>
      </c>
    </row>
    <row r="33">
      <c r="A33" s="38" t="s">
        <v>70</v>
      </c>
      <c r="B33" s="38" t="s">
        <v>64</v>
      </c>
      <c r="C33" s="38">
        <v>2378.0</v>
      </c>
    </row>
    <row r="34">
      <c r="A34" s="38" t="s">
        <v>70</v>
      </c>
      <c r="B34" s="38" t="s">
        <v>64</v>
      </c>
      <c r="C34" s="38">
        <v>2379.0</v>
      </c>
    </row>
    <row r="35">
      <c r="A35" s="38" t="s">
        <v>70</v>
      </c>
      <c r="B35" s="38" t="s">
        <v>58</v>
      </c>
      <c r="C35" s="38">
        <v>2380.0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  <c r="G46" s="57">
        <v>1.708</v>
      </c>
    </row>
    <row r="47">
      <c r="A47" s="12" t="s">
        <v>74</v>
      </c>
      <c r="B47" s="12" t="s">
        <v>64</v>
      </c>
      <c r="C47" s="12">
        <v>2346.0</v>
      </c>
    </row>
    <row r="48">
      <c r="A48" s="12" t="s">
        <v>74</v>
      </c>
      <c r="B48" s="12" t="s">
        <v>64</v>
      </c>
      <c r="C48" s="12">
        <v>2347.0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  <c r="G82" s="57">
        <v>3.043</v>
      </c>
      <c r="J82" s="57">
        <v>1.746</v>
      </c>
      <c r="M82" s="57">
        <v>1.963</v>
      </c>
      <c r="AI82" s="57">
        <v>0.1448</v>
      </c>
      <c r="AJ82" s="57">
        <v>0.0841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</row>
    <row r="92">
      <c r="A92" s="53" t="s">
        <v>107</v>
      </c>
      <c r="B92" s="54" t="s">
        <v>64</v>
      </c>
      <c r="C92" s="55">
        <v>2371.0</v>
      </c>
    </row>
    <row r="93">
      <c r="A93" s="53" t="s">
        <v>108</v>
      </c>
      <c r="B93" s="54" t="s">
        <v>64</v>
      </c>
      <c r="C93" s="55">
        <v>2372.0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</row>
    <row r="111">
      <c r="A111" s="2" t="s">
        <v>117</v>
      </c>
      <c r="B111" s="54" t="s">
        <v>64</v>
      </c>
      <c r="C111" s="60">
        <v>2383.0</v>
      </c>
    </row>
    <row r="112">
      <c r="A112" s="2" t="s">
        <v>117</v>
      </c>
      <c r="B112" s="54" t="s">
        <v>64</v>
      </c>
      <c r="C112" s="57">
        <v>2384.0</v>
      </c>
    </row>
    <row r="113">
      <c r="A113" s="57"/>
      <c r="B113" s="54" t="s">
        <v>64</v>
      </c>
      <c r="C113" s="57">
        <v>2385.0</v>
      </c>
      <c r="G113" s="57"/>
      <c r="J113" s="57"/>
      <c r="M113" s="57"/>
      <c r="P113" s="57"/>
      <c r="AE113" s="57"/>
      <c r="AF113" s="57"/>
      <c r="AH113" s="57"/>
      <c r="AI113" s="57">
        <v>0.1238</v>
      </c>
      <c r="AJ113" s="57">
        <v>0.049</v>
      </c>
      <c r="AK113" s="57"/>
      <c r="AL113" s="57">
        <v>0.1067</v>
      </c>
      <c r="AM113" s="57">
        <v>0.043</v>
      </c>
      <c r="AN113" s="57"/>
      <c r="AO113" s="57">
        <v>0.102</v>
      </c>
      <c r="AP113" s="57">
        <v>0.041</v>
      </c>
    </row>
    <row r="114">
      <c r="A114" s="57" t="s">
        <v>136</v>
      </c>
      <c r="B114" s="54" t="s">
        <v>64</v>
      </c>
      <c r="C114" s="57">
        <v>2004.0</v>
      </c>
      <c r="G114" s="57">
        <v>0.405</v>
      </c>
      <c r="J114" s="57">
        <v>0.284</v>
      </c>
      <c r="M114" s="57">
        <v>0.393</v>
      </c>
      <c r="P114" s="57">
        <v>0.475</v>
      </c>
      <c r="AE114" s="57">
        <v>3.1083</v>
      </c>
      <c r="AF114" s="57">
        <v>1.5441</v>
      </c>
      <c r="AH114" s="57">
        <v>2.4</v>
      </c>
      <c r="AI114" s="57">
        <v>0.4669</v>
      </c>
      <c r="AJ114" s="57">
        <v>0.2606</v>
      </c>
      <c r="AK114" s="57">
        <v>2.35</v>
      </c>
      <c r="AL114" s="57">
        <v>0.5966</v>
      </c>
      <c r="AM114" s="57">
        <v>0.327</v>
      </c>
      <c r="AN114" s="57">
        <v>2.4</v>
      </c>
      <c r="AO114" s="57">
        <v>0.2353</v>
      </c>
      <c r="AP114" s="57">
        <v>0.1331</v>
      </c>
    </row>
    <row r="115">
      <c r="A115" s="57" t="s">
        <v>136</v>
      </c>
      <c r="B115" s="54" t="s">
        <v>64</v>
      </c>
      <c r="C115" s="57">
        <v>2005.0</v>
      </c>
      <c r="G115" s="57">
        <v>0.428</v>
      </c>
      <c r="J115" s="57">
        <v>0.431</v>
      </c>
      <c r="AE115" s="57">
        <v>1.7037</v>
      </c>
      <c r="AF115" s="57">
        <v>0.8365</v>
      </c>
      <c r="AH115" s="57">
        <v>2.1</v>
      </c>
      <c r="AI115" s="57">
        <v>0.2038</v>
      </c>
      <c r="AJ115" s="57">
        <v>0.1104</v>
      </c>
      <c r="AK115" s="57">
        <v>2.15</v>
      </c>
      <c r="AL115" s="57">
        <v>0.2554</v>
      </c>
      <c r="AM115" s="57">
        <v>0.1379</v>
      </c>
      <c r="AN115" s="57">
        <v>2.15</v>
      </c>
      <c r="AO115" s="57">
        <v>0.3162</v>
      </c>
      <c r="AP115" s="57">
        <v>0.17</v>
      </c>
    </row>
    <row r="116">
      <c r="A116" s="57" t="s">
        <v>136</v>
      </c>
      <c r="B116" s="54" t="s">
        <v>64</v>
      </c>
      <c r="C116" s="57">
        <v>2006.0</v>
      </c>
      <c r="G116" s="57">
        <v>0.509</v>
      </c>
      <c r="J116" s="57">
        <v>0.592</v>
      </c>
      <c r="M116" s="57">
        <v>0.521</v>
      </c>
      <c r="AE116" s="57">
        <v>3.7179</v>
      </c>
      <c r="AF116" s="57">
        <v>1.9004</v>
      </c>
      <c r="AH116" s="57">
        <v>2.1</v>
      </c>
      <c r="AI116" s="57">
        <v>0.1726</v>
      </c>
      <c r="AJ116" s="57">
        <v>0.095</v>
      </c>
      <c r="AK116" s="57">
        <v>2.1</v>
      </c>
      <c r="AL116" s="57">
        <v>0.16</v>
      </c>
      <c r="AM116" s="57">
        <v>0.088</v>
      </c>
      <c r="AN116" s="57">
        <v>2.2</v>
      </c>
      <c r="AO116" s="57">
        <v>0.1238</v>
      </c>
      <c r="AP116" s="57">
        <v>0.068</v>
      </c>
    </row>
    <row r="117">
      <c r="A117" s="57" t="s">
        <v>136</v>
      </c>
      <c r="B117" s="54" t="s">
        <v>64</v>
      </c>
      <c r="C117" s="57">
        <v>2007.0</v>
      </c>
      <c r="G117" s="57">
        <v>0.4</v>
      </c>
      <c r="J117" s="57">
        <v>0.271</v>
      </c>
      <c r="M117" s="57">
        <v>0.376</v>
      </c>
      <c r="P117" s="57">
        <v>0.42</v>
      </c>
      <c r="AE117" s="57">
        <v>2.8554</v>
      </c>
      <c r="AF117" s="57">
        <v>1.5258</v>
      </c>
      <c r="AH117" s="57">
        <v>2.1</v>
      </c>
      <c r="AI117" s="57">
        <v>0.3206</v>
      </c>
      <c r="AJ117" s="57">
        <v>0.183</v>
      </c>
      <c r="AK117" s="57">
        <v>2.1</v>
      </c>
      <c r="AL117" s="57">
        <v>0.2356</v>
      </c>
      <c r="AM117" s="57">
        <v>0.131</v>
      </c>
    </row>
    <row r="118">
      <c r="A118" s="57" t="s">
        <v>254</v>
      </c>
      <c r="B118" s="54" t="s">
        <v>139</v>
      </c>
      <c r="G118" s="57">
        <v>0.088</v>
      </c>
      <c r="J118" s="57">
        <v>0.09</v>
      </c>
      <c r="M118" s="57">
        <v>0.091</v>
      </c>
      <c r="P118" s="57">
        <v>0.18</v>
      </c>
      <c r="S118" s="57">
        <v>0.6</v>
      </c>
      <c r="V118" s="57"/>
      <c r="Y118" s="57"/>
      <c r="AE118" s="57">
        <v>1.6631</v>
      </c>
      <c r="AF118" s="57">
        <v>0.6341</v>
      </c>
    </row>
    <row r="119">
      <c r="A119" s="57" t="s">
        <v>141</v>
      </c>
      <c r="B119" s="54" t="s">
        <v>139</v>
      </c>
      <c r="G119" s="57">
        <v>0.904</v>
      </c>
      <c r="J119" s="57">
        <v>0.8</v>
      </c>
      <c r="M119" s="57">
        <v>0.944</v>
      </c>
      <c r="P119" s="57">
        <v>0.82</v>
      </c>
      <c r="S119" s="57">
        <v>0.826</v>
      </c>
      <c r="V119" s="57">
        <v>0.831</v>
      </c>
      <c r="Y119" s="57">
        <v>0.862</v>
      </c>
    </row>
    <row r="120">
      <c r="A120" s="57" t="s">
        <v>136</v>
      </c>
      <c r="B120" s="54" t="s">
        <v>139</v>
      </c>
      <c r="AH120" s="57">
        <v>1.45</v>
      </c>
      <c r="AI120" s="57">
        <v>0.2033</v>
      </c>
      <c r="AK120" s="57">
        <v>1.45</v>
      </c>
      <c r="BC120" s="57">
        <v>0.0946</v>
      </c>
      <c r="BD120" s="57">
        <v>0.044</v>
      </c>
    </row>
    <row r="121">
      <c r="A121" s="57" t="s">
        <v>254</v>
      </c>
      <c r="B121" s="54" t="s">
        <v>144</v>
      </c>
      <c r="G121" s="57">
        <v>0.584</v>
      </c>
      <c r="J121" s="57">
        <v>0.443</v>
      </c>
      <c r="M121" s="57">
        <v>0.716</v>
      </c>
      <c r="P121" s="57">
        <v>0.992</v>
      </c>
      <c r="S121" s="57">
        <v>0.445</v>
      </c>
      <c r="V121" s="57"/>
      <c r="Y121" s="57"/>
      <c r="AB121" s="57"/>
    </row>
    <row r="122">
      <c r="A122" s="57" t="s">
        <v>141</v>
      </c>
      <c r="B122" s="54" t="s">
        <v>144</v>
      </c>
      <c r="G122" s="57">
        <v>0.383</v>
      </c>
      <c r="J122" s="57">
        <v>0.592</v>
      </c>
      <c r="M122" s="57">
        <v>0.571</v>
      </c>
      <c r="P122" s="57">
        <v>0.65</v>
      </c>
      <c r="S122" s="57">
        <v>0.62</v>
      </c>
      <c r="V122" s="57">
        <v>0.718</v>
      </c>
      <c r="Y122" s="57">
        <v>0.428</v>
      </c>
      <c r="AB122" s="57">
        <v>0.608</v>
      </c>
    </row>
    <row r="123">
      <c r="A123" s="57" t="s">
        <v>136</v>
      </c>
      <c r="B123" s="54" t="s">
        <v>144</v>
      </c>
      <c r="G123" s="57">
        <v>0.108</v>
      </c>
      <c r="J123" s="57">
        <v>0.325</v>
      </c>
      <c r="M123" s="57">
        <v>0.448</v>
      </c>
      <c r="P123" s="57">
        <v>0.582</v>
      </c>
      <c r="S123" s="57">
        <v>0.742</v>
      </c>
      <c r="V123" s="57">
        <v>0.568</v>
      </c>
      <c r="Y123" s="57">
        <v>0.248</v>
      </c>
      <c r="AB123" s="57">
        <v>0.343</v>
      </c>
      <c r="AI123" s="57">
        <v>0.4942</v>
      </c>
      <c r="AJ123" s="57">
        <v>0.192</v>
      </c>
      <c r="AL123" s="57">
        <v>0.3831</v>
      </c>
      <c r="AM123" s="57">
        <v>0.143</v>
      </c>
      <c r="AO123" s="57">
        <v>0.4603</v>
      </c>
      <c r="AP123" s="57">
        <v>0.183</v>
      </c>
      <c r="AR123" s="57">
        <v>0.509</v>
      </c>
      <c r="AS123" s="57">
        <v>0.202</v>
      </c>
      <c r="AU123" s="57">
        <v>0.4314</v>
      </c>
      <c r="AV123" s="57">
        <v>0.178</v>
      </c>
      <c r="AX123" s="57">
        <v>0.495</v>
      </c>
      <c r="AY123" s="57">
        <v>0.202</v>
      </c>
      <c r="BA123" s="57">
        <v>0.3649</v>
      </c>
      <c r="BB123" s="57">
        <v>0.118</v>
      </c>
    </row>
    <row r="124">
      <c r="A124" s="57" t="s">
        <v>255</v>
      </c>
      <c r="B124" s="54" t="s">
        <v>58</v>
      </c>
      <c r="C124" s="57">
        <v>2093.0</v>
      </c>
      <c r="G124" s="57">
        <v>0.196</v>
      </c>
      <c r="J124" s="57">
        <v>0.111</v>
      </c>
      <c r="M124" s="57">
        <v>0.15</v>
      </c>
      <c r="P124" s="57">
        <v>0.16</v>
      </c>
      <c r="AE124" s="57">
        <v>2.9691</v>
      </c>
      <c r="AF124" s="57">
        <v>1.8387</v>
      </c>
      <c r="AI124" s="57">
        <v>0.2072</v>
      </c>
      <c r="AJ124" s="57">
        <v>0.131</v>
      </c>
      <c r="AL124" s="57">
        <v>0.2947</v>
      </c>
      <c r="AM124" s="57">
        <v>0.189</v>
      </c>
      <c r="AO124" s="57">
        <v>0.2476</v>
      </c>
      <c r="AP124" s="57">
        <v>0.1572</v>
      </c>
    </row>
    <row r="125">
      <c r="A125" s="57" t="s">
        <v>255</v>
      </c>
      <c r="B125" s="54" t="s">
        <v>58</v>
      </c>
      <c r="C125" s="57">
        <v>2092.0</v>
      </c>
      <c r="G125" s="57">
        <v>0.108</v>
      </c>
      <c r="J125" s="57">
        <v>0.114</v>
      </c>
      <c r="M125" s="57">
        <v>0.106</v>
      </c>
      <c r="AE125" s="57">
        <v>3.1573</v>
      </c>
      <c r="AF125" s="57">
        <v>1.9078</v>
      </c>
      <c r="AI125" s="57">
        <v>0.2563</v>
      </c>
      <c r="AJ125" s="57">
        <v>0.1598</v>
      </c>
      <c r="AL125" s="57">
        <v>0.2228</v>
      </c>
      <c r="AM125" s="57">
        <v>0.1357</v>
      </c>
      <c r="AO125" s="57">
        <v>0.2347</v>
      </c>
      <c r="AP125" s="57">
        <v>0.1475</v>
      </c>
    </row>
    <row r="126">
      <c r="A126" s="57" t="s">
        <v>255</v>
      </c>
      <c r="B126" s="54" t="s">
        <v>58</v>
      </c>
      <c r="C126" s="57">
        <v>2091.0</v>
      </c>
      <c r="G126" s="57">
        <v>0.105</v>
      </c>
      <c r="J126" s="57">
        <v>0.15</v>
      </c>
      <c r="M126" s="57">
        <v>0.128</v>
      </c>
      <c r="P126" s="57">
        <v>0.133</v>
      </c>
      <c r="AE126" s="57">
        <v>2.7202</v>
      </c>
      <c r="AF126" s="57">
        <v>1.661</v>
      </c>
      <c r="AI126" s="57">
        <v>0.1581</v>
      </c>
      <c r="AJ126" s="57">
        <v>0.0977</v>
      </c>
      <c r="AL126" s="57">
        <v>0.3005</v>
      </c>
      <c r="AM126" s="57">
        <v>0.1922</v>
      </c>
      <c r="AO126" s="57">
        <v>0.2013</v>
      </c>
      <c r="AP126" s="57">
        <v>0.128</v>
      </c>
      <c r="AR126" s="57">
        <v>0.1564</v>
      </c>
      <c r="AS126" s="57">
        <v>0.0969</v>
      </c>
    </row>
    <row r="127">
      <c r="A127" s="57" t="s">
        <v>255</v>
      </c>
      <c r="B127" s="54" t="s">
        <v>149</v>
      </c>
      <c r="C127" s="57">
        <v>2090.0</v>
      </c>
      <c r="G127" s="57">
        <v>0.956</v>
      </c>
      <c r="J127" s="57">
        <v>0.816</v>
      </c>
      <c r="M127" s="57">
        <v>0.852</v>
      </c>
      <c r="AE127" s="57">
        <v>3.8915</v>
      </c>
      <c r="AF127" s="57">
        <v>1.5882</v>
      </c>
      <c r="AI127" s="57">
        <v>0.245</v>
      </c>
      <c r="AJ127" s="57">
        <v>0.1151</v>
      </c>
      <c r="AL127" s="57">
        <v>0.1749</v>
      </c>
      <c r="AM127" s="57">
        <v>0.0802</v>
      </c>
      <c r="AO127" s="57">
        <v>0.1308</v>
      </c>
      <c r="AP127" s="57">
        <v>0.0548</v>
      </c>
    </row>
    <row r="128">
      <c r="A128" s="57" t="s">
        <v>255</v>
      </c>
      <c r="B128" s="54" t="s">
        <v>58</v>
      </c>
      <c r="C128" s="57">
        <v>2089.0</v>
      </c>
      <c r="G128" s="57">
        <v>0.271</v>
      </c>
      <c r="J128" s="57">
        <v>0.25</v>
      </c>
      <c r="M128" s="57">
        <v>0.15</v>
      </c>
      <c r="P128" s="57">
        <v>0.27</v>
      </c>
      <c r="S128" s="57">
        <v>0.16</v>
      </c>
      <c r="AE128" s="57">
        <v>3.1378</v>
      </c>
      <c r="AF128" s="57">
        <v>1.8996</v>
      </c>
      <c r="AI128" s="57">
        <v>0.3085</v>
      </c>
      <c r="AJ128" s="57">
        <v>0.2047</v>
      </c>
      <c r="AL128" s="57">
        <v>0.296</v>
      </c>
      <c r="AM128" s="57">
        <v>0.1837</v>
      </c>
      <c r="AO128" s="57">
        <v>0.2918</v>
      </c>
      <c r="AP128" s="57">
        <v>0.1853</v>
      </c>
      <c r="AR128" s="57">
        <v>0.3522</v>
      </c>
      <c r="AS128" s="57">
        <v>0.2239</v>
      </c>
    </row>
    <row r="129">
      <c r="A129" s="57" t="s">
        <v>255</v>
      </c>
      <c r="B129" s="54" t="s">
        <v>64</v>
      </c>
      <c r="C129" s="57">
        <v>2088.0</v>
      </c>
      <c r="G129" s="57">
        <v>0.194</v>
      </c>
      <c r="J129" s="57">
        <v>0.208</v>
      </c>
      <c r="M129" s="57">
        <v>0.219</v>
      </c>
      <c r="P129" s="57">
        <v>0.183</v>
      </c>
      <c r="AI129" s="57">
        <v>0.1174</v>
      </c>
      <c r="AJ129" s="57">
        <v>0.055</v>
      </c>
      <c r="AL129" s="57">
        <v>0.1172</v>
      </c>
      <c r="AM129" s="57">
        <v>0.057</v>
      </c>
      <c r="AO129" s="57">
        <v>0.0981</v>
      </c>
      <c r="AP129" s="57">
        <v>0.044</v>
      </c>
    </row>
    <row r="130">
      <c r="A130" s="57" t="s">
        <v>255</v>
      </c>
      <c r="B130" s="54" t="s">
        <v>64</v>
      </c>
      <c r="C130" s="57">
        <v>2087.0</v>
      </c>
      <c r="G130" s="57">
        <v>0.598</v>
      </c>
      <c r="J130" s="57">
        <v>0.74</v>
      </c>
      <c r="M130" s="57">
        <v>0.513</v>
      </c>
      <c r="AE130" s="57">
        <v>0.5595</v>
      </c>
      <c r="AF130" s="57">
        <v>0.1986</v>
      </c>
      <c r="AI130" s="57">
        <v>0.1126</v>
      </c>
      <c r="AJ130" s="57">
        <v>0.048</v>
      </c>
      <c r="AL130" s="57">
        <v>0.093</v>
      </c>
      <c r="AM130" s="57">
        <v>0.037</v>
      </c>
      <c r="AO130" s="57">
        <v>0.2112</v>
      </c>
      <c r="AP130" s="57">
        <v>0.091</v>
      </c>
    </row>
    <row r="131">
      <c r="A131" s="57" t="s">
        <v>255</v>
      </c>
      <c r="B131" s="54" t="s">
        <v>64</v>
      </c>
      <c r="C131" s="57">
        <v>2086.0</v>
      </c>
      <c r="G131" s="57">
        <v>0.888</v>
      </c>
      <c r="J131" s="57">
        <v>0.625</v>
      </c>
      <c r="M131" s="57">
        <v>0.756</v>
      </c>
      <c r="AE131" s="57">
        <v>0.7398</v>
      </c>
      <c r="AF131" s="57">
        <v>0.262</v>
      </c>
      <c r="AH131" s="57">
        <v>1.4</v>
      </c>
      <c r="AI131" s="57">
        <v>0.1492</v>
      </c>
      <c r="AJ131" s="57">
        <v>0.058</v>
      </c>
      <c r="AK131" s="57">
        <v>0.8</v>
      </c>
      <c r="AL131" s="57">
        <v>0.1407</v>
      </c>
      <c r="AM131" s="57">
        <v>0.052</v>
      </c>
      <c r="AN131" s="57">
        <v>0.75</v>
      </c>
      <c r="AO131" s="57">
        <v>0.105</v>
      </c>
      <c r="AP131" s="57">
        <v>0.038</v>
      </c>
      <c r="AQ131" s="57">
        <v>0.5</v>
      </c>
      <c r="AR131" s="57">
        <v>0.1181</v>
      </c>
      <c r="AS131" s="57">
        <v>0.044</v>
      </c>
    </row>
    <row r="132">
      <c r="A132" s="57" t="s">
        <v>255</v>
      </c>
      <c r="B132" s="54" t="s">
        <v>64</v>
      </c>
      <c r="C132" s="57">
        <v>2085.0</v>
      </c>
      <c r="G132" s="57">
        <v>0.418</v>
      </c>
      <c r="J132" s="57">
        <v>0.605</v>
      </c>
      <c r="M132" s="57">
        <v>0.531</v>
      </c>
      <c r="AE132" s="57">
        <v>2.5739</v>
      </c>
      <c r="AF132" s="57">
        <v>0.9706</v>
      </c>
    </row>
    <row r="133">
      <c r="A133" s="57" t="s">
        <v>141</v>
      </c>
      <c r="B133" s="54" t="s">
        <v>64</v>
      </c>
      <c r="C133" s="57">
        <v>2020.0</v>
      </c>
      <c r="G133" s="57">
        <v>0.415</v>
      </c>
      <c r="J133" s="57">
        <v>0.487</v>
      </c>
      <c r="M133" s="57">
        <v>0.998</v>
      </c>
      <c r="P133" s="57">
        <v>0.845</v>
      </c>
      <c r="AE133" s="57">
        <v>0.6568</v>
      </c>
      <c r="AF133" s="57">
        <v>0.3191</v>
      </c>
      <c r="AH133" s="57">
        <v>2.3</v>
      </c>
      <c r="AI133" s="57">
        <v>0.1324</v>
      </c>
      <c r="AJ133" s="57">
        <v>0.073</v>
      </c>
      <c r="AK133" s="57">
        <v>2.4</v>
      </c>
      <c r="AL133" s="57">
        <v>0.137</v>
      </c>
      <c r="AM133" s="57">
        <v>0.076</v>
      </c>
      <c r="AN133" s="57">
        <v>2.6</v>
      </c>
      <c r="AO133" s="57">
        <v>0.1466</v>
      </c>
      <c r="AP133" s="57">
        <v>0.082</v>
      </c>
    </row>
    <row r="134">
      <c r="A134" s="57" t="s">
        <v>141</v>
      </c>
      <c r="B134" s="54" t="s">
        <v>64</v>
      </c>
      <c r="C134" s="57">
        <v>2021.0</v>
      </c>
      <c r="G134" s="57">
        <v>0.108</v>
      </c>
      <c r="J134" s="57">
        <v>0.138</v>
      </c>
      <c r="M134" s="57">
        <v>0.108</v>
      </c>
      <c r="P134" s="57">
        <v>0.279</v>
      </c>
      <c r="S134" s="57">
        <v>0.208</v>
      </c>
      <c r="AE134" s="57">
        <v>1.9611</v>
      </c>
      <c r="AF134" s="57">
        <v>0.9776</v>
      </c>
      <c r="AH134" s="57">
        <v>2.95</v>
      </c>
      <c r="AI134" s="57">
        <v>0.0868</v>
      </c>
      <c r="AJ134" s="57">
        <v>0.049</v>
      </c>
      <c r="AK134" s="57">
        <v>2.8</v>
      </c>
      <c r="AL134" s="57">
        <v>0.0846</v>
      </c>
      <c r="AM134" s="57">
        <v>0.048</v>
      </c>
    </row>
    <row r="135">
      <c r="A135" s="57" t="s">
        <v>141</v>
      </c>
      <c r="B135" s="54" t="s">
        <v>58</v>
      </c>
      <c r="C135" s="57">
        <v>2022.0</v>
      </c>
      <c r="G135" s="57">
        <v>0.278</v>
      </c>
      <c r="J135" s="57">
        <v>0.147</v>
      </c>
      <c r="M135" s="57">
        <v>0.17</v>
      </c>
      <c r="P135" s="57">
        <v>0.156</v>
      </c>
      <c r="AE135" s="57">
        <v>2.7532</v>
      </c>
      <c r="AF135" s="57">
        <v>1.548</v>
      </c>
      <c r="AI135" s="57">
        <v>0.3754</v>
      </c>
      <c r="AJ135" s="57">
        <v>0.242</v>
      </c>
      <c r="AL135" s="57">
        <v>0.288</v>
      </c>
      <c r="AM135" s="57">
        <v>0.165</v>
      </c>
      <c r="AO135" s="57">
        <v>0.2267</v>
      </c>
      <c r="AP135" s="57">
        <v>0.131</v>
      </c>
    </row>
    <row r="136">
      <c r="A136" s="57" t="s">
        <v>141</v>
      </c>
      <c r="B136" s="54" t="s">
        <v>58</v>
      </c>
      <c r="C136" s="57">
        <v>2023.0</v>
      </c>
      <c r="G136" s="57">
        <v>0.396</v>
      </c>
      <c r="J136" s="57">
        <v>0.503</v>
      </c>
      <c r="M136" s="57">
        <v>0.318</v>
      </c>
      <c r="P136" s="57">
        <v>0.178</v>
      </c>
      <c r="S136" s="57">
        <v>0.22</v>
      </c>
      <c r="AE136" s="57">
        <v>2.8525</v>
      </c>
      <c r="AF136" s="57">
        <v>1.6865</v>
      </c>
      <c r="AI136" s="57">
        <v>0.6</v>
      </c>
      <c r="AJ136" s="57">
        <v>0.3757</v>
      </c>
      <c r="AL136" s="57">
        <v>0.2767</v>
      </c>
      <c r="AM136" s="57">
        <v>0.152</v>
      </c>
      <c r="AO136" s="57">
        <v>0.3721</v>
      </c>
      <c r="AP136" s="57">
        <v>0.2081</v>
      </c>
    </row>
    <row r="137">
      <c r="A137" s="57" t="s">
        <v>141</v>
      </c>
      <c r="B137" s="54" t="s">
        <v>64</v>
      </c>
      <c r="C137" s="57">
        <v>2024.0</v>
      </c>
      <c r="G137" s="57">
        <v>0.405</v>
      </c>
      <c r="M137" s="57">
        <v>0.445</v>
      </c>
      <c r="P137" s="57">
        <v>0.389</v>
      </c>
      <c r="AE137" s="57">
        <v>2.3724</v>
      </c>
      <c r="AF137" s="57">
        <v>1.0732</v>
      </c>
      <c r="AH137" s="57">
        <v>2.2</v>
      </c>
      <c r="AI137" s="57">
        <v>0.1747</v>
      </c>
      <c r="AJ137" s="57">
        <v>0.095</v>
      </c>
      <c r="AK137" s="57">
        <v>2.3</v>
      </c>
      <c r="AL137" s="57">
        <v>0.1979</v>
      </c>
      <c r="AM137" s="57">
        <v>0.107</v>
      </c>
    </row>
    <row r="138">
      <c r="A138" s="57" t="s">
        <v>141</v>
      </c>
      <c r="B138" s="54" t="s">
        <v>64</v>
      </c>
      <c r="C138" s="57">
        <v>2025.0</v>
      </c>
      <c r="G138" s="57">
        <v>0.101</v>
      </c>
      <c r="J138" s="57">
        <v>0.05</v>
      </c>
      <c r="M138" s="57">
        <v>0.12</v>
      </c>
      <c r="P138" s="57">
        <v>0.113</v>
      </c>
      <c r="S138" s="57">
        <v>0.144</v>
      </c>
      <c r="AE138" s="57">
        <v>1.9108</v>
      </c>
      <c r="AF138" s="57">
        <v>0.9866</v>
      </c>
      <c r="AI138" s="57">
        <v>0.0752</v>
      </c>
      <c r="AJ138" s="57">
        <v>0.041</v>
      </c>
      <c r="AL138" s="57">
        <v>0.0533</v>
      </c>
      <c r="AM138" s="57">
        <v>0.029</v>
      </c>
      <c r="AO138" s="57">
        <v>0.0821</v>
      </c>
      <c r="AP138" s="57">
        <v>0.046</v>
      </c>
    </row>
    <row r="139">
      <c r="A139" s="57" t="s">
        <v>150</v>
      </c>
      <c r="B139" s="54" t="s">
        <v>64</v>
      </c>
      <c r="C139" s="57">
        <v>2026.0</v>
      </c>
      <c r="G139" s="57">
        <v>0.508</v>
      </c>
      <c r="J139" s="57">
        <v>0.475</v>
      </c>
      <c r="M139" s="57">
        <v>0.424</v>
      </c>
      <c r="P139" s="57">
        <v>0.391</v>
      </c>
      <c r="S139" s="57">
        <v>0.394</v>
      </c>
      <c r="AH139" s="57">
        <v>2.3</v>
      </c>
      <c r="AI139" s="57">
        <v>0.1134</v>
      </c>
      <c r="AJ139" s="57">
        <v>0.065</v>
      </c>
      <c r="AK139" s="57">
        <v>3.5</v>
      </c>
      <c r="AL139" s="57">
        <v>0.1009</v>
      </c>
      <c r="AM139" s="57">
        <v>0.059</v>
      </c>
      <c r="AN139" s="57">
        <v>2.5</v>
      </c>
      <c r="AO139" s="57">
        <v>0.0888</v>
      </c>
      <c r="AP139" s="57">
        <v>0.051</v>
      </c>
      <c r="AQ139" s="57">
        <v>2.1</v>
      </c>
      <c r="AR139" s="57">
        <v>0.0929</v>
      </c>
      <c r="AS139" s="57">
        <v>0.054</v>
      </c>
    </row>
    <row r="140">
      <c r="A140" s="57" t="s">
        <v>150</v>
      </c>
      <c r="B140" s="54" t="s">
        <v>64</v>
      </c>
      <c r="C140" s="57">
        <v>2027.0</v>
      </c>
      <c r="G140" s="57">
        <v>0.608</v>
      </c>
      <c r="J140" s="57">
        <v>0.528</v>
      </c>
      <c r="M140" s="57">
        <v>0.582</v>
      </c>
      <c r="AE140" s="57">
        <v>2.3895</v>
      </c>
      <c r="AF140" s="57">
        <v>1.1726</v>
      </c>
      <c r="AI140" s="57">
        <v>0.0886</v>
      </c>
      <c r="AJ140" s="57">
        <v>0.049</v>
      </c>
      <c r="AL140" s="57">
        <v>0.1187</v>
      </c>
      <c r="AM140" s="57">
        <v>0.068</v>
      </c>
      <c r="AO140" s="57">
        <v>0.1671</v>
      </c>
      <c r="AP140" s="57">
        <v>0.093</v>
      </c>
    </row>
    <row r="141">
      <c r="A141" s="57" t="s">
        <v>150</v>
      </c>
      <c r="B141" s="54"/>
      <c r="C141" s="57">
        <v>2028.0</v>
      </c>
      <c r="G141" s="57">
        <v>0.475</v>
      </c>
      <c r="J141" s="57">
        <v>0.688</v>
      </c>
      <c r="M141" s="57">
        <v>0.428</v>
      </c>
      <c r="P141" s="57">
        <v>0.556</v>
      </c>
      <c r="AE141" s="57">
        <v>2.0868</v>
      </c>
      <c r="AF141" s="57">
        <v>1.1283</v>
      </c>
      <c r="AI141" s="57">
        <v>0.1538</v>
      </c>
      <c r="AJ141" s="57">
        <v>0.091</v>
      </c>
      <c r="AL141" s="57">
        <v>0.2288</v>
      </c>
      <c r="AM141" s="57">
        <v>0.132</v>
      </c>
      <c r="AO141" s="57">
        <v>0.2081</v>
      </c>
      <c r="AP141" s="57">
        <v>0.121</v>
      </c>
    </row>
    <row r="142">
      <c r="A142" s="57" t="s">
        <v>150</v>
      </c>
      <c r="B142" s="54"/>
      <c r="C142" s="57">
        <v>2029.0</v>
      </c>
      <c r="G142" s="57">
        <v>0.158</v>
      </c>
      <c r="J142" s="57">
        <v>0.215</v>
      </c>
      <c r="M142" s="57">
        <v>0.218</v>
      </c>
      <c r="P142" s="57">
        <v>0.324</v>
      </c>
      <c r="S142" s="57">
        <v>0.258</v>
      </c>
      <c r="AE142" s="57">
        <v>1.7183</v>
      </c>
      <c r="AF142" s="57">
        <v>0.8785</v>
      </c>
      <c r="AI142" s="57">
        <v>0.3118</v>
      </c>
      <c r="AJ142" s="57">
        <v>0.179</v>
      </c>
      <c r="AL142" s="57">
        <v>0.3185</v>
      </c>
      <c r="AM142" s="57">
        <v>0.175</v>
      </c>
      <c r="AO142" s="57">
        <v>0.3252</v>
      </c>
      <c r="AP142" s="57">
        <v>0.179</v>
      </c>
    </row>
    <row r="143">
      <c r="A143" s="57" t="s">
        <v>150</v>
      </c>
      <c r="B143" s="54"/>
      <c r="C143" s="57">
        <v>2030.0</v>
      </c>
      <c r="G143" s="57">
        <v>0.065</v>
      </c>
      <c r="J143" s="57">
        <v>0.222</v>
      </c>
      <c r="M143" s="57">
        <v>0.268</v>
      </c>
      <c r="P143" s="57">
        <v>0.18</v>
      </c>
      <c r="S143" s="57">
        <v>0.208</v>
      </c>
      <c r="AE143" s="57">
        <v>2.6676</v>
      </c>
      <c r="AF143" s="57">
        <v>1.4601</v>
      </c>
      <c r="AI143" s="57">
        <v>0.1837</v>
      </c>
      <c r="AJ143" s="57">
        <v>0.105</v>
      </c>
      <c r="AL143" s="57">
        <v>0.3101</v>
      </c>
      <c r="AM143" s="57">
        <v>0.178</v>
      </c>
      <c r="AO143" s="57">
        <v>0.3095</v>
      </c>
      <c r="AP143" s="57">
        <v>0.179</v>
      </c>
    </row>
    <row r="144">
      <c r="A144" s="57" t="s">
        <v>150</v>
      </c>
      <c r="B144" s="54"/>
      <c r="C144" s="57">
        <v>2031.0</v>
      </c>
      <c r="G144" s="57">
        <v>0.212</v>
      </c>
      <c r="J144" s="57">
        <v>0.188</v>
      </c>
      <c r="M144" s="57">
        <v>0.328</v>
      </c>
      <c r="P144" s="57">
        <v>0.248</v>
      </c>
      <c r="AE144" s="57">
        <v>1.6819</v>
      </c>
      <c r="AF144" s="57">
        <v>0.8576</v>
      </c>
      <c r="AL144" s="57">
        <v>0.1399</v>
      </c>
      <c r="AM144" s="57">
        <v>0.0811</v>
      </c>
      <c r="AO144" s="57">
        <v>0.1792</v>
      </c>
      <c r="AP144" s="57">
        <v>0.1024</v>
      </c>
    </row>
    <row r="145">
      <c r="A145" s="57" t="s">
        <v>256</v>
      </c>
      <c r="B145" s="54" t="s">
        <v>64</v>
      </c>
      <c r="C145" s="57">
        <v>2012.0</v>
      </c>
      <c r="G145" s="57">
        <v>0.365</v>
      </c>
      <c r="J145" s="57">
        <v>0.234</v>
      </c>
      <c r="M145" s="57">
        <v>0.626</v>
      </c>
      <c r="P145" s="57">
        <v>0.68</v>
      </c>
      <c r="S145" s="57">
        <v>0.62</v>
      </c>
      <c r="AE145" s="57">
        <v>4.49</v>
      </c>
      <c r="AF145" s="57">
        <v>1.6767</v>
      </c>
      <c r="AI145" s="57">
        <v>0.1166</v>
      </c>
      <c r="AJ145" s="57">
        <v>0.048</v>
      </c>
      <c r="AL145" s="57">
        <v>0.1076</v>
      </c>
      <c r="AM145" s="57">
        <v>0.045</v>
      </c>
      <c r="AO145" s="57">
        <v>0.3727</v>
      </c>
      <c r="AP145" s="57">
        <v>0.159</v>
      </c>
    </row>
    <row r="146">
      <c r="A146" s="57" t="s">
        <v>256</v>
      </c>
      <c r="B146" s="54" t="s">
        <v>64</v>
      </c>
      <c r="C146" s="57">
        <v>2013.0</v>
      </c>
      <c r="G146" s="57">
        <v>0.718</v>
      </c>
      <c r="J146" s="57">
        <v>0.554</v>
      </c>
      <c r="M146" s="57">
        <v>0.628</v>
      </c>
      <c r="P146" s="57">
        <v>0.886</v>
      </c>
      <c r="S146" s="57">
        <v>0.836</v>
      </c>
      <c r="AE146" s="57">
        <v>2.2227</v>
      </c>
      <c r="AF146" s="57">
        <v>0.8661</v>
      </c>
      <c r="AH146" s="57">
        <v>1.45</v>
      </c>
      <c r="AI146" s="57">
        <v>0.1002</v>
      </c>
      <c r="AJ146" s="57">
        <v>0.047</v>
      </c>
      <c r="AK146" s="57">
        <v>1.55</v>
      </c>
      <c r="AL146" s="57">
        <v>0.1381</v>
      </c>
      <c r="AM146" s="57">
        <v>0.059</v>
      </c>
      <c r="AN146" s="57">
        <v>1.8</v>
      </c>
      <c r="AO146" s="57">
        <v>0.0653</v>
      </c>
      <c r="AP146" s="57">
        <v>0.027</v>
      </c>
      <c r="AR146" s="57">
        <v>0.1529</v>
      </c>
      <c r="AS146" s="57">
        <v>0.066</v>
      </c>
    </row>
    <row r="147">
      <c r="A147" s="57" t="s">
        <v>256</v>
      </c>
      <c r="B147" s="54" t="s">
        <v>64</v>
      </c>
      <c r="C147" s="57">
        <v>2014.0</v>
      </c>
      <c r="G147" s="57">
        <v>0.706</v>
      </c>
      <c r="J147" s="57">
        <v>1.156</v>
      </c>
      <c r="M147" s="57">
        <v>1.0</v>
      </c>
      <c r="P147" s="57">
        <v>0.355</v>
      </c>
      <c r="S147" s="57">
        <v>0.586</v>
      </c>
      <c r="V147" s="57">
        <v>0.919</v>
      </c>
      <c r="AE147" s="57">
        <v>2.1512</v>
      </c>
      <c r="AF147" s="57">
        <v>0.9051</v>
      </c>
      <c r="AH147" s="57">
        <v>2.1</v>
      </c>
      <c r="AI147" s="57">
        <v>0.0774</v>
      </c>
      <c r="AJ147" s="57">
        <v>0.0312</v>
      </c>
      <c r="AK147" s="57">
        <v>2.5</v>
      </c>
      <c r="AL147" s="57">
        <v>0.1362</v>
      </c>
      <c r="AM147" s="57">
        <v>0.065</v>
      </c>
      <c r="AN147" s="57">
        <v>2.8</v>
      </c>
    </row>
    <row r="148">
      <c r="A148" s="57" t="s">
        <v>256</v>
      </c>
      <c r="B148" s="54" t="s">
        <v>64</v>
      </c>
      <c r="C148" s="57">
        <v>2015.0</v>
      </c>
      <c r="G148" s="57">
        <v>0.498</v>
      </c>
      <c r="J148" s="57">
        <v>0.768</v>
      </c>
      <c r="M148" s="57">
        <v>0.587</v>
      </c>
      <c r="AE148" s="57">
        <v>1.8527</v>
      </c>
      <c r="AF148" s="57">
        <v>0.8252</v>
      </c>
      <c r="AI148" s="57">
        <v>0.5249</v>
      </c>
      <c r="AJ148" s="57">
        <v>0.271</v>
      </c>
      <c r="AL148" s="57">
        <v>0.2876</v>
      </c>
      <c r="AM148" s="57">
        <v>0.148</v>
      </c>
      <c r="AO148" s="57">
        <v>0.3881</v>
      </c>
      <c r="AP148" s="57">
        <v>0.201</v>
      </c>
    </row>
    <row r="149">
      <c r="A149" s="57" t="s">
        <v>256</v>
      </c>
      <c r="B149" s="54" t="s">
        <v>64</v>
      </c>
      <c r="C149" s="57">
        <v>1478.0</v>
      </c>
      <c r="G149" s="57">
        <v>0.878</v>
      </c>
      <c r="J149" s="57">
        <v>0.402</v>
      </c>
      <c r="M149" s="57">
        <v>0.768</v>
      </c>
      <c r="P149" s="57">
        <v>0.519</v>
      </c>
      <c r="S149" s="57">
        <v>0.29</v>
      </c>
      <c r="AE149" s="57">
        <v>2.285</v>
      </c>
      <c r="AF149" s="57">
        <v>0.8328</v>
      </c>
      <c r="AI149" s="57">
        <v>0.3916</v>
      </c>
      <c r="AJ149" s="57">
        <v>0.151</v>
      </c>
      <c r="AL149" s="57">
        <v>0.5982</v>
      </c>
      <c r="AM149" s="57">
        <v>0.235</v>
      </c>
      <c r="AO149" s="57">
        <v>0.3972</v>
      </c>
      <c r="AP149" s="57">
        <v>0.156</v>
      </c>
    </row>
    <row r="150">
      <c r="B150" s="54"/>
      <c r="C150" s="57">
        <v>2011.0</v>
      </c>
      <c r="G150" s="57">
        <v>1.05</v>
      </c>
      <c r="J150" s="57">
        <v>0.617</v>
      </c>
      <c r="M150" s="57">
        <v>0.902</v>
      </c>
      <c r="AE150" s="57">
        <v>0.925</v>
      </c>
      <c r="AF150" s="57">
        <v>0.4686</v>
      </c>
    </row>
    <row r="151">
      <c r="A151" s="57" t="s">
        <v>257</v>
      </c>
      <c r="B151" s="54" t="s">
        <v>64</v>
      </c>
      <c r="C151" s="57">
        <v>2010.0</v>
      </c>
    </row>
    <row r="152">
      <c r="A152" s="57" t="s">
        <v>258</v>
      </c>
      <c r="B152" s="54" t="s">
        <v>64</v>
      </c>
      <c r="C152" s="57">
        <v>2009.0</v>
      </c>
    </row>
    <row r="153">
      <c r="B153" s="3"/>
      <c r="C153" s="57">
        <v>2008.0</v>
      </c>
      <c r="G153" s="57">
        <v>0.698</v>
      </c>
      <c r="J153" s="57">
        <v>0.655</v>
      </c>
      <c r="AE153" s="57">
        <v>1.0186</v>
      </c>
      <c r="AF153" s="57">
        <v>0.5269</v>
      </c>
      <c r="AH153" s="57">
        <v>1.8</v>
      </c>
      <c r="AI153" s="57">
        <v>0.1501</v>
      </c>
      <c r="AJ153" s="57">
        <v>0.083</v>
      </c>
      <c r="AK153" s="57">
        <v>2.1</v>
      </c>
      <c r="AL153" s="57">
        <v>0.145</v>
      </c>
      <c r="AM153" s="57">
        <v>0.081</v>
      </c>
      <c r="AN153" s="57">
        <v>1.75</v>
      </c>
      <c r="AO153" s="57">
        <v>0.0878</v>
      </c>
      <c r="AP153" s="57">
        <v>0.048</v>
      </c>
    </row>
    <row r="154">
      <c r="A154" s="57" t="s">
        <v>151</v>
      </c>
      <c r="B154" s="54" t="s">
        <v>277</v>
      </c>
      <c r="AI154" s="57">
        <v>0.4501</v>
      </c>
      <c r="AJ154" s="57">
        <v>0.195</v>
      </c>
      <c r="AL154" s="57">
        <v>0.3369</v>
      </c>
      <c r="AM154" s="57">
        <v>0.13</v>
      </c>
      <c r="AO154" s="57">
        <v>0.4701</v>
      </c>
      <c r="AP154" s="57">
        <v>0.194</v>
      </c>
      <c r="AR154" s="57">
        <v>0.3753</v>
      </c>
      <c r="AS154" s="57">
        <v>0.153</v>
      </c>
      <c r="AU154" s="57">
        <v>0.5224</v>
      </c>
      <c r="AV154" s="57">
        <v>0.23</v>
      </c>
      <c r="AX154" s="57">
        <v>0.2636</v>
      </c>
      <c r="AY154" s="57">
        <v>0.0969</v>
      </c>
      <c r="BA154" s="57">
        <v>0.3076</v>
      </c>
      <c r="BB154" s="57">
        <v>0.1254</v>
      </c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2" t="s">
        <v>200</v>
      </c>
      <c r="B1" s="1"/>
      <c r="C1" s="1"/>
    </row>
    <row r="3">
      <c r="A3" s="12" t="s">
        <v>1</v>
      </c>
      <c r="B3" s="38" t="s">
        <v>201</v>
      </c>
      <c r="C3" s="12"/>
    </row>
    <row r="4">
      <c r="A4" s="12" t="s">
        <v>3</v>
      </c>
      <c r="B4" s="73">
        <v>44657.0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203</v>
      </c>
      <c r="H6" s="30" t="s">
        <v>204</v>
      </c>
      <c r="I6" s="30" t="s">
        <v>205</v>
      </c>
      <c r="J6" s="30" t="s">
        <v>206</v>
      </c>
      <c r="K6" s="30" t="s">
        <v>207</v>
      </c>
      <c r="L6" s="30" t="s">
        <v>208</v>
      </c>
      <c r="M6" s="30" t="s">
        <v>209</v>
      </c>
      <c r="N6" s="30" t="s">
        <v>210</v>
      </c>
      <c r="O6" s="30" t="s">
        <v>211</v>
      </c>
      <c r="P6" s="30" t="s">
        <v>212</v>
      </c>
      <c r="Q6" s="30" t="s">
        <v>213</v>
      </c>
      <c r="R6" s="30" t="s">
        <v>214</v>
      </c>
      <c r="S6" s="30" t="s">
        <v>215</v>
      </c>
      <c r="T6" s="30" t="s">
        <v>216</v>
      </c>
      <c r="U6" s="30" t="s">
        <v>217</v>
      </c>
      <c r="V6" s="30" t="s">
        <v>218</v>
      </c>
      <c r="W6" s="30" t="s">
        <v>219</v>
      </c>
      <c r="X6" s="30" t="s">
        <v>220</v>
      </c>
      <c r="Y6" s="30" t="s">
        <v>221</v>
      </c>
      <c r="Z6" s="30" t="s">
        <v>222</v>
      </c>
      <c r="AA6" s="30" t="s">
        <v>223</v>
      </c>
      <c r="AB6" s="30" t="s">
        <v>224</v>
      </c>
      <c r="AC6" s="30" t="s">
        <v>225</v>
      </c>
      <c r="AD6" s="30" t="s">
        <v>226</v>
      </c>
      <c r="AE6" s="30" t="s">
        <v>227</v>
      </c>
      <c r="AF6" s="30" t="s">
        <v>228</v>
      </c>
      <c r="AG6" s="30" t="s">
        <v>229</v>
      </c>
      <c r="AH6" s="30" t="s">
        <v>230</v>
      </c>
      <c r="AI6" s="30" t="s">
        <v>231</v>
      </c>
      <c r="AJ6" s="30" t="s">
        <v>232</v>
      </c>
      <c r="AK6" s="30" t="s">
        <v>233</v>
      </c>
      <c r="AL6" s="30" t="s">
        <v>234</v>
      </c>
      <c r="AM6" s="30" t="s">
        <v>235</v>
      </c>
      <c r="AN6" s="30" t="s">
        <v>236</v>
      </c>
      <c r="AO6" s="30" t="s">
        <v>237</v>
      </c>
      <c r="AP6" s="30" t="s">
        <v>238</v>
      </c>
      <c r="AQ6" s="30" t="s">
        <v>239</v>
      </c>
      <c r="AR6" s="30" t="s">
        <v>240</v>
      </c>
      <c r="AS6" s="30" t="s">
        <v>241</v>
      </c>
      <c r="AT6" s="30" t="s">
        <v>242</v>
      </c>
      <c r="AU6" s="30" t="s">
        <v>243</v>
      </c>
      <c r="AV6" s="30" t="s">
        <v>244</v>
      </c>
      <c r="AW6" s="30" t="s">
        <v>245</v>
      </c>
      <c r="AX6" s="30" t="s">
        <v>246</v>
      </c>
      <c r="AY6" s="30" t="s">
        <v>247</v>
      </c>
      <c r="AZ6" s="30" t="s">
        <v>248</v>
      </c>
      <c r="BA6" s="30" t="s">
        <v>249</v>
      </c>
      <c r="BB6" s="30" t="s">
        <v>250</v>
      </c>
      <c r="BC6" s="30" t="s">
        <v>251</v>
      </c>
      <c r="BD6" s="30" t="s">
        <v>252</v>
      </c>
      <c r="BE6" s="30" t="s">
        <v>253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  <c r="AI7" s="57">
        <v>0.2259</v>
      </c>
      <c r="AJ7" s="57">
        <v>0.14</v>
      </c>
      <c r="AL7" s="57">
        <v>0.2303</v>
      </c>
      <c r="AM7" s="57">
        <v>0.144</v>
      </c>
      <c r="AO7" s="57">
        <v>0.2281</v>
      </c>
      <c r="AP7" s="57">
        <v>0.146</v>
      </c>
      <c r="AR7" s="57">
        <v>0.1832</v>
      </c>
      <c r="AS7" s="57">
        <v>0.114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  <c r="AI9" s="57">
        <v>0.1647</v>
      </c>
      <c r="AJ9" s="57">
        <v>0.0836</v>
      </c>
      <c r="AL9" s="57">
        <v>0.2604</v>
      </c>
      <c r="AM9" s="57">
        <v>0.163</v>
      </c>
      <c r="AO9" s="57">
        <v>0.2408</v>
      </c>
      <c r="AP9" s="57">
        <v>0.1226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  <c r="AI18" s="57">
        <v>0.1282</v>
      </c>
      <c r="AJ18" s="57">
        <v>0.071</v>
      </c>
      <c r="AL18" s="57">
        <v>0.1446</v>
      </c>
      <c r="AM18" s="57">
        <v>0.078</v>
      </c>
      <c r="AO18" s="57">
        <v>0.107</v>
      </c>
      <c r="AP18" s="57">
        <v>0.058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  <c r="E24" s="57">
        <v>9.0</v>
      </c>
      <c r="AI24" s="57">
        <v>0.0882</v>
      </c>
      <c r="AJ24" s="57">
        <v>0.0459</v>
      </c>
      <c r="AL24" s="57">
        <v>0.1124</v>
      </c>
      <c r="AM24" s="57">
        <v>0.0587</v>
      </c>
      <c r="AO24" s="57">
        <v>0.0965</v>
      </c>
      <c r="AP24" s="57">
        <v>0.0502</v>
      </c>
    </row>
    <row r="25">
      <c r="A25" s="12" t="s">
        <v>57</v>
      </c>
      <c r="B25" s="12" t="s">
        <v>64</v>
      </c>
      <c r="C25" s="12">
        <v>2366.0</v>
      </c>
      <c r="E25" s="57">
        <v>9.0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E27" s="57">
        <v>9.0</v>
      </c>
      <c r="AI27" s="57">
        <v>0.077</v>
      </c>
      <c r="AJ27" s="57">
        <v>0.039</v>
      </c>
      <c r="AL27" s="57">
        <v>0.1081</v>
      </c>
      <c r="AM27" s="57">
        <v>0.0564</v>
      </c>
      <c r="AO27" s="57">
        <v>0.0956</v>
      </c>
      <c r="AP27" s="57">
        <v>0.0486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E30" s="57">
        <v>9.0</v>
      </c>
      <c r="AI30" s="57">
        <v>0.1531</v>
      </c>
      <c r="AJ30" s="57">
        <v>0.0792</v>
      </c>
      <c r="AL30" s="57">
        <v>0.149</v>
      </c>
      <c r="AM30" s="57">
        <v>0.0746</v>
      </c>
      <c r="AO30" s="57">
        <v>0.1161</v>
      </c>
      <c r="AP30" s="57">
        <v>0.0587</v>
      </c>
    </row>
    <row r="31">
      <c r="A31" s="38" t="s">
        <v>70</v>
      </c>
      <c r="B31" s="38" t="s">
        <v>58</v>
      </c>
      <c r="C31" s="38">
        <v>2376.0</v>
      </c>
      <c r="AI31" s="57">
        <v>0.3031</v>
      </c>
      <c r="AJ31" s="57">
        <v>0.1868</v>
      </c>
      <c r="AL31" s="57">
        <v>0.2282</v>
      </c>
      <c r="AM31" s="57">
        <v>0.14</v>
      </c>
      <c r="AO31" s="57">
        <v>0.6152</v>
      </c>
      <c r="AP31" s="57">
        <v>0.3702</v>
      </c>
    </row>
    <row r="32">
      <c r="A32" s="38" t="s">
        <v>70</v>
      </c>
      <c r="B32" s="38" t="s">
        <v>58</v>
      </c>
      <c r="C32" s="38">
        <v>2377.0</v>
      </c>
      <c r="AI32" s="57">
        <v>0.2096</v>
      </c>
      <c r="AJ32" s="57">
        <v>0.126</v>
      </c>
      <c r="AL32" s="57">
        <v>0.2511</v>
      </c>
      <c r="AM32" s="57">
        <v>0.152</v>
      </c>
    </row>
    <row r="33">
      <c r="A33" s="38" t="s">
        <v>70</v>
      </c>
      <c r="B33" s="38" t="s">
        <v>64</v>
      </c>
      <c r="C33" s="38">
        <v>2378.0</v>
      </c>
      <c r="AI33" s="57">
        <v>0.1536</v>
      </c>
      <c r="AJ33" s="57">
        <v>0.081</v>
      </c>
      <c r="AL33" s="57">
        <v>0.1478</v>
      </c>
      <c r="AM33" s="57">
        <v>0.079</v>
      </c>
      <c r="AO33" s="57">
        <v>0.1522</v>
      </c>
      <c r="AP33" s="57">
        <v>0.081</v>
      </c>
      <c r="AR33" s="57">
        <v>0.0901</v>
      </c>
      <c r="AS33" s="57">
        <v>0.0366</v>
      </c>
    </row>
    <row r="34">
      <c r="A34" s="38" t="s">
        <v>70</v>
      </c>
      <c r="B34" s="38" t="s">
        <v>64</v>
      </c>
      <c r="C34" s="38">
        <v>2379.0</v>
      </c>
      <c r="AI34" s="57">
        <v>0.1121</v>
      </c>
      <c r="AJ34" s="57">
        <v>0.061</v>
      </c>
      <c r="AL34" s="57">
        <v>0.0882</v>
      </c>
      <c r="AM34" s="57">
        <v>0.047</v>
      </c>
      <c r="AO34" s="57">
        <v>0.1804</v>
      </c>
      <c r="AP34" s="57">
        <v>0.0584</v>
      </c>
    </row>
    <row r="35">
      <c r="A35" s="38" t="s">
        <v>70</v>
      </c>
      <c r="B35" s="38" t="s">
        <v>58</v>
      </c>
      <c r="C35" s="38">
        <v>2380.0</v>
      </c>
      <c r="AL35" s="57">
        <v>0.1778</v>
      </c>
      <c r="AM35" s="57">
        <v>0.115</v>
      </c>
      <c r="AO35" s="57">
        <v>0.1411</v>
      </c>
      <c r="AP35" s="57">
        <v>0.0898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  <c r="E42" s="57">
        <v>7.0</v>
      </c>
      <c r="AI42" s="57">
        <v>0.1376</v>
      </c>
      <c r="AJ42" s="57">
        <v>0.0683</v>
      </c>
      <c r="AL42" s="57">
        <v>0.1671</v>
      </c>
      <c r="AM42" s="57">
        <v>0.0832</v>
      </c>
      <c r="AO42" s="57">
        <v>0.1112</v>
      </c>
      <c r="AP42" s="57">
        <v>0.0533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  <c r="E46" s="57">
        <v>5.0</v>
      </c>
      <c r="AI46" s="57">
        <v>0.1991</v>
      </c>
      <c r="AJ46" s="57">
        <v>0.1175</v>
      </c>
      <c r="AO46" s="57">
        <v>0.1697</v>
      </c>
      <c r="AP46" s="57">
        <v>0.1023</v>
      </c>
    </row>
    <row r="47">
      <c r="A47" s="12" t="s">
        <v>74</v>
      </c>
      <c r="B47" s="12" t="s">
        <v>64</v>
      </c>
      <c r="C47" s="12">
        <v>2346.0</v>
      </c>
      <c r="E47" s="57">
        <v>5.0</v>
      </c>
      <c r="AI47" s="57">
        <v>0.1064</v>
      </c>
      <c r="AJ47" s="57">
        <v>0.0536</v>
      </c>
      <c r="AL47" s="57">
        <v>0.0703</v>
      </c>
      <c r="AM47" s="57">
        <v>0.0353</v>
      </c>
      <c r="AO47" s="57">
        <v>0.082</v>
      </c>
      <c r="AP47" s="57">
        <v>0.0419</v>
      </c>
    </row>
    <row r="48">
      <c r="A48" s="12" t="s">
        <v>74</v>
      </c>
      <c r="B48" s="12" t="s">
        <v>64</v>
      </c>
      <c r="C48" s="12">
        <v>2347.0</v>
      </c>
      <c r="E48" s="57">
        <v>7.0</v>
      </c>
      <c r="AI48" s="57">
        <v>0.1326</v>
      </c>
      <c r="AJ48" s="57">
        <v>0.0581</v>
      </c>
      <c r="AL48" s="57">
        <v>0.0823</v>
      </c>
      <c r="AM48" s="57">
        <v>0.0402</v>
      </c>
      <c r="AO48" s="57">
        <v>0.1804</v>
      </c>
      <c r="AP48" s="57">
        <v>0.0872</v>
      </c>
    </row>
    <row r="49">
      <c r="A49" s="12" t="s">
        <v>74</v>
      </c>
      <c r="B49" s="12" t="s">
        <v>64</v>
      </c>
      <c r="C49" s="12">
        <v>2348.0</v>
      </c>
      <c r="E49" s="57">
        <v>7.0</v>
      </c>
    </row>
    <row r="50">
      <c r="A50" s="12" t="s">
        <v>74</v>
      </c>
      <c r="B50" s="12" t="s">
        <v>64</v>
      </c>
      <c r="C50" s="12">
        <v>2349.0</v>
      </c>
      <c r="E50" s="57">
        <v>6.0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  <c r="AI53" s="57">
        <v>0.0837</v>
      </c>
      <c r="AJ53" s="57">
        <v>0.0399</v>
      </c>
      <c r="AL53" s="57">
        <v>0.0979</v>
      </c>
      <c r="AM53" s="57">
        <v>0.048</v>
      </c>
      <c r="AO53" s="57">
        <v>0.072</v>
      </c>
      <c r="AP53" s="57">
        <v>0.0341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  <c r="AI75" s="57">
        <v>0.1823</v>
      </c>
      <c r="AJ75" s="57">
        <v>0.1166</v>
      </c>
      <c r="AL75" s="57">
        <v>0.1925</v>
      </c>
      <c r="AM75" s="57">
        <v>0.123</v>
      </c>
      <c r="AO75" s="57">
        <v>0.1681</v>
      </c>
      <c r="AP75" s="57">
        <v>0.1117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  <c r="AI82" s="57">
        <v>0.2307</v>
      </c>
      <c r="AJ82" s="57">
        <v>0.1438</v>
      </c>
      <c r="AL82" s="57">
        <v>0.3181</v>
      </c>
      <c r="AM82" s="57">
        <v>0.19</v>
      </c>
      <c r="AO82" s="57">
        <v>0.2101</v>
      </c>
      <c r="AP82" s="57">
        <v>0.1287</v>
      </c>
      <c r="AR82" s="57">
        <v>0.272</v>
      </c>
      <c r="AS82" s="57">
        <v>0.1646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  <c r="AI91" s="57">
        <v>0.161</v>
      </c>
      <c r="AJ91" s="57">
        <v>0.0743</v>
      </c>
      <c r="AL91" s="57">
        <v>0.1585</v>
      </c>
      <c r="AM91" s="57">
        <v>0.078</v>
      </c>
      <c r="AO91" s="57">
        <v>0.438</v>
      </c>
      <c r="AP91" s="57">
        <v>0.1962</v>
      </c>
    </row>
    <row r="92">
      <c r="A92" s="53" t="s">
        <v>107</v>
      </c>
      <c r="B92" s="54" t="s">
        <v>64</v>
      </c>
      <c r="C92" s="55">
        <v>2371.0</v>
      </c>
      <c r="AI92" s="57">
        <v>0.0353</v>
      </c>
      <c r="AJ92" s="57">
        <v>0.0163</v>
      </c>
      <c r="AL92" s="57">
        <v>0.0878</v>
      </c>
      <c r="AM92" s="57">
        <v>0.0372</v>
      </c>
    </row>
    <row r="93">
      <c r="A93" s="53" t="s">
        <v>108</v>
      </c>
      <c r="B93" s="54" t="s">
        <v>64</v>
      </c>
      <c r="C93" s="55">
        <v>2372.0</v>
      </c>
      <c r="AI93" s="57">
        <v>0.0846</v>
      </c>
      <c r="AJ93" s="57">
        <v>0.0443</v>
      </c>
      <c r="AL93" s="57">
        <v>0.1088</v>
      </c>
      <c r="AM93" s="57">
        <v>0.0534</v>
      </c>
      <c r="AO93" s="57">
        <v>0.1234</v>
      </c>
      <c r="AP93" s="57">
        <v>0.0627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  <c r="AI107" s="57">
        <v>0.1421</v>
      </c>
      <c r="AJ107" s="57">
        <v>0.078</v>
      </c>
      <c r="AL107" s="57">
        <v>0.1389</v>
      </c>
      <c r="AM107" s="57">
        <v>0.0755</v>
      </c>
      <c r="AO107" s="57">
        <v>0.1126</v>
      </c>
      <c r="AP107" s="57">
        <v>0.0617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AI110" s="57">
        <v>0.0994</v>
      </c>
      <c r="AJ110" s="57">
        <v>0.0559</v>
      </c>
      <c r="AL110" s="57">
        <v>0.2013</v>
      </c>
      <c r="AM110" s="57">
        <v>0.1098</v>
      </c>
      <c r="AO110" s="57">
        <v>0.0567</v>
      </c>
      <c r="AP110" s="57">
        <v>0.0327</v>
      </c>
      <c r="AR110" s="57">
        <v>0.0938</v>
      </c>
      <c r="AS110" s="57">
        <v>0.0512</v>
      </c>
    </row>
    <row r="111">
      <c r="A111" s="2" t="s">
        <v>117</v>
      </c>
      <c r="B111" s="54" t="s">
        <v>64</v>
      </c>
      <c r="C111" s="60">
        <v>2383.0</v>
      </c>
      <c r="AI111" s="57">
        <v>0.126</v>
      </c>
      <c r="AJ111" s="57">
        <v>0.0698</v>
      </c>
      <c r="AL111" s="57">
        <v>0.099</v>
      </c>
      <c r="AM111" s="57">
        <v>0.055</v>
      </c>
      <c r="AO111" s="57">
        <v>0.1496</v>
      </c>
      <c r="AP111" s="57">
        <v>0.0823</v>
      </c>
      <c r="AR111" s="57">
        <v>0.1194</v>
      </c>
      <c r="AS111" s="57">
        <v>0.0638</v>
      </c>
      <c r="AU111" s="57">
        <v>0.1192</v>
      </c>
      <c r="AV111" s="57">
        <v>0.0633</v>
      </c>
      <c r="AX111" s="57">
        <v>0.1437</v>
      </c>
      <c r="AY111" s="57">
        <v>0.077</v>
      </c>
    </row>
    <row r="112">
      <c r="A112" s="2" t="s">
        <v>117</v>
      </c>
      <c r="B112" s="54" t="s">
        <v>64</v>
      </c>
      <c r="C112" s="57">
        <v>2384.0</v>
      </c>
      <c r="AI112" s="57">
        <v>0.07</v>
      </c>
      <c r="AJ112" s="57">
        <v>0.0391</v>
      </c>
      <c r="AL112" s="57">
        <v>0.0733</v>
      </c>
      <c r="AM112" s="57">
        <v>0.0396</v>
      </c>
      <c r="AO112" s="57">
        <v>0.1206</v>
      </c>
      <c r="AP112" s="57">
        <v>0.068</v>
      </c>
      <c r="AR112" s="57">
        <v>0.0965</v>
      </c>
      <c r="AS112" s="57">
        <v>0.053</v>
      </c>
      <c r="AU112" s="57">
        <v>0.1206</v>
      </c>
      <c r="AV112" s="57">
        <v>0.068</v>
      </c>
    </row>
    <row r="113">
      <c r="A113" s="57" t="s">
        <v>136</v>
      </c>
      <c r="B113" s="54" t="s">
        <v>64</v>
      </c>
      <c r="C113" s="57">
        <v>2004.0</v>
      </c>
    </row>
    <row r="114">
      <c r="A114" s="57" t="s">
        <v>136</v>
      </c>
      <c r="B114" s="54" t="s">
        <v>64</v>
      </c>
      <c r="C114" s="57">
        <v>2005.0</v>
      </c>
    </row>
    <row r="115">
      <c r="A115" s="57" t="s">
        <v>136</v>
      </c>
      <c r="B115" s="54" t="s">
        <v>64</v>
      </c>
      <c r="C115" s="57">
        <v>2006.0</v>
      </c>
    </row>
    <row r="116">
      <c r="A116" s="57" t="s">
        <v>136</v>
      </c>
      <c r="B116" s="54" t="s">
        <v>64</v>
      </c>
      <c r="C116" s="57">
        <v>2007.0</v>
      </c>
    </row>
    <row r="117">
      <c r="A117" s="57" t="s">
        <v>254</v>
      </c>
      <c r="B117" s="54" t="s">
        <v>139</v>
      </c>
      <c r="AI117" s="57">
        <v>0.104</v>
      </c>
      <c r="AJ117" s="57">
        <v>0.0429</v>
      </c>
      <c r="AL117" s="57">
        <v>0.1559</v>
      </c>
      <c r="AM117" s="57">
        <v>0.063</v>
      </c>
      <c r="AO117" s="57">
        <v>0.1402</v>
      </c>
      <c r="AP117" s="57">
        <v>0.0603</v>
      </c>
      <c r="AR117" s="57">
        <v>0.1596</v>
      </c>
      <c r="AS117" s="57">
        <v>0.066</v>
      </c>
      <c r="AU117" s="57">
        <v>0.1419</v>
      </c>
      <c r="AV117" s="57">
        <v>0.0598</v>
      </c>
      <c r="AX117" s="57">
        <v>0.1144</v>
      </c>
      <c r="AY117" s="57">
        <v>0.0458</v>
      </c>
    </row>
    <row r="118">
      <c r="A118" s="57" t="s">
        <v>141</v>
      </c>
      <c r="B118" s="54" t="s">
        <v>139</v>
      </c>
    </row>
    <row r="119">
      <c r="A119" s="57" t="s">
        <v>136</v>
      </c>
      <c r="B119" s="54" t="s">
        <v>139</v>
      </c>
    </row>
    <row r="120">
      <c r="A120" s="57" t="s">
        <v>254</v>
      </c>
      <c r="B120" s="54" t="s">
        <v>144</v>
      </c>
      <c r="AI120" s="57">
        <v>0.413</v>
      </c>
      <c r="AJ120" s="57">
        <v>0.1604</v>
      </c>
      <c r="AL120" s="57">
        <v>0.4286</v>
      </c>
      <c r="AM120" s="57">
        <v>0.169</v>
      </c>
      <c r="AO120" s="57">
        <v>0.3457</v>
      </c>
      <c r="AP120" s="57">
        <v>0.1367</v>
      </c>
      <c r="AR120" s="57">
        <v>0.2486</v>
      </c>
      <c r="AS120" s="57">
        <v>0.0846</v>
      </c>
      <c r="AU120" s="57">
        <v>0.272</v>
      </c>
      <c r="AV120" s="57">
        <v>0.1046</v>
      </c>
      <c r="AX120" s="57">
        <v>0.299</v>
      </c>
      <c r="AY120" s="57">
        <v>0.1042</v>
      </c>
    </row>
    <row r="121">
      <c r="A121" s="57" t="s">
        <v>141</v>
      </c>
      <c r="B121" s="54" t="s">
        <v>144</v>
      </c>
    </row>
    <row r="122">
      <c r="A122" s="57" t="s">
        <v>136</v>
      </c>
      <c r="B122" s="54" t="s">
        <v>144</v>
      </c>
    </row>
    <row r="123">
      <c r="A123" s="57" t="s">
        <v>255</v>
      </c>
      <c r="B123" s="54" t="s">
        <v>58</v>
      </c>
      <c r="C123" s="57">
        <v>2093.0</v>
      </c>
    </row>
    <row r="124">
      <c r="A124" s="57" t="s">
        <v>255</v>
      </c>
      <c r="B124" s="54" t="s">
        <v>58</v>
      </c>
      <c r="C124" s="57">
        <v>2092.0</v>
      </c>
    </row>
    <row r="125">
      <c r="A125" s="57" t="s">
        <v>255</v>
      </c>
      <c r="B125" s="54" t="s">
        <v>58</v>
      </c>
      <c r="C125" s="57">
        <v>2091.0</v>
      </c>
    </row>
    <row r="126">
      <c r="A126" s="57" t="s">
        <v>255</v>
      </c>
      <c r="B126" s="54" t="s">
        <v>149</v>
      </c>
      <c r="C126" s="57">
        <v>2090.0</v>
      </c>
    </row>
    <row r="127">
      <c r="A127" s="57" t="s">
        <v>255</v>
      </c>
      <c r="B127" s="54" t="s">
        <v>58</v>
      </c>
      <c r="C127" s="57">
        <v>2089.0</v>
      </c>
    </row>
    <row r="128">
      <c r="A128" s="57" t="s">
        <v>255</v>
      </c>
      <c r="B128" s="54" t="s">
        <v>64</v>
      </c>
      <c r="C128" s="57">
        <v>2088.0</v>
      </c>
    </row>
    <row r="129">
      <c r="A129" s="57" t="s">
        <v>255</v>
      </c>
      <c r="B129" s="54" t="s">
        <v>64</v>
      </c>
      <c r="C129" s="57">
        <v>2087.0</v>
      </c>
    </row>
    <row r="130">
      <c r="A130" s="57" t="s">
        <v>255</v>
      </c>
      <c r="B130" s="54" t="s">
        <v>64</v>
      </c>
      <c r="C130" s="57">
        <v>2086.0</v>
      </c>
    </row>
    <row r="131">
      <c r="A131" s="57" t="s">
        <v>255</v>
      </c>
      <c r="B131" s="54" t="s">
        <v>64</v>
      </c>
      <c r="C131" s="57">
        <v>2085.0</v>
      </c>
    </row>
    <row r="132">
      <c r="A132" s="57" t="s">
        <v>141</v>
      </c>
      <c r="B132" s="54" t="s">
        <v>64</v>
      </c>
      <c r="C132" s="57">
        <v>2020.0</v>
      </c>
    </row>
    <row r="133">
      <c r="A133" s="57" t="s">
        <v>141</v>
      </c>
      <c r="B133" s="54" t="s">
        <v>64</v>
      </c>
      <c r="C133" s="57">
        <v>2021.0</v>
      </c>
    </row>
    <row r="134">
      <c r="A134" s="57" t="s">
        <v>141</v>
      </c>
      <c r="B134" s="54" t="s">
        <v>58</v>
      </c>
      <c r="C134" s="57">
        <v>2022.0</v>
      </c>
    </row>
    <row r="135">
      <c r="A135" s="57" t="s">
        <v>141</v>
      </c>
      <c r="B135" s="54" t="s">
        <v>58</v>
      </c>
      <c r="C135" s="57">
        <v>2023.0</v>
      </c>
    </row>
    <row r="136">
      <c r="A136" s="57" t="s">
        <v>141</v>
      </c>
      <c r="B136" s="54" t="s">
        <v>64</v>
      </c>
      <c r="C136" s="57">
        <v>2024.0</v>
      </c>
    </row>
    <row r="137">
      <c r="A137" s="57" t="s">
        <v>141</v>
      </c>
      <c r="B137" s="54" t="s">
        <v>64</v>
      </c>
      <c r="C137" s="57">
        <v>2025.0</v>
      </c>
    </row>
    <row r="138">
      <c r="A138" s="57" t="s">
        <v>150</v>
      </c>
      <c r="B138" s="54" t="s">
        <v>64</v>
      </c>
      <c r="C138" s="57">
        <v>2026.0</v>
      </c>
    </row>
    <row r="139">
      <c r="A139" s="57" t="s">
        <v>150</v>
      </c>
      <c r="B139" s="54" t="s">
        <v>64</v>
      </c>
      <c r="C139" s="57">
        <v>2027.0</v>
      </c>
    </row>
    <row r="140">
      <c r="A140" s="57" t="s">
        <v>150</v>
      </c>
      <c r="B140" s="54"/>
      <c r="C140" s="57">
        <v>2028.0</v>
      </c>
    </row>
    <row r="141">
      <c r="A141" s="57" t="s">
        <v>150</v>
      </c>
      <c r="B141" s="54"/>
      <c r="C141" s="57">
        <v>2029.0</v>
      </c>
    </row>
    <row r="142">
      <c r="A142" s="57" t="s">
        <v>150</v>
      </c>
      <c r="B142" s="54"/>
      <c r="C142" s="57">
        <v>2030.0</v>
      </c>
    </row>
    <row r="143">
      <c r="A143" s="57" t="s">
        <v>150</v>
      </c>
      <c r="B143" s="54"/>
      <c r="C143" s="57">
        <v>2031.0</v>
      </c>
    </row>
    <row r="144">
      <c r="A144" s="57" t="s">
        <v>256</v>
      </c>
      <c r="B144" s="54" t="s">
        <v>64</v>
      </c>
      <c r="C144" s="57">
        <v>2012.0</v>
      </c>
    </row>
    <row r="145">
      <c r="A145" s="57" t="s">
        <v>256</v>
      </c>
      <c r="B145" s="54" t="s">
        <v>64</v>
      </c>
      <c r="C145" s="57">
        <v>2013.0</v>
      </c>
    </row>
    <row r="146">
      <c r="A146" s="57" t="s">
        <v>256</v>
      </c>
      <c r="B146" s="54" t="s">
        <v>64</v>
      </c>
      <c r="C146" s="57">
        <v>2014.0</v>
      </c>
    </row>
    <row r="147">
      <c r="A147" s="57" t="s">
        <v>256</v>
      </c>
      <c r="B147" s="54" t="s">
        <v>64</v>
      </c>
      <c r="C147" s="57">
        <v>2015.0</v>
      </c>
    </row>
    <row r="148">
      <c r="A148" s="57" t="s">
        <v>256</v>
      </c>
      <c r="B148" s="54" t="s">
        <v>64</v>
      </c>
      <c r="C148" s="57">
        <v>1478.0</v>
      </c>
    </row>
    <row r="149">
      <c r="B149" s="54"/>
      <c r="C149" s="57">
        <v>2011.0</v>
      </c>
      <c r="AI149" s="57">
        <v>0.0703</v>
      </c>
      <c r="AJ149" s="57">
        <v>0.038</v>
      </c>
      <c r="AL149" s="57">
        <v>0.117</v>
      </c>
      <c r="AM149" s="57">
        <v>0.063</v>
      </c>
      <c r="AO149" s="57">
        <v>0.0897</v>
      </c>
      <c r="AP149" s="57">
        <v>0.0475</v>
      </c>
    </row>
    <row r="150">
      <c r="A150" s="57" t="s">
        <v>257</v>
      </c>
      <c r="B150" s="54" t="s">
        <v>64</v>
      </c>
      <c r="C150" s="57">
        <v>2010.0</v>
      </c>
    </row>
    <row r="151">
      <c r="A151" s="57" t="s">
        <v>258</v>
      </c>
      <c r="B151" s="54" t="s">
        <v>64</v>
      </c>
      <c r="C151" s="57">
        <v>2009.0</v>
      </c>
      <c r="AI151" s="57">
        <v>0.1074</v>
      </c>
      <c r="AJ151" s="57">
        <v>0.0506</v>
      </c>
      <c r="AL151" s="57">
        <v>0.1332</v>
      </c>
      <c r="AM151" s="57">
        <v>0.0681</v>
      </c>
      <c r="AO151" s="57">
        <v>0.1271</v>
      </c>
      <c r="AP151" s="57">
        <v>0.0656</v>
      </c>
    </row>
    <row r="152">
      <c r="B152" s="3"/>
      <c r="C152" s="57">
        <v>2008.0</v>
      </c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2" t="s">
        <v>200</v>
      </c>
      <c r="B1" s="1"/>
      <c r="C1" s="1"/>
    </row>
    <row r="3">
      <c r="A3" s="12" t="s">
        <v>1</v>
      </c>
      <c r="B3" s="38" t="s">
        <v>201</v>
      </c>
      <c r="C3" s="12"/>
    </row>
    <row r="4">
      <c r="A4" s="12" t="s">
        <v>3</v>
      </c>
      <c r="B4" s="38" t="s">
        <v>278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203</v>
      </c>
      <c r="H6" s="30" t="s">
        <v>204</v>
      </c>
      <c r="I6" s="30" t="s">
        <v>205</v>
      </c>
      <c r="J6" s="30" t="s">
        <v>206</v>
      </c>
      <c r="K6" s="30" t="s">
        <v>207</v>
      </c>
      <c r="L6" s="30" t="s">
        <v>208</v>
      </c>
      <c r="M6" s="30" t="s">
        <v>209</v>
      </c>
      <c r="N6" s="30" t="s">
        <v>210</v>
      </c>
      <c r="O6" s="30" t="s">
        <v>211</v>
      </c>
      <c r="P6" s="30" t="s">
        <v>212</v>
      </c>
      <c r="Q6" s="30" t="s">
        <v>213</v>
      </c>
      <c r="R6" s="30" t="s">
        <v>214</v>
      </c>
      <c r="S6" s="30" t="s">
        <v>215</v>
      </c>
      <c r="T6" s="30" t="s">
        <v>216</v>
      </c>
      <c r="U6" s="30" t="s">
        <v>217</v>
      </c>
      <c r="V6" s="30" t="s">
        <v>218</v>
      </c>
      <c r="W6" s="30" t="s">
        <v>219</v>
      </c>
      <c r="X6" s="30" t="s">
        <v>220</v>
      </c>
      <c r="Y6" s="30" t="s">
        <v>221</v>
      </c>
      <c r="Z6" s="30" t="s">
        <v>222</v>
      </c>
      <c r="AA6" s="30" t="s">
        <v>223</v>
      </c>
      <c r="AB6" s="30" t="s">
        <v>224</v>
      </c>
      <c r="AC6" s="30" t="s">
        <v>225</v>
      </c>
      <c r="AD6" s="30" t="s">
        <v>226</v>
      </c>
      <c r="AE6" s="30" t="s">
        <v>227</v>
      </c>
      <c r="AF6" s="30" t="s">
        <v>228</v>
      </c>
      <c r="AG6" s="30" t="s">
        <v>229</v>
      </c>
      <c r="AH6" s="30" t="s">
        <v>230</v>
      </c>
      <c r="AI6" s="30" t="s">
        <v>231</v>
      </c>
      <c r="AJ6" s="30" t="s">
        <v>232</v>
      </c>
      <c r="AK6" s="30" t="s">
        <v>233</v>
      </c>
      <c r="AL6" s="30" t="s">
        <v>234</v>
      </c>
      <c r="AM6" s="30" t="s">
        <v>235</v>
      </c>
      <c r="AN6" s="30" t="s">
        <v>236</v>
      </c>
      <c r="AO6" s="30" t="s">
        <v>237</v>
      </c>
      <c r="AP6" s="30" t="s">
        <v>238</v>
      </c>
      <c r="AQ6" s="30" t="s">
        <v>239</v>
      </c>
      <c r="AR6" s="30" t="s">
        <v>240</v>
      </c>
      <c r="AS6" s="30" t="s">
        <v>241</v>
      </c>
      <c r="AT6" s="30" t="s">
        <v>242</v>
      </c>
      <c r="AU6" s="30" t="s">
        <v>243</v>
      </c>
      <c r="AV6" s="30" t="s">
        <v>244</v>
      </c>
      <c r="AW6" s="30" t="s">
        <v>245</v>
      </c>
      <c r="AX6" s="30" t="s">
        <v>246</v>
      </c>
      <c r="AY6" s="30" t="s">
        <v>247</v>
      </c>
      <c r="AZ6" s="30" t="s">
        <v>248</v>
      </c>
      <c r="BA6" s="30" t="s">
        <v>249</v>
      </c>
      <c r="BB6" s="30" t="s">
        <v>250</v>
      </c>
      <c r="BC6" s="30" t="s">
        <v>251</v>
      </c>
      <c r="BD6" s="30" t="s">
        <v>252</v>
      </c>
      <c r="BE6" s="30" t="s">
        <v>253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  <c r="G7" s="57">
        <v>1.412</v>
      </c>
      <c r="H7" s="57">
        <v>0.1674</v>
      </c>
      <c r="I7" s="57">
        <v>0.109</v>
      </c>
      <c r="J7" s="57">
        <v>1.621</v>
      </c>
      <c r="K7" s="57">
        <v>0.2465</v>
      </c>
      <c r="L7" s="57">
        <v>0.161</v>
      </c>
      <c r="M7" s="57">
        <v>2.033</v>
      </c>
      <c r="N7" s="57">
        <v>0.1288</v>
      </c>
      <c r="O7" s="57">
        <v>0.085</v>
      </c>
      <c r="P7" s="57">
        <v>0.841</v>
      </c>
      <c r="Q7" s="57">
        <v>0.1198</v>
      </c>
      <c r="R7" s="57">
        <v>0.078</v>
      </c>
      <c r="S7" s="57">
        <v>1.235</v>
      </c>
      <c r="T7" s="57">
        <v>0.173</v>
      </c>
      <c r="U7" s="57">
        <v>0.115</v>
      </c>
      <c r="AE7" s="57">
        <v>0.2469</v>
      </c>
      <c r="AF7" s="57">
        <v>0.157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  <c r="G9" s="57">
        <v>1.231</v>
      </c>
      <c r="H9" s="57">
        <v>0.431</v>
      </c>
      <c r="I9" s="57">
        <v>0.272</v>
      </c>
      <c r="J9" s="57">
        <v>1.071</v>
      </c>
      <c r="K9" s="57">
        <v>0.3974</v>
      </c>
      <c r="L9" s="57">
        <v>0.243</v>
      </c>
      <c r="M9" s="57">
        <v>2.213</v>
      </c>
      <c r="N9" s="57">
        <v>0.5254</v>
      </c>
      <c r="O9" s="57">
        <v>0.324</v>
      </c>
      <c r="P9" s="57">
        <v>1.251</v>
      </c>
      <c r="Q9" s="57">
        <v>0.3335</v>
      </c>
      <c r="R9" s="57">
        <v>0.204</v>
      </c>
      <c r="S9" s="57">
        <v>2.185</v>
      </c>
      <c r="T9" s="57">
        <v>0.3775</v>
      </c>
      <c r="U9" s="57">
        <v>0.243</v>
      </c>
      <c r="AE9" s="57">
        <v>0.8855</v>
      </c>
      <c r="AF9" s="57">
        <v>0.545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  <c r="G18" s="57">
        <v>1.3</v>
      </c>
      <c r="H18" s="57">
        <v>0.1718</v>
      </c>
      <c r="I18" s="57">
        <v>0.094</v>
      </c>
      <c r="J18" s="57">
        <v>1.4</v>
      </c>
      <c r="K18" s="57">
        <v>0.1176</v>
      </c>
      <c r="L18" s="57">
        <v>0.063</v>
      </c>
      <c r="M18" s="57">
        <v>1.4</v>
      </c>
      <c r="N18" s="57">
        <v>0.196</v>
      </c>
      <c r="O18" s="57">
        <v>0.108</v>
      </c>
      <c r="AE18" s="57">
        <v>0.806</v>
      </c>
      <c r="AF18" s="57">
        <v>0.434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  <c r="G24" s="57">
        <v>1.4</v>
      </c>
      <c r="H24" s="57">
        <v>0.1461</v>
      </c>
      <c r="I24" s="57">
        <v>0.076</v>
      </c>
      <c r="J24" s="57">
        <v>1.4</v>
      </c>
      <c r="K24" s="57">
        <v>0.1409</v>
      </c>
      <c r="L24" s="57">
        <v>0.074</v>
      </c>
      <c r="M24" s="57" t="s">
        <v>60</v>
      </c>
      <c r="N24" s="57">
        <v>0.127</v>
      </c>
      <c r="O24" s="57">
        <v>0.065</v>
      </c>
      <c r="AE24" s="57">
        <v>0.6212</v>
      </c>
      <c r="AF24" s="57">
        <v>0.318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G27" s="57">
        <v>1.6</v>
      </c>
      <c r="H27" s="57">
        <v>0.1053</v>
      </c>
      <c r="I27" s="57">
        <v>0.055</v>
      </c>
      <c r="J27" s="57">
        <v>1.0</v>
      </c>
      <c r="K27" s="57">
        <v>0.0868</v>
      </c>
      <c r="L27" s="57">
        <v>0.045</v>
      </c>
      <c r="M27" s="57">
        <v>1.1</v>
      </c>
      <c r="N27" s="57">
        <v>0.0993</v>
      </c>
      <c r="O27" s="57">
        <v>0.052</v>
      </c>
      <c r="P27" s="57">
        <v>1.1</v>
      </c>
      <c r="Q27" s="57">
        <v>0.0807</v>
      </c>
      <c r="R27" s="57">
        <v>0.043</v>
      </c>
      <c r="AE27" s="57">
        <v>0.5864</v>
      </c>
      <c r="AF27" s="57">
        <v>0.306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G30" s="57">
        <v>1.6</v>
      </c>
      <c r="H30" s="57">
        <v>0.1047</v>
      </c>
      <c r="I30" s="57">
        <v>0.058</v>
      </c>
      <c r="J30" s="57">
        <v>1.3</v>
      </c>
      <c r="K30" s="57">
        <v>0.1605</v>
      </c>
      <c r="L30" s="57">
        <v>0.087</v>
      </c>
      <c r="M30" s="57">
        <v>1.5</v>
      </c>
      <c r="N30" s="57">
        <v>0.1007</v>
      </c>
      <c r="O30" s="57">
        <v>0.055</v>
      </c>
      <c r="AE30" s="57">
        <v>0.8359</v>
      </c>
      <c r="AF30" s="57">
        <v>0.447</v>
      </c>
    </row>
    <row r="31">
      <c r="A31" s="38" t="s">
        <v>70</v>
      </c>
      <c r="B31" s="38" t="s">
        <v>58</v>
      </c>
      <c r="C31" s="38">
        <v>2376.0</v>
      </c>
      <c r="G31" s="57">
        <v>0.689</v>
      </c>
      <c r="H31" s="57">
        <v>0.2742</v>
      </c>
      <c r="I31" s="57">
        <v>0.173</v>
      </c>
      <c r="J31" s="57">
        <v>0.947</v>
      </c>
      <c r="K31" s="57">
        <v>0.2917</v>
      </c>
      <c r="L31" s="57">
        <v>0.184</v>
      </c>
      <c r="M31" s="57">
        <v>0.849</v>
      </c>
      <c r="N31" s="57">
        <v>0.3317</v>
      </c>
      <c r="O31" s="57">
        <v>0.21</v>
      </c>
      <c r="AE31" s="57">
        <v>1.5208</v>
      </c>
      <c r="AF31" s="57">
        <v>0.961</v>
      </c>
    </row>
    <row r="32">
      <c r="A32" s="38" t="s">
        <v>70</v>
      </c>
      <c r="B32" s="38" t="s">
        <v>58</v>
      </c>
      <c r="C32" s="38">
        <v>2377.0</v>
      </c>
      <c r="G32" s="57">
        <v>0.3</v>
      </c>
      <c r="H32" s="57">
        <v>0.4999</v>
      </c>
      <c r="I32" s="57">
        <v>0.329</v>
      </c>
      <c r="J32" s="57">
        <v>1.1</v>
      </c>
      <c r="K32" s="57">
        <v>0.3096</v>
      </c>
      <c r="L32" s="57">
        <v>0.193</v>
      </c>
      <c r="M32" s="57">
        <v>1.0</v>
      </c>
      <c r="N32" s="57">
        <v>0.6369</v>
      </c>
      <c r="O32" s="57">
        <v>0.399</v>
      </c>
      <c r="P32" s="57">
        <v>0.9</v>
      </c>
      <c r="Q32" s="57">
        <v>0.2622</v>
      </c>
      <c r="R32" s="57">
        <v>0.169</v>
      </c>
      <c r="AE32" s="57">
        <v>1.7582</v>
      </c>
      <c r="AF32" s="57">
        <v>1.101</v>
      </c>
    </row>
    <row r="33">
      <c r="A33" s="38" t="s">
        <v>70</v>
      </c>
      <c r="B33" s="38" t="s">
        <v>64</v>
      </c>
      <c r="C33" s="38">
        <v>2378.0</v>
      </c>
      <c r="G33" s="57">
        <v>1.333</v>
      </c>
      <c r="H33" s="57">
        <v>0.1847</v>
      </c>
      <c r="I33" s="57">
        <v>0.102</v>
      </c>
      <c r="J33" s="57">
        <v>1.301</v>
      </c>
      <c r="K33" s="57">
        <v>0.1666</v>
      </c>
      <c r="L33" s="57">
        <v>0.091</v>
      </c>
      <c r="M33" s="57">
        <v>1.281</v>
      </c>
      <c r="N33" s="57">
        <v>0.1498</v>
      </c>
      <c r="O33" s="57">
        <v>0.083</v>
      </c>
      <c r="AE33" s="57">
        <v>1.4301</v>
      </c>
      <c r="AF33" s="57">
        <v>0.766</v>
      </c>
    </row>
    <row r="34">
      <c r="A34" s="38" t="s">
        <v>70</v>
      </c>
      <c r="B34" s="38" t="s">
        <v>64</v>
      </c>
      <c r="C34" s="38">
        <v>2379.0</v>
      </c>
      <c r="G34" s="57">
        <v>1.212</v>
      </c>
      <c r="H34" s="57">
        <v>0.1302</v>
      </c>
      <c r="I34" s="57">
        <v>0.072</v>
      </c>
      <c r="J34" s="57">
        <v>1.11</v>
      </c>
      <c r="K34" s="57">
        <v>0.0828</v>
      </c>
      <c r="L34" s="57">
        <v>0.046</v>
      </c>
      <c r="M34" s="57">
        <v>1.215</v>
      </c>
      <c r="N34" s="57">
        <v>0.1128</v>
      </c>
      <c r="O34" s="57">
        <v>0.064</v>
      </c>
      <c r="AE34" s="57">
        <v>0.9412</v>
      </c>
      <c r="AF34" s="57">
        <v>0.514</v>
      </c>
    </row>
    <row r="35">
      <c r="A35" s="38" t="s">
        <v>70</v>
      </c>
      <c r="B35" s="38" t="s">
        <v>58</v>
      </c>
      <c r="C35" s="38">
        <v>2380.0</v>
      </c>
      <c r="G35" s="57">
        <v>1.841</v>
      </c>
      <c r="H35" s="57">
        <v>0.1128</v>
      </c>
      <c r="I35" s="57">
        <v>0.075</v>
      </c>
      <c r="J35" s="57">
        <v>0.974</v>
      </c>
      <c r="K35" s="57">
        <v>0.146</v>
      </c>
      <c r="L35" s="57">
        <v>0.094</v>
      </c>
      <c r="M35" s="57">
        <v>0.67</v>
      </c>
      <c r="N35" s="57">
        <v>0.2345</v>
      </c>
      <c r="O35" s="57">
        <v>0.15</v>
      </c>
      <c r="P35" s="57">
        <v>0.962</v>
      </c>
      <c r="Q35" s="57">
        <v>0.1459</v>
      </c>
      <c r="R35" s="57">
        <v>0.095</v>
      </c>
      <c r="AE35" s="57">
        <v>3.7176</v>
      </c>
      <c r="AF35" s="57">
        <v>2.173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  <c r="G42" s="57">
        <v>1.3</v>
      </c>
      <c r="H42" s="57">
        <v>0.317</v>
      </c>
      <c r="I42" s="57">
        <v>0.17</v>
      </c>
      <c r="J42" s="57">
        <v>1.6</v>
      </c>
      <c r="K42" s="57">
        <v>0.2196</v>
      </c>
      <c r="L42" s="57">
        <v>0.119</v>
      </c>
      <c r="M42" s="57">
        <v>1.6</v>
      </c>
      <c r="N42" s="57">
        <v>0.2838</v>
      </c>
      <c r="O42" s="57">
        <v>0.155</v>
      </c>
      <c r="AE42" s="57">
        <v>1.3455</v>
      </c>
      <c r="AF42" s="57">
        <v>0.712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  <c r="G46" s="57">
        <v>0.6</v>
      </c>
      <c r="H46" s="57">
        <v>0.2446</v>
      </c>
      <c r="I46" s="57">
        <v>0.15</v>
      </c>
      <c r="J46" s="57">
        <v>0.5</v>
      </c>
      <c r="K46" s="57">
        <v>0.1695</v>
      </c>
      <c r="L46" s="57">
        <v>0.104</v>
      </c>
      <c r="M46" s="57">
        <v>0.5</v>
      </c>
      <c r="N46" s="57">
        <v>0.2333</v>
      </c>
      <c r="O46" s="57">
        <v>0.146</v>
      </c>
      <c r="AE46" s="57">
        <v>1.3766</v>
      </c>
      <c r="AF46" s="57">
        <v>0.844</v>
      </c>
    </row>
    <row r="47">
      <c r="A47" s="12" t="s">
        <v>74</v>
      </c>
      <c r="B47" s="12" t="s">
        <v>64</v>
      </c>
      <c r="C47" s="12">
        <v>2346.0</v>
      </c>
      <c r="G47" s="57">
        <v>1.89</v>
      </c>
      <c r="H47" s="57">
        <v>0.4189</v>
      </c>
      <c r="I47" s="57">
        <v>0.236</v>
      </c>
      <c r="J47" s="57">
        <v>1.9</v>
      </c>
      <c r="K47" s="57">
        <v>0.2232</v>
      </c>
      <c r="L47" s="57">
        <v>0.13</v>
      </c>
      <c r="M47" s="57">
        <v>1.593</v>
      </c>
      <c r="N47" s="57">
        <v>0.1053</v>
      </c>
      <c r="O47" s="57">
        <v>0.057</v>
      </c>
      <c r="P47" s="57">
        <v>1.72</v>
      </c>
      <c r="Q47" s="57">
        <v>0.0799</v>
      </c>
      <c r="R47" s="57">
        <v>0.047</v>
      </c>
      <c r="AE47" s="57">
        <v>0.5043</v>
      </c>
      <c r="AF47" s="57">
        <v>0.239</v>
      </c>
    </row>
    <row r="48">
      <c r="A48" s="12" t="s">
        <v>74</v>
      </c>
      <c r="B48" s="12" t="s">
        <v>64</v>
      </c>
      <c r="C48" s="12">
        <v>2347.0</v>
      </c>
      <c r="G48" s="57">
        <v>1.5</v>
      </c>
      <c r="H48" s="57">
        <v>0.1583</v>
      </c>
      <c r="I48" s="57">
        <v>0.08</v>
      </c>
      <c r="J48" s="57">
        <v>1.8</v>
      </c>
      <c r="K48" s="57">
        <v>0.2138</v>
      </c>
      <c r="L48" s="57">
        <v>0.109</v>
      </c>
      <c r="M48" s="57">
        <v>1.5</v>
      </c>
      <c r="N48" s="57">
        <v>0.1166</v>
      </c>
      <c r="O48" s="57">
        <v>0.059</v>
      </c>
      <c r="AE48" s="57">
        <v>0.9979</v>
      </c>
      <c r="AF48" s="57">
        <v>0.497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  <c r="G53" s="57">
        <v>1.5</v>
      </c>
      <c r="H53" s="57">
        <v>0.2063</v>
      </c>
      <c r="I53" s="57">
        <v>0.099</v>
      </c>
      <c r="J53" s="57">
        <v>1.2</v>
      </c>
      <c r="K53" s="57">
        <v>0.1154</v>
      </c>
      <c r="L53" s="57">
        <v>0.055</v>
      </c>
      <c r="M53" s="57">
        <v>1.3</v>
      </c>
      <c r="N53" s="57">
        <v>0.1633</v>
      </c>
      <c r="O53" s="57">
        <v>0.079</v>
      </c>
      <c r="AE53" s="57">
        <v>0.7979</v>
      </c>
      <c r="AF53" s="57">
        <v>0.38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  <c r="G75" s="57">
        <v>1.471</v>
      </c>
      <c r="H75" s="57">
        <v>0.219</v>
      </c>
      <c r="I75" s="57">
        <v>0.14</v>
      </c>
      <c r="J75" s="57">
        <v>1.15</v>
      </c>
      <c r="K75" s="57">
        <v>0.2296</v>
      </c>
      <c r="L75" s="57">
        <v>0.144</v>
      </c>
      <c r="M75" s="57">
        <v>1.289</v>
      </c>
      <c r="N75" s="57">
        <v>0.191</v>
      </c>
      <c r="O75" s="57">
        <v>0.123</v>
      </c>
      <c r="AE75" s="57">
        <v>1.7243</v>
      </c>
      <c r="AF75" s="57">
        <v>0.703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  <c r="G82" s="57">
        <v>1.36</v>
      </c>
      <c r="H82" s="57">
        <v>0.2629</v>
      </c>
      <c r="I82" s="57">
        <v>0.166</v>
      </c>
      <c r="J82" s="57">
        <v>1.38</v>
      </c>
      <c r="K82" s="57">
        <v>0.3142</v>
      </c>
      <c r="L82" s="57">
        <v>0.199</v>
      </c>
      <c r="M82" s="57">
        <v>1.384</v>
      </c>
      <c r="N82" s="57">
        <v>0.3714</v>
      </c>
      <c r="O82" s="57">
        <v>0.228</v>
      </c>
      <c r="AE82" s="57">
        <v>1.1619</v>
      </c>
      <c r="AF82" s="57">
        <v>0.728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  <c r="G91" s="57">
        <v>1.45</v>
      </c>
      <c r="H91" s="57">
        <v>0.0766</v>
      </c>
      <c r="I91" s="57">
        <v>0.039</v>
      </c>
      <c r="J91" s="57">
        <v>1.416</v>
      </c>
      <c r="K91" s="57">
        <v>0.0646</v>
      </c>
      <c r="L91" s="57">
        <v>0.033</v>
      </c>
      <c r="AE91" s="57">
        <v>0.3267</v>
      </c>
      <c r="AF91" s="57">
        <v>0.149</v>
      </c>
    </row>
    <row r="92">
      <c r="A92" s="53" t="s">
        <v>107</v>
      </c>
      <c r="B92" s="54" t="s">
        <v>64</v>
      </c>
      <c r="C92" s="55">
        <v>2371.0</v>
      </c>
      <c r="G92" s="57">
        <v>1.129</v>
      </c>
      <c r="H92" s="57">
        <v>0.158</v>
      </c>
      <c r="I92" s="57">
        <v>0.074</v>
      </c>
      <c r="J92" s="57">
        <v>0.998</v>
      </c>
      <c r="K92" s="57">
        <v>0.0934</v>
      </c>
      <c r="L92" s="57">
        <v>0.046</v>
      </c>
      <c r="M92" s="57">
        <v>0.879</v>
      </c>
      <c r="N92" s="57">
        <v>0.1438</v>
      </c>
      <c r="O92" s="57">
        <v>0.067</v>
      </c>
      <c r="AE92" s="57">
        <v>0.8597</v>
      </c>
      <c r="AF92" s="57">
        <v>0.41</v>
      </c>
    </row>
    <row r="93">
      <c r="A93" s="53" t="s">
        <v>108</v>
      </c>
      <c r="B93" s="54" t="s">
        <v>64</v>
      </c>
      <c r="C93" s="55">
        <v>2372.0</v>
      </c>
      <c r="G93" s="57">
        <v>1.217</v>
      </c>
      <c r="H93" s="57">
        <v>0.1206</v>
      </c>
      <c r="I93" s="57">
        <v>0.062</v>
      </c>
      <c r="J93" s="57">
        <v>1.188</v>
      </c>
      <c r="K93" s="57">
        <v>0.1228</v>
      </c>
      <c r="L93" s="57">
        <v>0.064</v>
      </c>
      <c r="M93" s="57">
        <v>1.228</v>
      </c>
      <c r="N93" s="57">
        <v>0.1194</v>
      </c>
      <c r="O93" s="57">
        <v>0.063</v>
      </c>
      <c r="AE93" s="57">
        <v>0.6786</v>
      </c>
      <c r="AF93" s="57">
        <v>0.288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  <c r="G107" s="57">
        <v>1.4</v>
      </c>
      <c r="H107" s="57">
        <v>0.1492</v>
      </c>
      <c r="I107" s="57">
        <v>0.082</v>
      </c>
      <c r="J107" s="57">
        <v>1.2</v>
      </c>
      <c r="K107" s="57">
        <v>0.1596</v>
      </c>
      <c r="L107" s="57">
        <v>0.087</v>
      </c>
      <c r="M107" s="57">
        <v>1.6</v>
      </c>
      <c r="N107" s="57">
        <v>0.1804</v>
      </c>
      <c r="O107" s="57">
        <v>0.101</v>
      </c>
      <c r="AE107" s="57">
        <v>0.8111</v>
      </c>
      <c r="AF107" s="57">
        <v>0.439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G110" s="57">
        <v>2.45</v>
      </c>
      <c r="H110" s="57">
        <v>0.2082</v>
      </c>
      <c r="I110" s="57">
        <v>0.117</v>
      </c>
      <c r="J110" s="57">
        <v>2.6</v>
      </c>
      <c r="K110" s="57">
        <v>0.2113</v>
      </c>
      <c r="L110" s="57">
        <v>0.12</v>
      </c>
      <c r="M110" s="57">
        <v>1.4</v>
      </c>
      <c r="N110" s="57">
        <v>0.4267</v>
      </c>
      <c r="O110" s="57">
        <v>0.234</v>
      </c>
      <c r="P110" s="57">
        <v>1.35</v>
      </c>
      <c r="Q110" s="57">
        <v>0.2241</v>
      </c>
      <c r="R110" s="57">
        <v>0.123</v>
      </c>
      <c r="S110" s="57">
        <v>1.1</v>
      </c>
      <c r="T110" s="57">
        <v>0.2925</v>
      </c>
      <c r="U110" s="57">
        <v>0.16</v>
      </c>
      <c r="V110" s="57">
        <v>1.6</v>
      </c>
      <c r="W110" s="57">
        <v>0.1017</v>
      </c>
      <c r="X110" s="57">
        <v>0.058</v>
      </c>
      <c r="Y110" s="57">
        <v>1.5</v>
      </c>
      <c r="Z110" s="57">
        <v>0.1953</v>
      </c>
      <c r="AA110" s="57">
        <v>0.109</v>
      </c>
      <c r="AE110" s="57">
        <v>0.1926</v>
      </c>
      <c r="AF110" s="57">
        <v>0.108</v>
      </c>
    </row>
    <row r="111">
      <c r="A111" s="2" t="s">
        <v>117</v>
      </c>
      <c r="B111" s="54" t="s">
        <v>64</v>
      </c>
      <c r="C111" s="60">
        <v>2383.0</v>
      </c>
      <c r="G111" s="57">
        <v>0.951</v>
      </c>
      <c r="H111" s="57">
        <v>0.1729</v>
      </c>
      <c r="I111" s="57">
        <v>0.095</v>
      </c>
      <c r="J111" s="57">
        <v>0.95</v>
      </c>
      <c r="K111" s="57">
        <v>0.1714</v>
      </c>
      <c r="L111" s="57">
        <v>0.096</v>
      </c>
      <c r="M111" s="57" t="s">
        <v>60</v>
      </c>
      <c r="N111" s="57">
        <v>0.0958</v>
      </c>
      <c r="O111" s="57">
        <v>0.053</v>
      </c>
      <c r="AE111" s="57">
        <v>0.7765</v>
      </c>
      <c r="AF111" s="57">
        <v>0.426</v>
      </c>
    </row>
    <row r="112">
      <c r="A112" s="2" t="s">
        <v>117</v>
      </c>
      <c r="B112" s="54" t="s">
        <v>64</v>
      </c>
      <c r="C112" s="57">
        <v>2384.0</v>
      </c>
      <c r="G112" s="57">
        <v>1.1</v>
      </c>
      <c r="H112" s="57">
        <v>0.1965</v>
      </c>
      <c r="I112" s="57">
        <v>0.11</v>
      </c>
      <c r="J112" s="57">
        <v>1.0</v>
      </c>
      <c r="K112" s="57">
        <v>0.0601</v>
      </c>
      <c r="L112" s="57">
        <v>0.034</v>
      </c>
      <c r="M112" s="57">
        <v>1.1</v>
      </c>
      <c r="N112" s="57">
        <v>0.117</v>
      </c>
      <c r="O112" s="57">
        <v>0.067</v>
      </c>
      <c r="AE112" s="57">
        <v>1.1212</v>
      </c>
      <c r="AF112" s="57">
        <v>0.619</v>
      </c>
    </row>
    <row r="113">
      <c r="A113" s="57" t="s">
        <v>136</v>
      </c>
      <c r="B113" s="54" t="s">
        <v>64</v>
      </c>
      <c r="C113" s="57">
        <v>2004.0</v>
      </c>
    </row>
    <row r="114">
      <c r="A114" s="57" t="s">
        <v>136</v>
      </c>
      <c r="B114" s="54" t="s">
        <v>64</v>
      </c>
      <c r="C114" s="57">
        <v>2005.0</v>
      </c>
    </row>
    <row r="115">
      <c r="A115" s="57" t="s">
        <v>136</v>
      </c>
      <c r="B115" s="54" t="s">
        <v>64</v>
      </c>
      <c r="C115" s="57">
        <v>2006.0</v>
      </c>
    </row>
    <row r="116">
      <c r="A116" s="57" t="s">
        <v>136</v>
      </c>
      <c r="B116" s="54" t="s">
        <v>64</v>
      </c>
      <c r="C116" s="57">
        <v>2007.0</v>
      </c>
    </row>
    <row r="117">
      <c r="A117" s="57" t="s">
        <v>254</v>
      </c>
      <c r="B117" s="54" t="s">
        <v>139</v>
      </c>
      <c r="G117" s="57">
        <v>1.52</v>
      </c>
      <c r="H117" s="57">
        <v>0.2527</v>
      </c>
      <c r="I117" s="57">
        <v>0.103</v>
      </c>
      <c r="J117" s="57">
        <v>1.351</v>
      </c>
      <c r="K117" s="57">
        <v>0.1469</v>
      </c>
      <c r="L117" s="57">
        <v>0.063</v>
      </c>
      <c r="M117" s="57">
        <v>1.797</v>
      </c>
      <c r="N117" s="57">
        <v>0.1989</v>
      </c>
      <c r="O117" s="57">
        <v>0.08</v>
      </c>
      <c r="P117" s="57">
        <v>1.139</v>
      </c>
      <c r="Q117" s="57">
        <v>0.1625</v>
      </c>
      <c r="R117" s="57">
        <v>0.07</v>
      </c>
      <c r="S117" s="57">
        <v>1.104</v>
      </c>
      <c r="T117" s="57">
        <v>0.0678</v>
      </c>
      <c r="U117" s="57">
        <v>0.027</v>
      </c>
    </row>
    <row r="118">
      <c r="A118" s="57" t="s">
        <v>141</v>
      </c>
      <c r="B118" s="54" t="s">
        <v>139</v>
      </c>
    </row>
    <row r="119">
      <c r="A119" s="57" t="s">
        <v>136</v>
      </c>
      <c r="B119" s="54" t="s">
        <v>139</v>
      </c>
    </row>
    <row r="120">
      <c r="A120" s="57" t="s">
        <v>254</v>
      </c>
      <c r="B120" s="54" t="s">
        <v>144</v>
      </c>
      <c r="G120" s="57">
        <v>2.223</v>
      </c>
      <c r="H120" s="57">
        <v>0.744</v>
      </c>
      <c r="I120" s="57">
        <v>0.2965</v>
      </c>
      <c r="J120" s="57">
        <v>2.039</v>
      </c>
      <c r="K120" s="57">
        <v>0.3889</v>
      </c>
      <c r="L120" s="57">
        <v>0.157</v>
      </c>
      <c r="M120" s="57">
        <v>2.1</v>
      </c>
      <c r="N120" s="57">
        <v>0.5704</v>
      </c>
      <c r="O120" s="57">
        <v>0.231</v>
      </c>
      <c r="P120" s="57">
        <v>2.443</v>
      </c>
      <c r="Q120" s="57">
        <v>0.3725</v>
      </c>
      <c r="R120" s="57">
        <v>0.182</v>
      </c>
      <c r="S120" s="57">
        <v>2.143</v>
      </c>
      <c r="T120" s="57">
        <v>0.5835</v>
      </c>
      <c r="U120" s="57">
        <v>0.27</v>
      </c>
      <c r="V120" s="57">
        <v>2.362</v>
      </c>
      <c r="W120" s="57">
        <v>0.4253</v>
      </c>
      <c r="X120" s="57">
        <v>0.202</v>
      </c>
    </row>
    <row r="121">
      <c r="A121" s="57" t="s">
        <v>141</v>
      </c>
      <c r="B121" s="54" t="s">
        <v>144</v>
      </c>
    </row>
    <row r="122">
      <c r="A122" s="57" t="s">
        <v>136</v>
      </c>
      <c r="B122" s="54" t="s">
        <v>144</v>
      </c>
    </row>
    <row r="123">
      <c r="A123" s="57" t="s">
        <v>255</v>
      </c>
      <c r="B123" s="54" t="s">
        <v>58</v>
      </c>
      <c r="C123" s="57">
        <v>2093.0</v>
      </c>
      <c r="BC123" s="57">
        <v>1.117</v>
      </c>
      <c r="BD123" s="57">
        <v>0.366</v>
      </c>
    </row>
    <row r="124">
      <c r="A124" s="57" t="s">
        <v>255</v>
      </c>
      <c r="B124" s="54" t="s">
        <v>58</v>
      </c>
      <c r="C124" s="57">
        <v>2092.0</v>
      </c>
      <c r="BC124" s="57">
        <v>1.619</v>
      </c>
      <c r="BD124" s="57">
        <v>0.661</v>
      </c>
    </row>
    <row r="125">
      <c r="A125" s="57" t="s">
        <v>255</v>
      </c>
      <c r="B125" s="54" t="s">
        <v>58</v>
      </c>
      <c r="C125" s="57">
        <v>2091.0</v>
      </c>
      <c r="BC125" s="57">
        <v>2.073</v>
      </c>
      <c r="BD125" s="57">
        <v>0.947</v>
      </c>
    </row>
    <row r="126">
      <c r="A126" s="57" t="s">
        <v>255</v>
      </c>
      <c r="B126" s="54" t="s">
        <v>149</v>
      </c>
      <c r="C126" s="57">
        <v>2090.0</v>
      </c>
      <c r="BC126" s="57">
        <v>1.744</v>
      </c>
      <c r="BD126" s="57">
        <v>0.571</v>
      </c>
    </row>
    <row r="127">
      <c r="A127" s="57" t="s">
        <v>255</v>
      </c>
      <c r="B127" s="54" t="s">
        <v>58</v>
      </c>
      <c r="C127" s="57">
        <v>2089.0</v>
      </c>
      <c r="BC127" s="57">
        <v>1.948</v>
      </c>
      <c r="BD127" s="57">
        <v>0.853</v>
      </c>
      <c r="BF127" s="57" t="s">
        <v>279</v>
      </c>
    </row>
    <row r="128">
      <c r="A128" s="57" t="s">
        <v>255</v>
      </c>
      <c r="B128" s="54" t="s">
        <v>64</v>
      </c>
      <c r="C128" s="57">
        <v>2088.0</v>
      </c>
      <c r="BC128" s="57">
        <v>1.346</v>
      </c>
      <c r="BD128" s="57">
        <v>0.353</v>
      </c>
    </row>
    <row r="129">
      <c r="A129" s="57" t="s">
        <v>255</v>
      </c>
      <c r="B129" s="54" t="s">
        <v>64</v>
      </c>
      <c r="C129" s="57">
        <v>2087.0</v>
      </c>
      <c r="BC129" s="57">
        <v>1.292</v>
      </c>
      <c r="BD129" s="57">
        <v>0.291</v>
      </c>
    </row>
    <row r="130">
      <c r="A130" s="57" t="s">
        <v>255</v>
      </c>
      <c r="B130" s="54" t="s">
        <v>64</v>
      </c>
      <c r="C130" s="57">
        <v>2086.0</v>
      </c>
      <c r="BC130" s="57">
        <v>1.906</v>
      </c>
      <c r="BD130" s="57">
        <v>0.845</v>
      </c>
    </row>
    <row r="131">
      <c r="A131" s="57" t="s">
        <v>255</v>
      </c>
      <c r="B131" s="54" t="s">
        <v>64</v>
      </c>
      <c r="C131" s="57">
        <v>2085.0</v>
      </c>
      <c r="BC131" s="57">
        <v>2.3</v>
      </c>
      <c r="BD131" s="57">
        <v>0.762</v>
      </c>
    </row>
    <row r="132">
      <c r="A132" s="57" t="s">
        <v>141</v>
      </c>
      <c r="B132" s="54" t="s">
        <v>64</v>
      </c>
      <c r="C132" s="57">
        <v>2020.0</v>
      </c>
    </row>
    <row r="133">
      <c r="A133" s="57" t="s">
        <v>141</v>
      </c>
      <c r="B133" s="54" t="s">
        <v>64</v>
      </c>
      <c r="C133" s="57">
        <v>2021.0</v>
      </c>
    </row>
    <row r="134">
      <c r="A134" s="57" t="s">
        <v>141</v>
      </c>
      <c r="B134" s="54" t="s">
        <v>58</v>
      </c>
      <c r="C134" s="57">
        <v>2022.0</v>
      </c>
    </row>
    <row r="135">
      <c r="A135" s="57" t="s">
        <v>141</v>
      </c>
      <c r="B135" s="54" t="s">
        <v>58</v>
      </c>
      <c r="C135" s="57">
        <v>2023.0</v>
      </c>
    </row>
    <row r="136">
      <c r="A136" s="57" t="s">
        <v>141</v>
      </c>
      <c r="B136" s="54" t="s">
        <v>64</v>
      </c>
      <c r="C136" s="57">
        <v>2024.0</v>
      </c>
    </row>
    <row r="137">
      <c r="A137" s="57" t="s">
        <v>141</v>
      </c>
      <c r="B137" s="54" t="s">
        <v>64</v>
      </c>
      <c r="C137" s="57">
        <v>2025.0</v>
      </c>
    </row>
    <row r="138">
      <c r="A138" s="57" t="s">
        <v>150</v>
      </c>
      <c r="B138" s="54" t="s">
        <v>64</v>
      </c>
      <c r="C138" s="57">
        <v>2026.0</v>
      </c>
    </row>
    <row r="139">
      <c r="A139" s="57" t="s">
        <v>150</v>
      </c>
      <c r="B139" s="54" t="s">
        <v>64</v>
      </c>
      <c r="C139" s="57">
        <v>2027.0</v>
      </c>
    </row>
    <row r="140">
      <c r="A140" s="57" t="s">
        <v>150</v>
      </c>
      <c r="B140" s="54"/>
      <c r="C140" s="57">
        <v>2028.0</v>
      </c>
    </row>
    <row r="141">
      <c r="A141" s="57" t="s">
        <v>150</v>
      </c>
      <c r="B141" s="54"/>
      <c r="C141" s="57">
        <v>2029.0</v>
      </c>
    </row>
    <row r="142">
      <c r="A142" s="57" t="s">
        <v>150</v>
      </c>
      <c r="B142" s="54"/>
      <c r="C142" s="57">
        <v>2030.0</v>
      </c>
    </row>
    <row r="143">
      <c r="A143" s="57" t="s">
        <v>150</v>
      </c>
      <c r="B143" s="54"/>
      <c r="C143" s="57">
        <v>2031.0</v>
      </c>
    </row>
    <row r="144">
      <c r="A144" s="57" t="s">
        <v>256</v>
      </c>
      <c r="B144" s="54" t="s">
        <v>64</v>
      </c>
      <c r="C144" s="57">
        <v>2012.0</v>
      </c>
    </row>
    <row r="145">
      <c r="A145" s="57" t="s">
        <v>256</v>
      </c>
      <c r="B145" s="54" t="s">
        <v>64</v>
      </c>
      <c r="C145" s="57">
        <v>2013.0</v>
      </c>
    </row>
    <row r="146">
      <c r="A146" s="57" t="s">
        <v>256</v>
      </c>
      <c r="B146" s="54" t="s">
        <v>64</v>
      </c>
      <c r="C146" s="57">
        <v>2014.0</v>
      </c>
    </row>
    <row r="147">
      <c r="A147" s="57" t="s">
        <v>256</v>
      </c>
      <c r="B147" s="54" t="s">
        <v>64</v>
      </c>
      <c r="C147" s="57">
        <v>2015.0</v>
      </c>
    </row>
    <row r="148">
      <c r="A148" s="57" t="s">
        <v>256</v>
      </c>
      <c r="B148" s="54" t="s">
        <v>64</v>
      </c>
      <c r="C148" s="57">
        <v>1478.0</v>
      </c>
    </row>
    <row r="149">
      <c r="B149" s="54"/>
      <c r="C149" s="57">
        <v>2011.0</v>
      </c>
      <c r="G149" s="57">
        <v>1.6</v>
      </c>
      <c r="H149" s="57">
        <v>0.124</v>
      </c>
      <c r="I149" s="57">
        <v>0.07</v>
      </c>
      <c r="J149" s="57">
        <v>1.3</v>
      </c>
      <c r="K149" s="57">
        <v>0.1306</v>
      </c>
      <c r="L149" s="57">
        <v>0.072</v>
      </c>
      <c r="M149" s="57">
        <v>1.6</v>
      </c>
      <c r="N149" s="57">
        <v>0.1235</v>
      </c>
      <c r="O149" s="57">
        <v>0.069</v>
      </c>
      <c r="AE149" s="57">
        <v>1.1259</v>
      </c>
      <c r="AF149" s="57">
        <v>0.613</v>
      </c>
    </row>
    <row r="150">
      <c r="A150" s="57" t="s">
        <v>257</v>
      </c>
      <c r="B150" s="54" t="s">
        <v>64</v>
      </c>
      <c r="C150" s="57">
        <v>2010.0</v>
      </c>
      <c r="G150" s="57">
        <v>1.46</v>
      </c>
      <c r="H150" s="57">
        <v>0.2034</v>
      </c>
      <c r="I150" s="57">
        <v>0.112</v>
      </c>
      <c r="J150" s="57">
        <v>1.29</v>
      </c>
      <c r="K150" s="57">
        <v>0.1814</v>
      </c>
      <c r="L150" s="57">
        <v>0.099</v>
      </c>
      <c r="M150" s="57">
        <v>1.215</v>
      </c>
      <c r="N150" s="57">
        <v>0.2556</v>
      </c>
      <c r="O150" s="57">
        <v>0.14</v>
      </c>
      <c r="P150" s="57">
        <v>1.416</v>
      </c>
      <c r="Q150" s="57">
        <v>0.1277</v>
      </c>
      <c r="R150" s="57">
        <v>0.072</v>
      </c>
      <c r="AE150" s="57">
        <v>0.7206</v>
      </c>
      <c r="AF150" s="57">
        <v>0.391</v>
      </c>
    </row>
    <row r="151">
      <c r="A151" s="57" t="s">
        <v>258</v>
      </c>
      <c r="B151" s="54" t="s">
        <v>64</v>
      </c>
      <c r="C151" s="57">
        <v>2009.0</v>
      </c>
      <c r="G151" s="57">
        <v>1.279</v>
      </c>
      <c r="H151" s="57">
        <v>0.111</v>
      </c>
      <c r="I151" s="57">
        <v>0.06</v>
      </c>
      <c r="J151" s="57">
        <v>1.301</v>
      </c>
      <c r="K151" s="57">
        <v>0.1331</v>
      </c>
      <c r="L151" s="57">
        <v>0.071</v>
      </c>
      <c r="M151" s="57">
        <v>1.4</v>
      </c>
      <c r="N151" s="57">
        <v>0.1577</v>
      </c>
      <c r="O151" s="57">
        <v>0.085</v>
      </c>
      <c r="AE151" s="57">
        <v>0.8395</v>
      </c>
      <c r="AF151" s="57">
        <v>0.439</v>
      </c>
    </row>
    <row r="152">
      <c r="B152" s="3"/>
      <c r="C152" s="57">
        <v>2008.0</v>
      </c>
    </row>
    <row r="153">
      <c r="B153" s="54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2" t="s">
        <v>200</v>
      </c>
      <c r="B1" s="1"/>
      <c r="C1" s="1"/>
    </row>
    <row r="3">
      <c r="A3" s="12" t="s">
        <v>1</v>
      </c>
      <c r="B3" s="38" t="s">
        <v>201</v>
      </c>
      <c r="C3" s="12"/>
    </row>
    <row r="4">
      <c r="A4" s="12" t="s">
        <v>3</v>
      </c>
      <c r="B4" s="38" t="s">
        <v>280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203</v>
      </c>
      <c r="H6" s="30" t="s">
        <v>204</v>
      </c>
      <c r="I6" s="30" t="s">
        <v>205</v>
      </c>
      <c r="J6" s="30" t="s">
        <v>206</v>
      </c>
      <c r="K6" s="30" t="s">
        <v>207</v>
      </c>
      <c r="L6" s="30" t="s">
        <v>208</v>
      </c>
      <c r="M6" s="30" t="s">
        <v>209</v>
      </c>
      <c r="N6" s="30" t="s">
        <v>210</v>
      </c>
      <c r="O6" s="30" t="s">
        <v>211</v>
      </c>
      <c r="P6" s="30" t="s">
        <v>212</v>
      </c>
      <c r="Q6" s="30" t="s">
        <v>213</v>
      </c>
      <c r="R6" s="30" t="s">
        <v>214</v>
      </c>
      <c r="S6" s="30" t="s">
        <v>215</v>
      </c>
      <c r="T6" s="30" t="s">
        <v>216</v>
      </c>
      <c r="U6" s="30" t="s">
        <v>217</v>
      </c>
      <c r="V6" s="30" t="s">
        <v>218</v>
      </c>
      <c r="W6" s="30" t="s">
        <v>219</v>
      </c>
      <c r="X6" s="30" t="s">
        <v>220</v>
      </c>
      <c r="Y6" s="30" t="s">
        <v>221</v>
      </c>
      <c r="Z6" s="30" t="s">
        <v>222</v>
      </c>
      <c r="AA6" s="30" t="s">
        <v>223</v>
      </c>
      <c r="AB6" s="30" t="s">
        <v>224</v>
      </c>
      <c r="AC6" s="30" t="s">
        <v>225</v>
      </c>
      <c r="AD6" s="30" t="s">
        <v>226</v>
      </c>
      <c r="AE6" s="30" t="s">
        <v>227</v>
      </c>
      <c r="AF6" s="30" t="s">
        <v>228</v>
      </c>
      <c r="AG6" s="30" t="s">
        <v>229</v>
      </c>
      <c r="AH6" s="30" t="s">
        <v>230</v>
      </c>
      <c r="AI6" s="30" t="s">
        <v>231</v>
      </c>
      <c r="AJ6" s="30" t="s">
        <v>232</v>
      </c>
      <c r="AK6" s="30" t="s">
        <v>233</v>
      </c>
      <c r="AL6" s="30" t="s">
        <v>234</v>
      </c>
      <c r="AM6" s="30" t="s">
        <v>235</v>
      </c>
      <c r="AN6" s="30" t="s">
        <v>236</v>
      </c>
      <c r="AO6" s="30" t="s">
        <v>237</v>
      </c>
      <c r="AP6" s="30" t="s">
        <v>238</v>
      </c>
      <c r="AQ6" s="30" t="s">
        <v>239</v>
      </c>
      <c r="AR6" s="30" t="s">
        <v>240</v>
      </c>
      <c r="AS6" s="30" t="s">
        <v>241</v>
      </c>
      <c r="AT6" s="30" t="s">
        <v>242</v>
      </c>
      <c r="AU6" s="30" t="s">
        <v>243</v>
      </c>
      <c r="AV6" s="30" t="s">
        <v>244</v>
      </c>
      <c r="AW6" s="30" t="s">
        <v>245</v>
      </c>
      <c r="AX6" s="30" t="s">
        <v>246</v>
      </c>
      <c r="AY6" s="30" t="s">
        <v>247</v>
      </c>
      <c r="AZ6" s="30" t="s">
        <v>248</v>
      </c>
      <c r="BA6" s="30" t="s">
        <v>249</v>
      </c>
      <c r="BB6" s="30" t="s">
        <v>250</v>
      </c>
      <c r="BC6" s="30" t="s">
        <v>251</v>
      </c>
      <c r="BD6" s="30" t="s">
        <v>252</v>
      </c>
      <c r="BE6" s="30" t="s">
        <v>253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  <c r="AJ7" s="76">
        <v>0.057</v>
      </c>
      <c r="AM7" s="76">
        <v>0.0803</v>
      </c>
      <c r="AP7" s="76">
        <v>0.0715</v>
      </c>
      <c r="AS7" s="76">
        <v>0.0827</v>
      </c>
      <c r="BD7" s="76">
        <v>0.2494</v>
      </c>
      <c r="BF7" s="76" t="s">
        <v>281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  <c r="AJ9" s="76">
        <v>0.0534</v>
      </c>
      <c r="AM9" s="76">
        <v>0.0898</v>
      </c>
      <c r="AP9" s="76">
        <v>0.0475</v>
      </c>
      <c r="BD9" s="76">
        <v>0.6109</v>
      </c>
      <c r="BF9" s="76" t="s">
        <v>282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  <c r="AJ18" s="76">
        <v>0.0701</v>
      </c>
      <c r="AM18" s="76">
        <v>0.0593</v>
      </c>
      <c r="AP18" s="76">
        <v>0.0601</v>
      </c>
      <c r="AS18" s="76">
        <v>0.0737</v>
      </c>
      <c r="BD18" s="76">
        <v>0.1026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  <c r="AH24" s="57">
        <v>1.565</v>
      </c>
      <c r="AJ24" s="76">
        <v>0.0398</v>
      </c>
      <c r="AK24" s="57">
        <v>1.406</v>
      </c>
      <c r="AM24" s="76">
        <v>0.0363</v>
      </c>
      <c r="AN24" s="57">
        <v>1.781</v>
      </c>
      <c r="AP24" s="76">
        <v>0.0495</v>
      </c>
      <c r="AQ24" s="57">
        <v>2.234</v>
      </c>
      <c r="AS24" s="76">
        <v>0.0412</v>
      </c>
      <c r="AT24" s="57">
        <v>2.148</v>
      </c>
      <c r="AV24" s="76">
        <v>0.0481</v>
      </c>
      <c r="AW24" s="57">
        <v>1.668</v>
      </c>
      <c r="AY24" s="76">
        <v>0.0336</v>
      </c>
      <c r="BD24" s="76">
        <v>0.7295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AH27" s="57">
        <v>2.371</v>
      </c>
      <c r="AJ27" s="76">
        <v>0.0674</v>
      </c>
      <c r="AK27" s="57">
        <v>2.345</v>
      </c>
      <c r="AM27" s="76">
        <v>0.0608</v>
      </c>
      <c r="AN27" s="57">
        <v>2.138</v>
      </c>
      <c r="AP27" s="76">
        <v>0.0541</v>
      </c>
      <c r="AS27" s="76">
        <v>0.0419</v>
      </c>
      <c r="BD27" s="76">
        <v>0.5775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AH30" s="57">
        <v>2.491</v>
      </c>
      <c r="AK30" s="57">
        <v>2.831</v>
      </c>
      <c r="AN30" s="57">
        <v>2.887</v>
      </c>
      <c r="AQ30" s="57">
        <v>2.458</v>
      </c>
    </row>
    <row r="31">
      <c r="A31" s="38" t="s">
        <v>70</v>
      </c>
      <c r="B31" s="38" t="s">
        <v>58</v>
      </c>
      <c r="C31" s="38">
        <v>2376.0</v>
      </c>
      <c r="AJ31" s="76">
        <v>0.1769</v>
      </c>
      <c r="AM31" s="76">
        <v>0.1089</v>
      </c>
      <c r="AP31" s="76">
        <v>0.1179</v>
      </c>
      <c r="BD31" s="76">
        <v>1.2531</v>
      </c>
    </row>
    <row r="32">
      <c r="A32" s="38" t="s">
        <v>70</v>
      </c>
      <c r="B32" s="38" t="s">
        <v>58</v>
      </c>
      <c r="C32" s="38">
        <v>2377.0</v>
      </c>
      <c r="AJ32" s="76">
        <v>0.1038</v>
      </c>
      <c r="AM32" s="76">
        <v>0.23</v>
      </c>
      <c r="AP32" s="76">
        <v>0.1009</v>
      </c>
      <c r="AS32" s="76">
        <v>0.0633</v>
      </c>
      <c r="AV32" s="76">
        <v>0.0843</v>
      </c>
      <c r="BD32" s="76">
        <v>0.7148</v>
      </c>
      <c r="BF32" s="76" t="s">
        <v>283</v>
      </c>
    </row>
    <row r="33">
      <c r="A33" s="38" t="s">
        <v>70</v>
      </c>
      <c r="B33" s="38" t="s">
        <v>64</v>
      </c>
      <c r="C33" s="38">
        <v>2378.0</v>
      </c>
      <c r="AJ33" s="76">
        <v>0.0627</v>
      </c>
      <c r="AM33" s="76">
        <v>0.0535</v>
      </c>
      <c r="BD33" s="76">
        <v>0.634</v>
      </c>
    </row>
    <row r="34">
      <c r="A34" s="38" t="s">
        <v>70</v>
      </c>
      <c r="B34" s="38" t="s">
        <v>64</v>
      </c>
      <c r="C34" s="38">
        <v>2379.0</v>
      </c>
      <c r="AJ34" s="76">
        <v>0.0706</v>
      </c>
      <c r="AM34" s="76">
        <v>0.1195</v>
      </c>
      <c r="AP34" s="76">
        <v>0.0557</v>
      </c>
      <c r="AS34" s="76">
        <v>0.0643</v>
      </c>
      <c r="AV34" s="76">
        <v>0.1023</v>
      </c>
      <c r="BD34" s="76">
        <v>0.9419</v>
      </c>
    </row>
    <row r="35">
      <c r="A35" s="38" t="s">
        <v>70</v>
      </c>
      <c r="B35" s="38" t="s">
        <v>58</v>
      </c>
      <c r="C35" s="38">
        <v>2380.0</v>
      </c>
      <c r="AJ35" s="76">
        <v>0.1473</v>
      </c>
      <c r="AM35" s="76">
        <v>0.1552</v>
      </c>
      <c r="AP35" s="76">
        <v>0.1552</v>
      </c>
      <c r="BD35" s="76">
        <v>1.1364</v>
      </c>
      <c r="BF35" s="76" t="s">
        <v>284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  <c r="AH42" s="57">
        <v>1.855</v>
      </c>
      <c r="AJ42" s="76">
        <v>0.0951</v>
      </c>
      <c r="AK42" s="57">
        <v>1.791</v>
      </c>
      <c r="AM42" s="76">
        <v>0.1269</v>
      </c>
      <c r="AN42" s="57">
        <v>2.013</v>
      </c>
      <c r="AP42" s="76">
        <v>0.1197</v>
      </c>
      <c r="BD42" s="76">
        <v>0.8441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  <c r="AH46" s="57">
        <v>2.132</v>
      </c>
      <c r="AJ46" s="76">
        <v>0.138</v>
      </c>
      <c r="AK46" s="57">
        <v>2.323</v>
      </c>
      <c r="AM46" s="76">
        <v>0.1026</v>
      </c>
      <c r="AN46" s="57">
        <v>2.719</v>
      </c>
      <c r="AP46" s="76">
        <v>0.1458</v>
      </c>
      <c r="AQ46" s="57">
        <v>2.691</v>
      </c>
      <c r="AS46" s="76">
        <v>0.0978</v>
      </c>
      <c r="BD46" s="76">
        <v>0.4184</v>
      </c>
    </row>
    <row r="47">
      <c r="A47" s="12" t="s">
        <v>74</v>
      </c>
      <c r="B47" s="12" t="s">
        <v>64</v>
      </c>
      <c r="C47" s="12">
        <v>2346.0</v>
      </c>
      <c r="AH47" s="57">
        <v>1.912</v>
      </c>
      <c r="AJ47" s="76">
        <v>0.024</v>
      </c>
      <c r="AK47" s="57">
        <v>2.112</v>
      </c>
      <c r="AM47" s="76">
        <v>0.0257</v>
      </c>
      <c r="AN47" s="57">
        <v>1.92</v>
      </c>
      <c r="AP47" s="76">
        <v>0.0319</v>
      </c>
      <c r="BD47" s="76">
        <v>0.5555</v>
      </c>
      <c r="BF47" s="76" t="s">
        <v>285</v>
      </c>
    </row>
    <row r="48">
      <c r="A48" s="12" t="s">
        <v>74</v>
      </c>
      <c r="B48" s="12" t="s">
        <v>64</v>
      </c>
      <c r="C48" s="12">
        <v>2347.0</v>
      </c>
      <c r="AH48" s="57">
        <v>1.71</v>
      </c>
      <c r="AJ48" s="76">
        <v>0.0663</v>
      </c>
      <c r="AK48" s="57">
        <v>1.411</v>
      </c>
      <c r="AM48" s="76">
        <v>0.0489</v>
      </c>
      <c r="AN48" s="57">
        <v>1.556</v>
      </c>
      <c r="AP48" s="76">
        <v>0.0573</v>
      </c>
      <c r="BD48" s="76">
        <v>0.4937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  <c r="AJ53" s="76">
        <v>0.0607</v>
      </c>
      <c r="AM53" s="76">
        <v>0.0613</v>
      </c>
      <c r="AP53" s="76">
        <v>0.0863</v>
      </c>
      <c r="BD53" s="76">
        <v>0.6189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  <c r="AJ75" s="76">
        <v>0.1573</v>
      </c>
      <c r="AM75" s="76">
        <v>0.1507</v>
      </c>
      <c r="AP75" s="76">
        <v>0.0836</v>
      </c>
      <c r="AS75" s="76">
        <v>0.1108</v>
      </c>
      <c r="AV75" s="76" t="s">
        <v>286</v>
      </c>
      <c r="AY75" s="76">
        <v>0.1025</v>
      </c>
      <c r="BD75" s="76">
        <v>0.6203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  <c r="AJ81" s="76">
        <v>0.0788</v>
      </c>
      <c r="AM81" s="76">
        <v>0.0609</v>
      </c>
      <c r="BD81" s="76">
        <v>0.3975</v>
      </c>
    </row>
    <row r="82">
      <c r="A82" s="12" t="s">
        <v>101</v>
      </c>
      <c r="B82" s="12" t="s">
        <v>58</v>
      </c>
      <c r="C82" s="34">
        <v>2301.0</v>
      </c>
      <c r="AJ82" s="76">
        <v>0.1724</v>
      </c>
      <c r="AM82" s="76">
        <v>0.161</v>
      </c>
      <c r="AP82" s="76">
        <v>0.2252</v>
      </c>
      <c r="AS82" s="76">
        <v>0.1117</v>
      </c>
      <c r="BD82" s="76">
        <v>1.5263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  <c r="AJ91" s="76">
        <v>0.0352</v>
      </c>
      <c r="AM91" s="76">
        <v>0.0352</v>
      </c>
      <c r="AP91" s="76">
        <v>0.0305</v>
      </c>
      <c r="BD91" s="76">
        <v>0.3384</v>
      </c>
    </row>
    <row r="92">
      <c r="A92" s="53" t="s">
        <v>107</v>
      </c>
      <c r="B92" s="54" t="s">
        <v>64</v>
      </c>
      <c r="C92" s="55">
        <v>2371.0</v>
      </c>
      <c r="AJ92" s="76">
        <v>0.0539</v>
      </c>
      <c r="AM92" s="76">
        <v>0.0506</v>
      </c>
      <c r="AP92" s="76">
        <v>0.0609</v>
      </c>
      <c r="BD92" s="76">
        <v>0.4127</v>
      </c>
    </row>
    <row r="93">
      <c r="A93" s="53" t="s">
        <v>108</v>
      </c>
      <c r="B93" s="54" t="s">
        <v>64</v>
      </c>
      <c r="C93" s="55">
        <v>2372.0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  <c r="AI107" s="76">
        <v>0.1056</v>
      </c>
      <c r="AJ107" s="76">
        <v>0.1088</v>
      </c>
      <c r="AL107" s="76">
        <v>0.1146</v>
      </c>
      <c r="AM107" s="76">
        <v>0.1181</v>
      </c>
      <c r="AO107" s="76">
        <v>0.0657</v>
      </c>
      <c r="AP107" s="76">
        <v>0.0661</v>
      </c>
      <c r="BC107" s="76">
        <v>0.8771</v>
      </c>
      <c r="BD107" s="76">
        <v>1.1974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AJ110" s="76">
        <v>0.129</v>
      </c>
      <c r="AM110" s="76">
        <v>0.0471</v>
      </c>
      <c r="AP110" s="76">
        <v>0.0643</v>
      </c>
      <c r="AS110" s="76">
        <v>0.1053</v>
      </c>
      <c r="AV110" s="76">
        <v>0.1289</v>
      </c>
      <c r="BD110" s="76">
        <v>0.8618</v>
      </c>
    </row>
    <row r="111">
      <c r="A111" s="2" t="s">
        <v>117</v>
      </c>
      <c r="B111" s="54" t="s">
        <v>64</v>
      </c>
      <c r="C111" s="60">
        <v>2383.0</v>
      </c>
      <c r="AJ111" s="76">
        <v>0.0583</v>
      </c>
      <c r="AM111" s="76">
        <v>0.1047</v>
      </c>
      <c r="AP111" s="76">
        <v>0.0639</v>
      </c>
      <c r="AS111" s="76">
        <v>0.06</v>
      </c>
      <c r="BD111" s="76">
        <v>0.8493</v>
      </c>
    </row>
    <row r="112">
      <c r="A112" s="2" t="s">
        <v>117</v>
      </c>
      <c r="B112" s="54" t="s">
        <v>64</v>
      </c>
      <c r="C112" s="57">
        <v>2384.0</v>
      </c>
      <c r="AJ112" s="76">
        <v>0.0692</v>
      </c>
      <c r="AM112" s="76">
        <v>0.0594</v>
      </c>
      <c r="AP112" s="76">
        <v>0.0638</v>
      </c>
      <c r="BD112" s="76">
        <v>0.5346</v>
      </c>
    </row>
    <row r="113">
      <c r="A113" s="57" t="s">
        <v>136</v>
      </c>
      <c r="B113" s="54" t="s">
        <v>64</v>
      </c>
      <c r="C113" s="57">
        <v>2004.0</v>
      </c>
      <c r="AJ113" s="76">
        <v>0.0284</v>
      </c>
      <c r="AM113" s="76">
        <v>0.0392</v>
      </c>
      <c r="AP113" s="76">
        <v>0.0361</v>
      </c>
      <c r="BD113" s="76">
        <v>0.5484</v>
      </c>
    </row>
    <row r="114">
      <c r="A114" s="57" t="s">
        <v>136</v>
      </c>
      <c r="B114" s="54" t="s">
        <v>64</v>
      </c>
      <c r="C114" s="57">
        <v>2005.0</v>
      </c>
      <c r="AJ114" s="76">
        <v>0.1089</v>
      </c>
      <c r="AM114" s="76">
        <v>0.0713</v>
      </c>
      <c r="AP114" s="76">
        <v>0.0857</v>
      </c>
      <c r="BD114" s="76">
        <v>1.5488</v>
      </c>
    </row>
    <row r="115">
      <c r="A115" s="57" t="s">
        <v>136</v>
      </c>
      <c r="B115" s="54" t="s">
        <v>64</v>
      </c>
      <c r="C115" s="57">
        <v>2006.0</v>
      </c>
      <c r="AJ115" s="76">
        <v>0.0568</v>
      </c>
      <c r="AM115" s="76">
        <v>0.1008</v>
      </c>
      <c r="AP115" s="76">
        <v>0.1028</v>
      </c>
      <c r="BD115" s="76">
        <v>1.7009</v>
      </c>
    </row>
    <row r="116">
      <c r="A116" s="57" t="s">
        <v>136</v>
      </c>
      <c r="B116" s="54" t="s">
        <v>64</v>
      </c>
      <c r="C116" s="57">
        <v>2007.0</v>
      </c>
      <c r="AJ116" s="76">
        <v>0.0474</v>
      </c>
      <c r="AM116" s="76">
        <v>0.0476</v>
      </c>
      <c r="AP116" s="76">
        <v>0.0319</v>
      </c>
      <c r="BD116" s="76">
        <v>1.176</v>
      </c>
    </row>
    <row r="117">
      <c r="A117" s="57" t="s">
        <v>254</v>
      </c>
      <c r="B117" s="54" t="s">
        <v>139</v>
      </c>
      <c r="AJ117" s="57">
        <v>0.0572</v>
      </c>
      <c r="AM117" s="57">
        <v>0.0496</v>
      </c>
      <c r="AP117" s="57">
        <v>0.0708</v>
      </c>
      <c r="AS117" s="57">
        <v>0.0609</v>
      </c>
      <c r="AV117" s="57">
        <v>0.0411</v>
      </c>
      <c r="AY117" s="57">
        <v>0.0218</v>
      </c>
    </row>
    <row r="118">
      <c r="A118" s="57" t="s">
        <v>141</v>
      </c>
      <c r="B118" s="54" t="s">
        <v>139</v>
      </c>
    </row>
    <row r="119">
      <c r="A119" s="57" t="s">
        <v>136</v>
      </c>
      <c r="B119" s="54" t="s">
        <v>139</v>
      </c>
      <c r="AJ119" s="57">
        <v>0.0516</v>
      </c>
      <c r="AM119" s="57">
        <v>0.06</v>
      </c>
      <c r="AP119" s="57">
        <v>0.0323</v>
      </c>
      <c r="AS119" s="57">
        <v>0.0515</v>
      </c>
      <c r="AV119" s="57">
        <v>0.0807</v>
      </c>
      <c r="AY119" s="57">
        <v>0.0416</v>
      </c>
    </row>
    <row r="120">
      <c r="A120" s="57" t="s">
        <v>254</v>
      </c>
      <c r="B120" s="54" t="s">
        <v>144</v>
      </c>
      <c r="AJ120" s="57">
        <v>0.1886</v>
      </c>
      <c r="AM120" s="57">
        <v>0.1869</v>
      </c>
      <c r="AP120" s="57">
        <v>0.1325</v>
      </c>
      <c r="AS120" s="57">
        <v>0.1228</v>
      </c>
      <c r="AV120" s="57">
        <v>0.2154</v>
      </c>
      <c r="AY120" s="57">
        <v>0.1461</v>
      </c>
    </row>
    <row r="121">
      <c r="A121" s="57" t="s">
        <v>141</v>
      </c>
      <c r="B121" s="54" t="s">
        <v>144</v>
      </c>
      <c r="AJ121" s="57">
        <v>0.2212</v>
      </c>
      <c r="AM121" s="57">
        <v>0.1987</v>
      </c>
      <c r="AP121" s="57">
        <v>0.2103</v>
      </c>
      <c r="AS121" s="57">
        <v>0.1925</v>
      </c>
      <c r="AV121" s="57">
        <v>0.2317</v>
      </c>
      <c r="AY121" s="57">
        <v>0.1219</v>
      </c>
    </row>
    <row r="122">
      <c r="A122" s="57" t="s">
        <v>136</v>
      </c>
      <c r="B122" s="54" t="s">
        <v>144</v>
      </c>
      <c r="AJ122" s="57">
        <v>0.1929</v>
      </c>
      <c r="AM122" s="57">
        <v>0.2607</v>
      </c>
      <c r="AP122" s="57">
        <v>0.2329</v>
      </c>
      <c r="AS122" s="57">
        <v>0.1526</v>
      </c>
      <c r="AV122" s="57">
        <v>0.2299</v>
      </c>
      <c r="AY122" s="57">
        <v>0.3025</v>
      </c>
      <c r="BD122" s="76"/>
    </row>
    <row r="123">
      <c r="A123" s="57" t="s">
        <v>255</v>
      </c>
      <c r="B123" s="54" t="s">
        <v>58</v>
      </c>
      <c r="C123" s="57">
        <v>2093.0</v>
      </c>
      <c r="BC123" s="57">
        <v>1.414</v>
      </c>
      <c r="BD123" s="57">
        <v>0.834</v>
      </c>
    </row>
    <row r="124">
      <c r="A124" s="57" t="s">
        <v>255</v>
      </c>
      <c r="B124" s="54" t="s">
        <v>58</v>
      </c>
      <c r="C124" s="57">
        <v>2092.0</v>
      </c>
    </row>
    <row r="125">
      <c r="A125" s="57" t="s">
        <v>255</v>
      </c>
      <c r="B125" s="54" t="s">
        <v>58</v>
      </c>
      <c r="C125" s="57">
        <v>2091.0</v>
      </c>
    </row>
    <row r="126">
      <c r="A126" s="57" t="s">
        <v>255</v>
      </c>
      <c r="B126" s="54" t="s">
        <v>149</v>
      </c>
      <c r="C126" s="57">
        <v>2090.0</v>
      </c>
    </row>
    <row r="127">
      <c r="A127" s="57" t="s">
        <v>255</v>
      </c>
      <c r="B127" s="54" t="s">
        <v>58</v>
      </c>
      <c r="C127" s="57">
        <v>2089.0</v>
      </c>
    </row>
    <row r="128">
      <c r="A128" s="57" t="s">
        <v>255</v>
      </c>
      <c r="B128" s="54" t="s">
        <v>64</v>
      </c>
      <c r="C128" s="57">
        <v>2088.0</v>
      </c>
      <c r="AE128" s="57">
        <v>1.961</v>
      </c>
      <c r="AF128" s="57">
        <v>0.913</v>
      </c>
    </row>
    <row r="129">
      <c r="A129" s="57" t="s">
        <v>255</v>
      </c>
      <c r="B129" s="54" t="s">
        <v>64</v>
      </c>
      <c r="C129" s="57">
        <v>2087.0</v>
      </c>
    </row>
    <row r="130">
      <c r="A130" s="57" t="s">
        <v>255</v>
      </c>
      <c r="B130" s="54" t="s">
        <v>64</v>
      </c>
      <c r="C130" s="57">
        <v>2086.0</v>
      </c>
    </row>
    <row r="131">
      <c r="A131" s="57" t="s">
        <v>255</v>
      </c>
      <c r="B131" s="54" t="s">
        <v>64</v>
      </c>
      <c r="C131" s="57">
        <v>2085.0</v>
      </c>
    </row>
    <row r="132">
      <c r="A132" s="57" t="s">
        <v>141</v>
      </c>
      <c r="B132" s="54" t="s">
        <v>64</v>
      </c>
      <c r="C132" s="57">
        <v>2020.0</v>
      </c>
      <c r="AJ132" s="76">
        <v>0.0639</v>
      </c>
      <c r="AM132" s="76">
        <v>0.0515</v>
      </c>
      <c r="AP132" s="76">
        <v>0.0596</v>
      </c>
      <c r="BD132" s="76">
        <v>1.5465</v>
      </c>
    </row>
    <row r="133">
      <c r="A133" s="57" t="s">
        <v>141</v>
      </c>
      <c r="B133" s="54" t="s">
        <v>64</v>
      </c>
      <c r="C133" s="57">
        <v>2021.0</v>
      </c>
      <c r="AJ133" s="76">
        <v>0.0702</v>
      </c>
      <c r="AM133" s="76">
        <v>0.0612</v>
      </c>
      <c r="AP133" s="76">
        <v>0.0347</v>
      </c>
      <c r="BD133" s="76">
        <v>1.2673</v>
      </c>
    </row>
    <row r="134">
      <c r="A134" s="57" t="s">
        <v>141</v>
      </c>
      <c r="B134" s="54" t="s">
        <v>58</v>
      </c>
      <c r="C134" s="57">
        <v>2022.0</v>
      </c>
    </row>
    <row r="135">
      <c r="A135" s="57" t="s">
        <v>141</v>
      </c>
      <c r="B135" s="54" t="s">
        <v>58</v>
      </c>
      <c r="C135" s="57">
        <v>2023.0</v>
      </c>
    </row>
    <row r="136">
      <c r="A136" s="57" t="s">
        <v>141</v>
      </c>
      <c r="B136" s="54" t="s">
        <v>64</v>
      </c>
      <c r="C136" s="57">
        <v>2024.0</v>
      </c>
      <c r="AJ136" s="76">
        <v>0.1374</v>
      </c>
      <c r="AM136" s="76">
        <v>0.0967</v>
      </c>
      <c r="AP136" s="76">
        <v>0.0789</v>
      </c>
      <c r="BD136" s="76">
        <v>1.229</v>
      </c>
    </row>
    <row r="137">
      <c r="A137" s="57" t="s">
        <v>141</v>
      </c>
      <c r="B137" s="54" t="s">
        <v>64</v>
      </c>
      <c r="C137" s="57">
        <v>2025.0</v>
      </c>
      <c r="AJ137" s="76">
        <v>0.0746</v>
      </c>
      <c r="AM137" s="76">
        <v>0.0575</v>
      </c>
      <c r="AP137" s="76">
        <v>0.0386</v>
      </c>
      <c r="AS137" s="76">
        <v>0.0681</v>
      </c>
      <c r="BD137" s="76">
        <v>0.8209</v>
      </c>
    </row>
    <row r="138">
      <c r="A138" s="57" t="s">
        <v>150</v>
      </c>
      <c r="B138" s="54" t="s">
        <v>64</v>
      </c>
      <c r="C138" s="57">
        <v>2026.0</v>
      </c>
      <c r="AJ138" s="76">
        <v>0.0612</v>
      </c>
      <c r="AM138" s="76">
        <v>0.0385</v>
      </c>
      <c r="AP138" s="76">
        <v>0.0679</v>
      </c>
      <c r="BD138" s="76">
        <v>0.3524</v>
      </c>
    </row>
    <row r="139">
      <c r="A139" s="57" t="s">
        <v>150</v>
      </c>
      <c r="B139" s="54" t="s">
        <v>64</v>
      </c>
      <c r="C139" s="57">
        <v>2027.0</v>
      </c>
      <c r="AJ139" s="76">
        <v>0.0858</v>
      </c>
      <c r="AM139" s="76">
        <v>0.0994</v>
      </c>
      <c r="AP139" s="76">
        <v>0.0931</v>
      </c>
      <c r="AS139" s="76">
        <v>0.1114</v>
      </c>
      <c r="BD139" s="76">
        <v>1.709</v>
      </c>
    </row>
    <row r="140">
      <c r="A140" s="57" t="s">
        <v>150</v>
      </c>
      <c r="B140" s="54"/>
      <c r="C140" s="57">
        <v>2028.0</v>
      </c>
      <c r="AJ140" s="76">
        <v>0.069</v>
      </c>
      <c r="AM140" s="76">
        <v>0.0889</v>
      </c>
      <c r="AP140" s="76">
        <v>0.055</v>
      </c>
      <c r="BD140" s="76">
        <v>0.6329</v>
      </c>
    </row>
    <row r="141">
      <c r="A141" s="57" t="s">
        <v>150</v>
      </c>
      <c r="B141" s="54"/>
      <c r="C141" s="57">
        <v>2029.0</v>
      </c>
    </row>
    <row r="142">
      <c r="A142" s="57" t="s">
        <v>150</v>
      </c>
      <c r="B142" s="54"/>
      <c r="C142" s="57">
        <v>2030.0</v>
      </c>
    </row>
    <row r="143">
      <c r="A143" s="57" t="s">
        <v>150</v>
      </c>
      <c r="B143" s="54"/>
      <c r="C143" s="57">
        <v>2031.0</v>
      </c>
      <c r="AJ143" s="76">
        <v>0.0733</v>
      </c>
      <c r="AM143" s="76">
        <v>0.1088</v>
      </c>
      <c r="AP143" s="76">
        <v>0.0865</v>
      </c>
      <c r="BD143" s="76">
        <v>1.1291</v>
      </c>
    </row>
    <row r="144">
      <c r="A144" s="57" t="s">
        <v>256</v>
      </c>
      <c r="B144" s="54" t="s">
        <v>64</v>
      </c>
      <c r="C144" s="57">
        <v>2012.0</v>
      </c>
      <c r="AJ144" s="76">
        <v>0.0405</v>
      </c>
      <c r="AM144" s="76">
        <v>0.0394</v>
      </c>
      <c r="AP144" s="76">
        <v>0.0415</v>
      </c>
      <c r="BD144" s="76">
        <v>1.015</v>
      </c>
    </row>
    <row r="145">
      <c r="A145" s="57" t="s">
        <v>256</v>
      </c>
      <c r="B145" s="54" t="s">
        <v>64</v>
      </c>
      <c r="C145" s="57">
        <v>2013.0</v>
      </c>
      <c r="AJ145" s="76">
        <v>0.0839</v>
      </c>
      <c r="AM145" s="76">
        <v>0.0545</v>
      </c>
      <c r="AP145" s="76">
        <v>0.0403</v>
      </c>
      <c r="AS145" s="76">
        <v>0.0326</v>
      </c>
      <c r="BD145" s="76">
        <v>0.9117</v>
      </c>
    </row>
    <row r="146">
      <c r="A146" s="57" t="s">
        <v>256</v>
      </c>
      <c r="B146" s="54" t="s">
        <v>64</v>
      </c>
      <c r="C146" s="57">
        <v>2014.0</v>
      </c>
    </row>
    <row r="147">
      <c r="A147" s="57" t="s">
        <v>256</v>
      </c>
      <c r="B147" s="54" t="s">
        <v>64</v>
      </c>
      <c r="C147" s="57">
        <v>2015.0</v>
      </c>
      <c r="AJ147" s="76">
        <v>0.0631</v>
      </c>
      <c r="AM147" s="76">
        <v>0.0358</v>
      </c>
      <c r="AP147" s="76">
        <v>0.0759</v>
      </c>
      <c r="AS147" s="76">
        <v>0.0481</v>
      </c>
      <c r="BD147" s="76">
        <v>0.9273</v>
      </c>
    </row>
    <row r="148">
      <c r="A148" s="57" t="s">
        <v>256</v>
      </c>
      <c r="B148" s="54" t="s">
        <v>64</v>
      </c>
      <c r="C148" s="57">
        <v>1478.0</v>
      </c>
      <c r="AJ148" s="76">
        <v>0.042</v>
      </c>
      <c r="AM148" s="76">
        <v>0.0699</v>
      </c>
      <c r="AP148" s="76">
        <v>0.0572</v>
      </c>
      <c r="AS148" s="76">
        <v>0.0554</v>
      </c>
      <c r="AV148" s="76">
        <v>0.0786</v>
      </c>
      <c r="BD148" s="76">
        <v>1.2356</v>
      </c>
    </row>
    <row r="149">
      <c r="B149" s="54"/>
      <c r="C149" s="57">
        <v>2011.0</v>
      </c>
      <c r="AJ149" s="76">
        <v>0.1032</v>
      </c>
      <c r="AM149" s="76">
        <v>0.1013</v>
      </c>
      <c r="AP149" s="76">
        <v>0.068</v>
      </c>
      <c r="BD149" s="76">
        <v>0.4914</v>
      </c>
    </row>
    <row r="150">
      <c r="A150" s="57" t="s">
        <v>257</v>
      </c>
      <c r="B150" s="54" t="s">
        <v>64</v>
      </c>
      <c r="C150" s="57">
        <v>2010.0</v>
      </c>
      <c r="AJ150" s="76">
        <v>0.1129</v>
      </c>
      <c r="AM150" s="76">
        <v>0.1074</v>
      </c>
      <c r="BD150" s="76">
        <v>0.8816</v>
      </c>
    </row>
    <row r="151">
      <c r="A151" s="57" t="s">
        <v>258</v>
      </c>
      <c r="B151" s="54" t="s">
        <v>64</v>
      </c>
      <c r="C151" s="57">
        <v>2009.0</v>
      </c>
      <c r="AJ151" s="76">
        <v>0.1283</v>
      </c>
      <c r="AM151" s="76">
        <v>0.1406</v>
      </c>
      <c r="AP151" s="76">
        <v>0.1134</v>
      </c>
      <c r="BD151" s="76">
        <v>0.5266</v>
      </c>
      <c r="BF151" s="76"/>
    </row>
    <row r="152">
      <c r="B152" s="3"/>
      <c r="C152" s="57">
        <v>2008.0</v>
      </c>
    </row>
    <row r="153">
      <c r="B153" s="54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2" t="s">
        <v>200</v>
      </c>
      <c r="B1" s="1"/>
      <c r="C1" s="1"/>
    </row>
    <row r="3">
      <c r="A3" s="12" t="s">
        <v>1</v>
      </c>
      <c r="B3" s="38" t="s">
        <v>201</v>
      </c>
      <c r="C3" s="12"/>
    </row>
    <row r="4">
      <c r="A4" s="12" t="s">
        <v>3</v>
      </c>
      <c r="B4" s="38" t="s">
        <v>278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203</v>
      </c>
      <c r="H6" s="30" t="s">
        <v>204</v>
      </c>
      <c r="I6" s="30" t="s">
        <v>205</v>
      </c>
      <c r="J6" s="30" t="s">
        <v>206</v>
      </c>
      <c r="K6" s="30" t="s">
        <v>207</v>
      </c>
      <c r="L6" s="30" t="s">
        <v>208</v>
      </c>
      <c r="M6" s="30" t="s">
        <v>209</v>
      </c>
      <c r="N6" s="30" t="s">
        <v>210</v>
      </c>
      <c r="O6" s="30" t="s">
        <v>211</v>
      </c>
      <c r="P6" s="30" t="s">
        <v>212</v>
      </c>
      <c r="Q6" s="30" t="s">
        <v>213</v>
      </c>
      <c r="R6" s="30" t="s">
        <v>214</v>
      </c>
      <c r="S6" s="30" t="s">
        <v>215</v>
      </c>
      <c r="T6" s="30" t="s">
        <v>216</v>
      </c>
      <c r="U6" s="30" t="s">
        <v>217</v>
      </c>
      <c r="V6" s="30" t="s">
        <v>218</v>
      </c>
      <c r="W6" s="30" t="s">
        <v>219</v>
      </c>
      <c r="X6" s="30" t="s">
        <v>220</v>
      </c>
      <c r="Y6" s="30" t="s">
        <v>221</v>
      </c>
      <c r="Z6" s="30" t="s">
        <v>222</v>
      </c>
      <c r="AA6" s="30" t="s">
        <v>223</v>
      </c>
      <c r="AB6" s="30" t="s">
        <v>224</v>
      </c>
      <c r="AC6" s="30" t="s">
        <v>225</v>
      </c>
      <c r="AD6" s="30" t="s">
        <v>226</v>
      </c>
      <c r="AE6" s="30" t="s">
        <v>227</v>
      </c>
      <c r="AF6" s="30" t="s">
        <v>228</v>
      </c>
      <c r="AG6" s="30" t="s">
        <v>229</v>
      </c>
      <c r="AH6" s="30" t="s">
        <v>230</v>
      </c>
      <c r="AI6" s="30" t="s">
        <v>231</v>
      </c>
      <c r="AJ6" s="30" t="s">
        <v>232</v>
      </c>
      <c r="AK6" s="30" t="s">
        <v>233</v>
      </c>
      <c r="AL6" s="30" t="s">
        <v>234</v>
      </c>
      <c r="AM6" s="30" t="s">
        <v>235</v>
      </c>
      <c r="AN6" s="30" t="s">
        <v>236</v>
      </c>
      <c r="AO6" s="30" t="s">
        <v>237</v>
      </c>
      <c r="AP6" s="30" t="s">
        <v>238</v>
      </c>
      <c r="AQ6" s="30" t="s">
        <v>239</v>
      </c>
      <c r="AR6" s="30" t="s">
        <v>240</v>
      </c>
      <c r="AS6" s="30" t="s">
        <v>241</v>
      </c>
      <c r="AT6" s="30" t="s">
        <v>242</v>
      </c>
      <c r="AU6" s="30" t="s">
        <v>243</v>
      </c>
      <c r="AV6" s="30" t="s">
        <v>244</v>
      </c>
      <c r="AW6" s="30" t="s">
        <v>245</v>
      </c>
      <c r="AX6" s="30" t="s">
        <v>246</v>
      </c>
      <c r="AY6" s="30" t="s">
        <v>247</v>
      </c>
      <c r="AZ6" s="30" t="s">
        <v>248</v>
      </c>
      <c r="BA6" s="30" t="s">
        <v>249</v>
      </c>
      <c r="BB6" s="30" t="s">
        <v>250</v>
      </c>
      <c r="BC6" s="30" t="s">
        <v>251</v>
      </c>
      <c r="BD6" s="30" t="s">
        <v>252</v>
      </c>
      <c r="BE6" s="30" t="s">
        <v>253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  <c r="AE7" s="57">
        <v>2.02</v>
      </c>
      <c r="AF7" s="57">
        <v>1.2922</v>
      </c>
      <c r="BC7" s="57">
        <v>1.98</v>
      </c>
      <c r="BD7" s="57">
        <v>1.2816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  <c r="AE9" s="57">
        <v>1.86</v>
      </c>
      <c r="AF9" s="57">
        <v>1.127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  <c r="AE18" s="57">
        <v>1.95</v>
      </c>
      <c r="AF18" s="57">
        <v>1.0463</v>
      </c>
      <c r="AH18" s="57">
        <v>2.88</v>
      </c>
      <c r="AK18" s="57">
        <v>2.531</v>
      </c>
      <c r="AN18" s="57">
        <v>2.864</v>
      </c>
      <c r="BC18" s="57">
        <v>0.85</v>
      </c>
      <c r="BD18" s="57">
        <v>0.4809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  <c r="AE24" s="57">
        <v>0.963</v>
      </c>
      <c r="AF24" s="57">
        <v>0.4932</v>
      </c>
      <c r="AH24" s="57">
        <v>3.0</v>
      </c>
      <c r="AK24" s="57">
        <v>3.25</v>
      </c>
      <c r="AN24" s="57">
        <v>3.3</v>
      </c>
      <c r="BC24" s="57">
        <v>0.92</v>
      </c>
      <c r="BD24" s="57">
        <v>0.4975</v>
      </c>
      <c r="BE24" s="33">
        <f>AVERAGE(AN24,AK24,AH24)</f>
        <v>3.183333333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AE27" s="57">
        <v>2.46</v>
      </c>
      <c r="AF27" s="57">
        <v>1.2522</v>
      </c>
      <c r="AH27" s="57">
        <v>3.0</v>
      </c>
      <c r="AK27" s="57">
        <v>3.25</v>
      </c>
      <c r="AN27" s="57">
        <v>3.3</v>
      </c>
      <c r="BC27" s="57">
        <v>0.787</v>
      </c>
      <c r="BD27" s="57">
        <v>0.4247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AE30" s="57">
        <v>1.39</v>
      </c>
      <c r="AF30" s="57">
        <v>0.7407</v>
      </c>
      <c r="AH30" s="57">
        <v>3.3</v>
      </c>
      <c r="AK30" s="57">
        <v>3.35</v>
      </c>
      <c r="AN30" s="57">
        <v>3.5</v>
      </c>
      <c r="BC30" s="57">
        <v>1.88</v>
      </c>
      <c r="BD30" s="57">
        <v>1.0332</v>
      </c>
    </row>
    <row r="31">
      <c r="A31" s="38" t="s">
        <v>70</v>
      </c>
      <c r="B31" s="38" t="s">
        <v>58</v>
      </c>
      <c r="C31" s="38">
        <v>2376.0</v>
      </c>
      <c r="AE31" s="57">
        <v>5.51</v>
      </c>
      <c r="AF31" s="57">
        <v>3.3163</v>
      </c>
      <c r="BC31" s="57">
        <v>1.61</v>
      </c>
      <c r="BD31" s="57">
        <v>0.9889</v>
      </c>
    </row>
    <row r="32">
      <c r="A32" s="38" t="s">
        <v>70</v>
      </c>
      <c r="B32" s="38" t="s">
        <v>58</v>
      </c>
      <c r="C32" s="38">
        <v>2377.0</v>
      </c>
      <c r="AE32" s="57">
        <v>2.47</v>
      </c>
      <c r="AF32" s="57">
        <v>1.5068</v>
      </c>
      <c r="BC32" s="57">
        <v>1.96</v>
      </c>
      <c r="BD32" s="57">
        <v>1.2068</v>
      </c>
    </row>
    <row r="33">
      <c r="A33" s="38" t="s">
        <v>70</v>
      </c>
      <c r="B33" s="38" t="s">
        <v>64</v>
      </c>
      <c r="C33" s="38">
        <v>2378.0</v>
      </c>
      <c r="AE33" s="57">
        <v>1.64</v>
      </c>
      <c r="AF33" s="57">
        <v>0.8586</v>
      </c>
      <c r="BC33" s="57">
        <v>2.18</v>
      </c>
      <c r="BD33" s="57">
        <v>1.1816</v>
      </c>
    </row>
    <row r="34">
      <c r="A34" s="38" t="s">
        <v>70</v>
      </c>
      <c r="B34" s="38" t="s">
        <v>64</v>
      </c>
      <c r="C34" s="38">
        <v>2379.0</v>
      </c>
      <c r="AE34" s="57">
        <v>1.11</v>
      </c>
      <c r="AF34" s="57">
        <v>0.6002</v>
      </c>
      <c r="BC34" s="57">
        <v>1.07</v>
      </c>
      <c r="BD34" s="57">
        <v>0.5779</v>
      </c>
    </row>
    <row r="35">
      <c r="A35" s="38" t="s">
        <v>70</v>
      </c>
      <c r="B35" s="38" t="s">
        <v>58</v>
      </c>
      <c r="C35" s="38">
        <v>2380.0</v>
      </c>
      <c r="AE35" s="57">
        <v>2.16</v>
      </c>
      <c r="AF35" s="57">
        <v>1.3604</v>
      </c>
      <c r="BC35" s="57">
        <v>1.36</v>
      </c>
      <c r="BD35" s="57">
        <v>0.8595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  <c r="AE42" s="57">
        <v>2.04</v>
      </c>
      <c r="AF42" s="57">
        <v>1.052</v>
      </c>
      <c r="AH42" s="57">
        <v>2.783</v>
      </c>
      <c r="AK42" s="57">
        <v>2.634</v>
      </c>
      <c r="AN42" s="57">
        <v>2.136</v>
      </c>
      <c r="BC42" s="57">
        <v>1.25</v>
      </c>
      <c r="BD42" s="57" t="s">
        <v>287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  <c r="AE46" s="57">
        <v>2.3</v>
      </c>
      <c r="AF46" s="57">
        <v>1.3892</v>
      </c>
      <c r="AH46" s="57">
        <v>2.207</v>
      </c>
      <c r="AK46" s="57">
        <v>2.29</v>
      </c>
      <c r="AN46" s="57">
        <v>2.136</v>
      </c>
      <c r="BC46" s="57">
        <v>1.56</v>
      </c>
      <c r="BD46" s="57">
        <v>0.9159</v>
      </c>
    </row>
    <row r="47">
      <c r="A47" s="12" t="s">
        <v>74</v>
      </c>
      <c r="B47" s="12" t="s">
        <v>64</v>
      </c>
      <c r="C47" s="12">
        <v>2346.0</v>
      </c>
      <c r="AE47" s="57">
        <v>1.33</v>
      </c>
      <c r="AF47" s="57">
        <v>0.721</v>
      </c>
      <c r="AH47" s="57">
        <v>2.207</v>
      </c>
      <c r="AK47" s="57">
        <v>2.29</v>
      </c>
      <c r="AN47" s="57">
        <v>2.136</v>
      </c>
      <c r="BC47" s="57">
        <v>0.78</v>
      </c>
      <c r="BD47" s="57">
        <v>0.4243</v>
      </c>
      <c r="BF47" s="57" t="s">
        <v>288</v>
      </c>
    </row>
    <row r="48">
      <c r="A48" s="12" t="s">
        <v>74</v>
      </c>
      <c r="B48" s="12" t="s">
        <v>64</v>
      </c>
      <c r="C48" s="12">
        <v>2347.0</v>
      </c>
      <c r="AE48" s="57">
        <v>1.49</v>
      </c>
      <c r="AF48" s="57">
        <v>0.7479</v>
      </c>
      <c r="AH48" s="57">
        <v>2.554</v>
      </c>
      <c r="AK48" s="57">
        <v>2.43</v>
      </c>
      <c r="AN48" s="57">
        <v>2.204</v>
      </c>
      <c r="BC48" s="57">
        <v>1.27</v>
      </c>
      <c r="BD48" s="57">
        <v>0.6506</v>
      </c>
      <c r="BF48" s="57" t="s">
        <v>288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  <c r="AE53" s="57">
        <v>1.14</v>
      </c>
      <c r="AF53" s="57">
        <v>0.5818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  <c r="BC75" s="57">
        <v>1.3</v>
      </c>
      <c r="BD75" s="57">
        <v>0.808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  <c r="BC82" s="57">
        <v>1.74</v>
      </c>
      <c r="BD82" s="57">
        <v>1.0678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  <c r="AE91" s="57">
        <v>1.81</v>
      </c>
      <c r="AF91" s="57">
        <v>0.9311</v>
      </c>
      <c r="BC91" s="57">
        <v>0.54</v>
      </c>
      <c r="BD91" s="57">
        <v>0.2794</v>
      </c>
    </row>
    <row r="92">
      <c r="A92" s="53" t="s">
        <v>107</v>
      </c>
      <c r="B92" s="54" t="s">
        <v>64</v>
      </c>
      <c r="C92" s="55">
        <v>2371.0</v>
      </c>
      <c r="AE92" s="57">
        <v>1.78</v>
      </c>
      <c r="AF92" s="57">
        <v>0.8655</v>
      </c>
      <c r="BC92" s="57">
        <v>0.93</v>
      </c>
      <c r="BD92" s="57">
        <v>0.485</v>
      </c>
    </row>
    <row r="93">
      <c r="A93" s="53" t="s">
        <v>108</v>
      </c>
      <c r="B93" s="54" t="s">
        <v>64</v>
      </c>
      <c r="C93" s="55">
        <v>2372.0</v>
      </c>
      <c r="AE93" s="57">
        <v>1.31</v>
      </c>
      <c r="AF93" s="57">
        <v>0.6827</v>
      </c>
      <c r="BC93" s="57">
        <v>1.58</v>
      </c>
      <c r="BD93" s="57">
        <v>0.8564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  <c r="AE107" s="57">
        <v>1.61</v>
      </c>
      <c r="AF107" s="57">
        <v>0.8512</v>
      </c>
      <c r="BC107" s="57">
        <v>1.6</v>
      </c>
      <c r="BD107" s="57">
        <v>0.874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AE110" s="57">
        <v>1.26</v>
      </c>
      <c r="AF110" s="57">
        <v>0.7249</v>
      </c>
      <c r="BC110" s="57">
        <v>1.56</v>
      </c>
      <c r="BD110" s="57">
        <v>0.8847</v>
      </c>
    </row>
    <row r="111">
      <c r="A111" s="2" t="s">
        <v>117</v>
      </c>
      <c r="B111" s="54" t="s">
        <v>64</v>
      </c>
      <c r="C111" s="60">
        <v>2383.0</v>
      </c>
      <c r="AE111" s="57">
        <v>1.98</v>
      </c>
      <c r="AF111" s="57" t="s">
        <v>289</v>
      </c>
      <c r="BC111" s="57" t="s">
        <v>290</v>
      </c>
      <c r="BD111" s="57">
        <v>1.1098</v>
      </c>
    </row>
    <row r="112">
      <c r="A112" s="2" t="s">
        <v>117</v>
      </c>
      <c r="B112" s="54" t="s">
        <v>64</v>
      </c>
      <c r="C112" s="57">
        <v>2384.0</v>
      </c>
      <c r="AE112" s="57">
        <v>0.741</v>
      </c>
      <c r="AF112" s="57">
        <v>0.3996</v>
      </c>
      <c r="BC112" s="57">
        <v>1.7</v>
      </c>
      <c r="BD112" s="57">
        <v>0.9515</v>
      </c>
    </row>
    <row r="113">
      <c r="A113" s="57" t="s">
        <v>136</v>
      </c>
      <c r="B113" s="54" t="s">
        <v>64</v>
      </c>
      <c r="C113" s="57">
        <v>2004.0</v>
      </c>
    </row>
    <row r="114">
      <c r="A114" s="57" t="s">
        <v>136</v>
      </c>
      <c r="B114" s="54" t="s">
        <v>64</v>
      </c>
      <c r="C114" s="57">
        <v>2005.0</v>
      </c>
    </row>
    <row r="115">
      <c r="A115" s="57" t="s">
        <v>136</v>
      </c>
      <c r="B115" s="54" t="s">
        <v>64</v>
      </c>
      <c r="C115" s="57">
        <v>2006.0</v>
      </c>
    </row>
    <row r="116">
      <c r="A116" s="57" t="s">
        <v>136</v>
      </c>
      <c r="B116" s="54" t="s">
        <v>64</v>
      </c>
      <c r="C116" s="57">
        <v>2007.0</v>
      </c>
    </row>
    <row r="117">
      <c r="A117" s="57" t="s">
        <v>254</v>
      </c>
      <c r="B117" s="54" t="s">
        <v>139</v>
      </c>
      <c r="AE117" s="57">
        <v>1.2</v>
      </c>
      <c r="AF117" s="57">
        <v>0.5314</v>
      </c>
      <c r="BC117" s="57">
        <v>0.6326</v>
      </c>
      <c r="BD117" s="57">
        <v>0.281</v>
      </c>
    </row>
    <row r="118">
      <c r="A118" s="57" t="s">
        <v>141</v>
      </c>
      <c r="B118" s="54" t="s">
        <v>139</v>
      </c>
    </row>
    <row r="119">
      <c r="A119" s="57" t="s">
        <v>136</v>
      </c>
      <c r="B119" s="54" t="s">
        <v>139</v>
      </c>
    </row>
    <row r="120">
      <c r="A120" s="57" t="s">
        <v>254</v>
      </c>
      <c r="B120" s="54" t="s">
        <v>144</v>
      </c>
      <c r="AE120" s="57">
        <v>2.95</v>
      </c>
      <c r="AF120" s="57">
        <v>1.3339</v>
      </c>
      <c r="BC120" s="57">
        <v>2.6566</v>
      </c>
      <c r="BD120" s="57">
        <v>0.78</v>
      </c>
    </row>
    <row r="121">
      <c r="A121" s="57" t="s">
        <v>141</v>
      </c>
      <c r="B121" s="54" t="s">
        <v>144</v>
      </c>
    </row>
    <row r="122">
      <c r="A122" s="57" t="s">
        <v>136</v>
      </c>
      <c r="B122" s="54" t="s">
        <v>144</v>
      </c>
    </row>
    <row r="123">
      <c r="A123" s="57" t="s">
        <v>255</v>
      </c>
      <c r="B123" s="54" t="s">
        <v>58</v>
      </c>
      <c r="C123" s="57">
        <v>2093.0</v>
      </c>
    </row>
    <row r="124">
      <c r="A124" s="57" t="s">
        <v>255</v>
      </c>
      <c r="B124" s="54" t="s">
        <v>58</v>
      </c>
      <c r="C124" s="57">
        <v>2092.0</v>
      </c>
      <c r="AH124" s="57" t="s">
        <v>275</v>
      </c>
    </row>
    <row r="125">
      <c r="A125" s="57" t="s">
        <v>255</v>
      </c>
      <c r="B125" s="54" t="s">
        <v>58</v>
      </c>
      <c r="C125" s="57">
        <v>2091.0</v>
      </c>
    </row>
    <row r="126">
      <c r="A126" s="57" t="s">
        <v>255</v>
      </c>
      <c r="B126" s="54" t="s">
        <v>149</v>
      </c>
      <c r="C126" s="57">
        <v>2090.0</v>
      </c>
    </row>
    <row r="127">
      <c r="A127" s="57" t="s">
        <v>255</v>
      </c>
      <c r="B127" s="54" t="s">
        <v>58</v>
      </c>
      <c r="C127" s="57">
        <v>2089.0</v>
      </c>
    </row>
    <row r="128">
      <c r="A128" s="57" t="s">
        <v>255</v>
      </c>
      <c r="B128" s="54" t="s">
        <v>64</v>
      </c>
      <c r="C128" s="57">
        <v>2088.0</v>
      </c>
    </row>
    <row r="129">
      <c r="A129" s="57" t="s">
        <v>255</v>
      </c>
      <c r="B129" s="54" t="s">
        <v>64</v>
      </c>
      <c r="C129" s="57">
        <v>2087.0</v>
      </c>
    </row>
    <row r="130">
      <c r="A130" s="57" t="s">
        <v>255</v>
      </c>
      <c r="B130" s="54" t="s">
        <v>64</v>
      </c>
      <c r="C130" s="57">
        <v>2086.0</v>
      </c>
    </row>
    <row r="131">
      <c r="A131" s="57" t="s">
        <v>255</v>
      </c>
      <c r="B131" s="54" t="s">
        <v>64</v>
      </c>
      <c r="C131" s="57">
        <v>2085.0</v>
      </c>
    </row>
    <row r="132">
      <c r="A132" s="57" t="s">
        <v>141</v>
      </c>
      <c r="B132" s="54" t="s">
        <v>64</v>
      </c>
      <c r="C132" s="57">
        <v>2020.0</v>
      </c>
    </row>
    <row r="133">
      <c r="A133" s="57" t="s">
        <v>141</v>
      </c>
      <c r="B133" s="54" t="s">
        <v>64</v>
      </c>
      <c r="C133" s="57">
        <v>2021.0</v>
      </c>
    </row>
    <row r="134">
      <c r="A134" s="57" t="s">
        <v>141</v>
      </c>
      <c r="B134" s="54" t="s">
        <v>58</v>
      </c>
      <c r="C134" s="57">
        <v>2022.0</v>
      </c>
    </row>
    <row r="135">
      <c r="A135" s="57" t="s">
        <v>141</v>
      </c>
      <c r="B135" s="54" t="s">
        <v>58</v>
      </c>
      <c r="C135" s="57">
        <v>2023.0</v>
      </c>
    </row>
    <row r="136">
      <c r="A136" s="57" t="s">
        <v>141</v>
      </c>
      <c r="B136" s="54" t="s">
        <v>64</v>
      </c>
      <c r="C136" s="57">
        <v>2024.0</v>
      </c>
    </row>
    <row r="137">
      <c r="A137" s="57" t="s">
        <v>141</v>
      </c>
      <c r="B137" s="54" t="s">
        <v>64</v>
      </c>
      <c r="C137" s="57">
        <v>2025.0</v>
      </c>
    </row>
    <row r="138">
      <c r="A138" s="57" t="s">
        <v>150</v>
      </c>
      <c r="B138" s="54" t="s">
        <v>64</v>
      </c>
      <c r="C138" s="57">
        <v>2026.0</v>
      </c>
    </row>
    <row r="139">
      <c r="A139" s="57" t="s">
        <v>150</v>
      </c>
      <c r="B139" s="54" t="s">
        <v>64</v>
      </c>
      <c r="C139" s="57">
        <v>2027.0</v>
      </c>
    </row>
    <row r="140">
      <c r="A140" s="57" t="s">
        <v>150</v>
      </c>
      <c r="B140" s="54"/>
      <c r="C140" s="57">
        <v>2028.0</v>
      </c>
    </row>
    <row r="141">
      <c r="A141" s="57" t="s">
        <v>150</v>
      </c>
      <c r="B141" s="54"/>
      <c r="C141" s="57">
        <v>2029.0</v>
      </c>
    </row>
    <row r="142">
      <c r="A142" s="57" t="s">
        <v>150</v>
      </c>
      <c r="B142" s="54"/>
      <c r="C142" s="57">
        <v>2030.0</v>
      </c>
    </row>
    <row r="143">
      <c r="A143" s="57" t="s">
        <v>150</v>
      </c>
      <c r="B143" s="54"/>
      <c r="C143" s="57">
        <v>2031.0</v>
      </c>
    </row>
    <row r="144">
      <c r="A144" s="57" t="s">
        <v>256</v>
      </c>
      <c r="B144" s="54" t="s">
        <v>64</v>
      </c>
      <c r="C144" s="57">
        <v>2012.0</v>
      </c>
    </row>
    <row r="145">
      <c r="A145" s="57" t="s">
        <v>256</v>
      </c>
      <c r="B145" s="54" t="s">
        <v>64</v>
      </c>
      <c r="C145" s="57">
        <v>2013.0</v>
      </c>
    </row>
    <row r="146">
      <c r="A146" s="57" t="s">
        <v>256</v>
      </c>
      <c r="B146" s="54" t="s">
        <v>64</v>
      </c>
      <c r="C146" s="57">
        <v>2014.0</v>
      </c>
    </row>
    <row r="147">
      <c r="A147" s="57" t="s">
        <v>256</v>
      </c>
      <c r="B147" s="54" t="s">
        <v>64</v>
      </c>
      <c r="C147" s="57">
        <v>2015.0</v>
      </c>
    </row>
    <row r="148">
      <c r="A148" s="57" t="s">
        <v>256</v>
      </c>
      <c r="B148" s="54" t="s">
        <v>64</v>
      </c>
      <c r="C148" s="57">
        <v>1478.0</v>
      </c>
    </row>
    <row r="149">
      <c r="B149" s="54"/>
      <c r="C149" s="57">
        <v>2011.0</v>
      </c>
      <c r="AE149" s="57">
        <v>1.55</v>
      </c>
      <c r="AF149" s="57">
        <v>0.8406</v>
      </c>
      <c r="BC149" s="57">
        <v>1.14</v>
      </c>
      <c r="BD149" s="57">
        <v>0.6439</v>
      </c>
    </row>
    <row r="150">
      <c r="A150" s="57" t="s">
        <v>257</v>
      </c>
      <c r="B150" s="54" t="s">
        <v>64</v>
      </c>
      <c r="C150" s="57">
        <v>2010.0</v>
      </c>
      <c r="AE150" s="57">
        <v>1.62</v>
      </c>
      <c r="AF150" s="57">
        <v>0.859</v>
      </c>
      <c r="BC150" s="57">
        <v>1.56</v>
      </c>
      <c r="BD150" s="57">
        <v>0.826</v>
      </c>
    </row>
    <row r="151">
      <c r="A151" s="57" t="s">
        <v>258</v>
      </c>
      <c r="B151" s="54" t="s">
        <v>64</v>
      </c>
      <c r="C151" s="57">
        <v>2009.0</v>
      </c>
      <c r="AE151" s="77">
        <v>2.13</v>
      </c>
      <c r="AF151" s="77">
        <v>1.1296</v>
      </c>
      <c r="BC151" s="57">
        <v>1.35</v>
      </c>
      <c r="BD151" s="57">
        <v>0.733</v>
      </c>
    </row>
    <row r="152">
      <c r="B152" s="3"/>
      <c r="C152" s="57">
        <v>2008.0</v>
      </c>
    </row>
    <row r="153">
      <c r="B153" s="54" t="s">
        <v>64</v>
      </c>
      <c r="C153" s="57">
        <v>2127.0</v>
      </c>
      <c r="AE153" s="57">
        <v>0.55</v>
      </c>
      <c r="AF153" s="57">
        <v>0.2829</v>
      </c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1" t="s">
        <v>130</v>
      </c>
      <c r="B1" s="61" t="s">
        <v>131</v>
      </c>
      <c r="C1" s="62" t="s">
        <v>12</v>
      </c>
      <c r="D1" s="62" t="s">
        <v>13</v>
      </c>
    </row>
    <row r="2">
      <c r="A2" s="63" t="s">
        <v>114</v>
      </c>
      <c r="B2" s="63" t="s">
        <v>132</v>
      </c>
      <c r="C2" s="63" t="s">
        <v>58</v>
      </c>
      <c r="D2" s="64">
        <v>2352.0</v>
      </c>
    </row>
    <row r="3">
      <c r="A3" s="63" t="s">
        <v>114</v>
      </c>
      <c r="B3" s="63" t="s">
        <v>132</v>
      </c>
      <c r="C3" s="63" t="s">
        <v>58</v>
      </c>
      <c r="D3" s="64">
        <v>2353.0</v>
      </c>
    </row>
    <row r="4">
      <c r="A4" s="63" t="s">
        <v>114</v>
      </c>
      <c r="B4" s="63" t="s">
        <v>132</v>
      </c>
      <c r="C4" s="63" t="s">
        <v>58</v>
      </c>
      <c r="D4" s="65">
        <v>2354.0</v>
      </c>
    </row>
    <row r="5">
      <c r="A5" s="63" t="s">
        <v>114</v>
      </c>
      <c r="B5" s="63" t="s">
        <v>132</v>
      </c>
      <c r="C5" s="63" t="s">
        <v>64</v>
      </c>
      <c r="D5" s="64">
        <v>2355.0</v>
      </c>
    </row>
    <row r="6">
      <c r="A6" s="63" t="s">
        <v>114</v>
      </c>
      <c r="B6" s="63" t="s">
        <v>132</v>
      </c>
      <c r="C6" s="63" t="s">
        <v>64</v>
      </c>
      <c r="D6" s="64">
        <v>2356.0</v>
      </c>
    </row>
    <row r="7">
      <c r="A7" s="63" t="s">
        <v>114</v>
      </c>
      <c r="B7" s="63" t="s">
        <v>132</v>
      </c>
      <c r="C7" s="63" t="s">
        <v>64</v>
      </c>
      <c r="D7" s="64">
        <v>2357.0</v>
      </c>
    </row>
    <row r="8">
      <c r="A8" s="63" t="s">
        <v>114</v>
      </c>
      <c r="B8" s="63" t="s">
        <v>132</v>
      </c>
      <c r="C8" s="63" t="s">
        <v>64</v>
      </c>
      <c r="D8" s="64">
        <v>2358.0</v>
      </c>
    </row>
    <row r="9">
      <c r="A9" s="63" t="s">
        <v>114</v>
      </c>
      <c r="B9" s="63" t="s">
        <v>132</v>
      </c>
      <c r="C9" s="63" t="s">
        <v>64</v>
      </c>
      <c r="D9" s="64">
        <v>2359.0</v>
      </c>
    </row>
    <row r="10">
      <c r="A10" s="63" t="s">
        <v>114</v>
      </c>
      <c r="B10" s="63" t="s">
        <v>132</v>
      </c>
      <c r="C10" s="63" t="s">
        <v>64</v>
      </c>
      <c r="D10" s="64">
        <v>2360.0</v>
      </c>
    </row>
    <row r="11">
      <c r="A11" s="63" t="s">
        <v>114</v>
      </c>
      <c r="B11" s="63" t="s">
        <v>132</v>
      </c>
      <c r="C11" s="63" t="s">
        <v>64</v>
      </c>
      <c r="D11" s="64">
        <v>2361.0</v>
      </c>
    </row>
    <row r="12">
      <c r="A12" s="63" t="s">
        <v>114</v>
      </c>
      <c r="B12" s="63" t="s">
        <v>132</v>
      </c>
      <c r="C12" s="63" t="s">
        <v>64</v>
      </c>
      <c r="D12" s="64">
        <v>2362.0</v>
      </c>
    </row>
    <row r="13">
      <c r="A13" s="63" t="s">
        <v>114</v>
      </c>
      <c r="B13" s="63" t="s">
        <v>132</v>
      </c>
      <c r="C13" s="63" t="s">
        <v>64</v>
      </c>
      <c r="D13" s="64">
        <v>2363.0</v>
      </c>
    </row>
    <row r="14">
      <c r="A14" s="63" t="s">
        <v>114</v>
      </c>
      <c r="B14" s="63" t="s">
        <v>132</v>
      </c>
      <c r="C14" s="63" t="s">
        <v>64</v>
      </c>
      <c r="D14" s="64">
        <v>2364.0</v>
      </c>
    </row>
    <row r="15">
      <c r="A15" s="63" t="s">
        <v>114</v>
      </c>
      <c r="B15" s="63" t="s">
        <v>132</v>
      </c>
      <c r="C15" s="63" t="s">
        <v>64</v>
      </c>
      <c r="D15" s="64">
        <v>2365.0</v>
      </c>
    </row>
    <row r="16">
      <c r="A16" s="63" t="s">
        <v>114</v>
      </c>
      <c r="B16" s="63" t="s">
        <v>132</v>
      </c>
      <c r="C16" s="63" t="s">
        <v>64</v>
      </c>
      <c r="D16" s="64">
        <v>2366.0</v>
      </c>
    </row>
    <row r="17">
      <c r="A17" s="63" t="s">
        <v>114</v>
      </c>
      <c r="B17" s="63" t="s">
        <v>132</v>
      </c>
      <c r="C17" s="63" t="s">
        <v>64</v>
      </c>
      <c r="D17" s="64">
        <v>2367.0</v>
      </c>
    </row>
    <row r="18">
      <c r="A18" s="63" t="s">
        <v>114</v>
      </c>
      <c r="B18" s="63" t="s">
        <v>132</v>
      </c>
      <c r="C18" s="63" t="s">
        <v>64</v>
      </c>
      <c r="D18" s="64">
        <v>2369.0</v>
      </c>
    </row>
    <row r="19">
      <c r="A19" s="63" t="s">
        <v>114</v>
      </c>
      <c r="B19" s="63" t="s">
        <v>132</v>
      </c>
      <c r="C19" s="63" t="s">
        <v>58</v>
      </c>
      <c r="D19" s="64">
        <v>2376.0</v>
      </c>
    </row>
    <row r="20">
      <c r="A20" s="63" t="s">
        <v>114</v>
      </c>
      <c r="B20" s="63" t="s">
        <v>132</v>
      </c>
      <c r="C20" s="63" t="s">
        <v>58</v>
      </c>
      <c r="D20" s="64">
        <v>2377.0</v>
      </c>
    </row>
    <row r="21">
      <c r="A21" s="63" t="s">
        <v>114</v>
      </c>
      <c r="B21" s="63" t="s">
        <v>132</v>
      </c>
      <c r="C21" s="63" t="s">
        <v>64</v>
      </c>
      <c r="D21" s="64">
        <v>2378.0</v>
      </c>
    </row>
    <row r="22">
      <c r="A22" s="63" t="s">
        <v>114</v>
      </c>
      <c r="B22" s="63" t="s">
        <v>132</v>
      </c>
      <c r="C22" s="63" t="s">
        <v>64</v>
      </c>
      <c r="D22" s="64">
        <v>2379.0</v>
      </c>
    </row>
    <row r="23">
      <c r="A23" s="63" t="s">
        <v>114</v>
      </c>
      <c r="B23" s="63" t="s">
        <v>132</v>
      </c>
      <c r="C23" s="63" t="s">
        <v>58</v>
      </c>
      <c r="D23" s="64">
        <v>2380.0</v>
      </c>
    </row>
    <row r="24">
      <c r="A24" s="63" t="s">
        <v>114</v>
      </c>
      <c r="B24" s="63" t="s">
        <v>133</v>
      </c>
      <c r="C24" s="63" t="s">
        <v>64</v>
      </c>
      <c r="D24" s="64">
        <v>2337.0</v>
      </c>
    </row>
    <row r="25">
      <c r="A25" s="63" t="s">
        <v>114</v>
      </c>
      <c r="B25" s="63" t="s">
        <v>133</v>
      </c>
      <c r="C25" s="63" t="s">
        <v>64</v>
      </c>
      <c r="D25" s="64">
        <v>2338.0</v>
      </c>
    </row>
    <row r="26">
      <c r="A26" s="63" t="s">
        <v>114</v>
      </c>
      <c r="B26" s="63" t="s">
        <v>133</v>
      </c>
      <c r="C26" s="63" t="s">
        <v>64</v>
      </c>
      <c r="D26" s="64">
        <v>2339.0</v>
      </c>
    </row>
    <row r="27">
      <c r="A27" s="63" t="s">
        <v>114</v>
      </c>
      <c r="B27" s="63" t="s">
        <v>133</v>
      </c>
      <c r="C27" s="63" t="s">
        <v>64</v>
      </c>
      <c r="D27" s="64">
        <v>2340.0</v>
      </c>
    </row>
    <row r="28">
      <c r="A28" s="63" t="s">
        <v>114</v>
      </c>
      <c r="B28" s="63" t="s">
        <v>133</v>
      </c>
      <c r="C28" s="63" t="s">
        <v>64</v>
      </c>
      <c r="D28" s="64">
        <v>2341.0</v>
      </c>
    </row>
    <row r="29">
      <c r="A29" s="63" t="s">
        <v>114</v>
      </c>
      <c r="B29" s="63" t="s">
        <v>133</v>
      </c>
      <c r="C29" s="63" t="s">
        <v>64</v>
      </c>
      <c r="D29" s="64">
        <v>2342.0</v>
      </c>
    </row>
    <row r="30">
      <c r="A30" s="63" t="s">
        <v>114</v>
      </c>
      <c r="B30" s="63" t="s">
        <v>133</v>
      </c>
      <c r="C30" s="63" t="s">
        <v>64</v>
      </c>
      <c r="D30" s="64">
        <v>2343.0</v>
      </c>
    </row>
    <row r="31">
      <c r="A31" s="63" t="s">
        <v>114</v>
      </c>
      <c r="B31" s="63" t="s">
        <v>133</v>
      </c>
      <c r="C31" s="63" t="s">
        <v>64</v>
      </c>
      <c r="D31" s="64">
        <v>2344.0</v>
      </c>
    </row>
    <row r="32">
      <c r="A32" s="63" t="s">
        <v>114</v>
      </c>
      <c r="B32" s="63" t="s">
        <v>133</v>
      </c>
      <c r="C32" s="63" t="s">
        <v>58</v>
      </c>
      <c r="D32" s="65">
        <v>2345.0</v>
      </c>
    </row>
    <row r="33">
      <c r="A33" s="63" t="s">
        <v>114</v>
      </c>
      <c r="B33" s="63" t="s">
        <v>133</v>
      </c>
      <c r="C33" s="63" t="s">
        <v>64</v>
      </c>
      <c r="D33" s="64">
        <v>2346.0</v>
      </c>
    </row>
    <row r="34">
      <c r="A34" s="63" t="s">
        <v>114</v>
      </c>
      <c r="B34" s="63" t="s">
        <v>133</v>
      </c>
      <c r="C34" s="63" t="s">
        <v>64</v>
      </c>
      <c r="D34" s="64">
        <v>2347.0</v>
      </c>
    </row>
    <row r="35">
      <c r="A35" s="63" t="s">
        <v>114</v>
      </c>
      <c r="B35" s="63" t="s">
        <v>133</v>
      </c>
      <c r="C35" s="63" t="s">
        <v>64</v>
      </c>
      <c r="D35" s="64">
        <v>2348.0</v>
      </c>
    </row>
    <row r="36">
      <c r="A36" s="63" t="s">
        <v>114</v>
      </c>
      <c r="B36" s="63" t="s">
        <v>133</v>
      </c>
      <c r="C36" s="63" t="s">
        <v>64</v>
      </c>
      <c r="D36" s="64">
        <v>2349.0</v>
      </c>
    </row>
    <row r="37">
      <c r="A37" s="63" t="s">
        <v>114</v>
      </c>
      <c r="B37" s="63" t="s">
        <v>133</v>
      </c>
      <c r="C37" s="63" t="s">
        <v>64</v>
      </c>
      <c r="D37" s="64">
        <v>2350.0</v>
      </c>
    </row>
    <row r="38">
      <c r="A38" s="63" t="s">
        <v>114</v>
      </c>
      <c r="B38" s="63" t="s">
        <v>133</v>
      </c>
      <c r="C38" s="63" t="s">
        <v>64</v>
      </c>
      <c r="D38" s="64">
        <v>2351.0</v>
      </c>
    </row>
    <row r="39">
      <c r="A39" s="63" t="s">
        <v>114</v>
      </c>
      <c r="B39" s="63" t="s">
        <v>133</v>
      </c>
      <c r="C39" s="63" t="s">
        <v>64</v>
      </c>
      <c r="D39" s="64">
        <v>2375.0</v>
      </c>
    </row>
    <row r="40">
      <c r="A40" s="63" t="s">
        <v>114</v>
      </c>
      <c r="B40" s="63" t="s">
        <v>134</v>
      </c>
      <c r="C40" s="63" t="s">
        <v>64</v>
      </c>
      <c r="D40" s="64">
        <v>2310.0</v>
      </c>
    </row>
    <row r="41">
      <c r="A41" s="63" t="s">
        <v>114</v>
      </c>
      <c r="B41" s="63" t="s">
        <v>134</v>
      </c>
      <c r="C41" s="63" t="s">
        <v>64</v>
      </c>
      <c r="D41" s="64">
        <v>2311.0</v>
      </c>
    </row>
    <row r="42">
      <c r="A42" s="63" t="s">
        <v>114</v>
      </c>
      <c r="B42" s="63" t="s">
        <v>134</v>
      </c>
      <c r="C42" s="63" t="s">
        <v>64</v>
      </c>
      <c r="D42" s="64">
        <v>2312.0</v>
      </c>
    </row>
    <row r="43">
      <c r="A43" s="63" t="s">
        <v>114</v>
      </c>
      <c r="B43" s="63" t="s">
        <v>134</v>
      </c>
      <c r="C43" s="63" t="s">
        <v>64</v>
      </c>
      <c r="D43" s="64">
        <v>2313.0</v>
      </c>
    </row>
    <row r="44">
      <c r="A44" s="63" t="s">
        <v>114</v>
      </c>
      <c r="B44" s="63" t="s">
        <v>134</v>
      </c>
      <c r="C44" s="63" t="s">
        <v>64</v>
      </c>
      <c r="D44" s="64">
        <v>2314.0</v>
      </c>
    </row>
    <row r="45">
      <c r="A45" s="63" t="s">
        <v>114</v>
      </c>
      <c r="B45" s="63" t="s">
        <v>134</v>
      </c>
      <c r="C45" s="63" t="s">
        <v>58</v>
      </c>
      <c r="D45" s="64">
        <v>2315.0</v>
      </c>
    </row>
    <row r="46">
      <c r="A46" s="63" t="s">
        <v>114</v>
      </c>
      <c r="B46" s="63" t="s">
        <v>134</v>
      </c>
      <c r="C46" s="63" t="s">
        <v>64</v>
      </c>
      <c r="D46" s="64">
        <v>2316.0</v>
      </c>
    </row>
    <row r="47">
      <c r="A47" s="63" t="s">
        <v>114</v>
      </c>
      <c r="B47" s="63" t="s">
        <v>134</v>
      </c>
      <c r="C47" s="63" t="s">
        <v>64</v>
      </c>
      <c r="D47" s="64">
        <v>2317.0</v>
      </c>
    </row>
    <row r="48">
      <c r="A48" s="63" t="s">
        <v>114</v>
      </c>
      <c r="B48" s="63" t="s">
        <v>134</v>
      </c>
      <c r="C48" s="63" t="s">
        <v>64</v>
      </c>
      <c r="D48" s="64">
        <v>2318.0</v>
      </c>
    </row>
    <row r="49">
      <c r="A49" s="63" t="s">
        <v>114</v>
      </c>
      <c r="B49" s="63" t="s">
        <v>134</v>
      </c>
      <c r="C49" s="63" t="s">
        <v>64</v>
      </c>
      <c r="D49" s="64">
        <v>2319.0</v>
      </c>
    </row>
    <row r="50">
      <c r="A50" s="63" t="s">
        <v>114</v>
      </c>
      <c r="B50" s="63" t="s">
        <v>134</v>
      </c>
      <c r="C50" s="63" t="s">
        <v>58</v>
      </c>
      <c r="D50" s="64">
        <v>2320.0</v>
      </c>
    </row>
    <row r="51">
      <c r="A51" s="63" t="s">
        <v>114</v>
      </c>
      <c r="B51" s="63" t="s">
        <v>134</v>
      </c>
      <c r="C51" s="63" t="s">
        <v>64</v>
      </c>
      <c r="D51" s="64">
        <v>2321.0</v>
      </c>
    </row>
    <row r="52">
      <c r="A52" s="63" t="s">
        <v>114</v>
      </c>
      <c r="B52" s="63" t="s">
        <v>134</v>
      </c>
      <c r="C52" s="63" t="s">
        <v>58</v>
      </c>
      <c r="D52" s="64">
        <v>2322.0</v>
      </c>
    </row>
    <row r="53">
      <c r="A53" s="63" t="s">
        <v>114</v>
      </c>
      <c r="B53" s="63" t="s">
        <v>134</v>
      </c>
      <c r="C53" s="63" t="s">
        <v>58</v>
      </c>
      <c r="D53" s="64">
        <v>2323.0</v>
      </c>
    </row>
    <row r="54">
      <c r="A54" s="63" t="s">
        <v>114</v>
      </c>
      <c r="B54" s="63" t="s">
        <v>134</v>
      </c>
      <c r="C54" s="63" t="s">
        <v>64</v>
      </c>
      <c r="D54" s="64">
        <v>2324.0</v>
      </c>
    </row>
    <row r="55">
      <c r="A55" s="63" t="s">
        <v>114</v>
      </c>
      <c r="B55" s="63" t="s">
        <v>134</v>
      </c>
      <c r="C55" s="63" t="s">
        <v>64</v>
      </c>
      <c r="D55" s="64">
        <v>2325.0</v>
      </c>
    </row>
    <row r="56">
      <c r="A56" s="63" t="s">
        <v>114</v>
      </c>
      <c r="B56" s="63" t="s">
        <v>134</v>
      </c>
      <c r="C56" s="63" t="s">
        <v>64</v>
      </c>
      <c r="D56" s="64">
        <v>2327.0</v>
      </c>
    </row>
    <row r="57">
      <c r="A57" s="63" t="s">
        <v>114</v>
      </c>
      <c r="B57" s="63" t="s">
        <v>134</v>
      </c>
      <c r="C57" s="63" t="s">
        <v>64</v>
      </c>
      <c r="D57" s="64">
        <v>2326.0</v>
      </c>
    </row>
    <row r="58">
      <c r="A58" s="63" t="s">
        <v>114</v>
      </c>
      <c r="B58" s="63" t="s">
        <v>134</v>
      </c>
      <c r="C58" s="63" t="s">
        <v>58</v>
      </c>
      <c r="D58" s="64">
        <v>2328.0</v>
      </c>
    </row>
    <row r="59">
      <c r="A59" s="63" t="s">
        <v>114</v>
      </c>
      <c r="B59" s="63" t="s">
        <v>134</v>
      </c>
      <c r="C59" s="63" t="s">
        <v>64</v>
      </c>
      <c r="D59" s="64">
        <v>2329.0</v>
      </c>
    </row>
    <row r="60">
      <c r="A60" s="63" t="s">
        <v>114</v>
      </c>
      <c r="B60" s="63" t="s">
        <v>134</v>
      </c>
      <c r="C60" s="63" t="s">
        <v>64</v>
      </c>
      <c r="D60" s="64">
        <v>2330.0</v>
      </c>
    </row>
    <row r="61">
      <c r="A61" s="63" t="s">
        <v>114</v>
      </c>
      <c r="B61" s="63" t="s">
        <v>134</v>
      </c>
      <c r="C61" s="63" t="s">
        <v>58</v>
      </c>
      <c r="D61" s="64">
        <v>2331.0</v>
      </c>
    </row>
    <row r="62">
      <c r="A62" s="63" t="s">
        <v>114</v>
      </c>
      <c r="B62" s="63" t="s">
        <v>134</v>
      </c>
      <c r="C62" s="63" t="s">
        <v>64</v>
      </c>
      <c r="D62" s="64">
        <v>2332.0</v>
      </c>
    </row>
    <row r="63">
      <c r="A63" s="63" t="s">
        <v>114</v>
      </c>
      <c r="B63" s="63" t="s">
        <v>134</v>
      </c>
      <c r="C63" s="63" t="s">
        <v>64</v>
      </c>
      <c r="D63" s="64">
        <v>2333.0</v>
      </c>
    </row>
    <row r="64">
      <c r="A64" s="63" t="s">
        <v>114</v>
      </c>
      <c r="B64" s="63" t="s">
        <v>134</v>
      </c>
      <c r="C64" s="63" t="s">
        <v>64</v>
      </c>
      <c r="D64" s="64">
        <v>2334.0</v>
      </c>
    </row>
    <row r="65">
      <c r="A65" s="63" t="s">
        <v>114</v>
      </c>
      <c r="B65" s="63" t="s">
        <v>134</v>
      </c>
      <c r="C65" s="63" t="s">
        <v>64</v>
      </c>
      <c r="D65" s="64">
        <v>2336.0</v>
      </c>
    </row>
    <row r="66">
      <c r="A66" s="63" t="s">
        <v>114</v>
      </c>
      <c r="B66" s="63" t="s">
        <v>134</v>
      </c>
      <c r="C66" s="63" t="s">
        <v>64</v>
      </c>
      <c r="D66" s="64">
        <v>2335.0</v>
      </c>
    </row>
    <row r="67">
      <c r="A67" s="63" t="s">
        <v>114</v>
      </c>
      <c r="B67" s="63" t="s">
        <v>134</v>
      </c>
      <c r="C67" s="63" t="s">
        <v>64</v>
      </c>
      <c r="D67" s="64">
        <v>2374.0</v>
      </c>
    </row>
    <row r="68">
      <c r="A68" s="63" t="s">
        <v>114</v>
      </c>
      <c r="B68" s="63" t="s">
        <v>133</v>
      </c>
      <c r="C68" s="63" t="s">
        <v>58</v>
      </c>
      <c r="D68" s="65">
        <v>2301.0</v>
      </c>
    </row>
    <row r="69">
      <c r="A69" s="63" t="s">
        <v>114</v>
      </c>
      <c r="B69" s="63" t="s">
        <v>133</v>
      </c>
      <c r="C69" s="63" t="s">
        <v>64</v>
      </c>
      <c r="D69" s="64">
        <v>2302.0</v>
      </c>
    </row>
    <row r="70">
      <c r="A70" s="63" t="s">
        <v>114</v>
      </c>
      <c r="B70" s="63" t="s">
        <v>133</v>
      </c>
      <c r="C70" s="63" t="s">
        <v>64</v>
      </c>
      <c r="D70" s="64">
        <v>2303.0</v>
      </c>
    </row>
    <row r="71">
      <c r="A71" s="63" t="s">
        <v>114</v>
      </c>
      <c r="B71" s="63" t="s">
        <v>133</v>
      </c>
      <c r="C71" s="63" t="s">
        <v>64</v>
      </c>
      <c r="D71" s="64">
        <v>2304.0</v>
      </c>
    </row>
    <row r="72">
      <c r="A72" s="63" t="s">
        <v>114</v>
      </c>
      <c r="B72" s="63" t="s">
        <v>133</v>
      </c>
      <c r="C72" s="63" t="s">
        <v>64</v>
      </c>
      <c r="D72" s="64">
        <v>2305.0</v>
      </c>
    </row>
    <row r="73">
      <c r="A73" s="63" t="s">
        <v>114</v>
      </c>
      <c r="B73" s="63" t="s">
        <v>133</v>
      </c>
      <c r="C73" s="63" t="s">
        <v>64</v>
      </c>
      <c r="D73" s="64">
        <v>2306.0</v>
      </c>
    </row>
    <row r="74">
      <c r="A74" s="63" t="s">
        <v>114</v>
      </c>
      <c r="B74" s="63" t="s">
        <v>133</v>
      </c>
      <c r="C74" s="63" t="s">
        <v>64</v>
      </c>
      <c r="D74" s="64">
        <v>2307.0</v>
      </c>
    </row>
    <row r="75">
      <c r="A75" s="63" t="s">
        <v>114</v>
      </c>
      <c r="B75" s="63" t="s">
        <v>133</v>
      </c>
      <c r="C75" s="63" t="s">
        <v>64</v>
      </c>
      <c r="D75" s="64">
        <v>2308.0</v>
      </c>
    </row>
    <row r="76">
      <c r="A76" s="63" t="s">
        <v>114</v>
      </c>
      <c r="B76" s="63" t="s">
        <v>133</v>
      </c>
      <c r="C76" s="63" t="s">
        <v>64</v>
      </c>
      <c r="D76" s="64">
        <v>2309.0</v>
      </c>
    </row>
    <row r="77">
      <c r="A77" s="63" t="s">
        <v>114</v>
      </c>
      <c r="B77" s="63" t="s">
        <v>135</v>
      </c>
      <c r="C77" s="63" t="s">
        <v>64</v>
      </c>
      <c r="D77" s="64">
        <v>2370.0</v>
      </c>
    </row>
    <row r="78">
      <c r="A78" s="63" t="s">
        <v>114</v>
      </c>
      <c r="B78" s="63" t="s">
        <v>135</v>
      </c>
      <c r="C78" s="63" t="s">
        <v>64</v>
      </c>
      <c r="D78" s="64">
        <v>2371.0</v>
      </c>
    </row>
    <row r="79">
      <c r="A79" s="63" t="s">
        <v>114</v>
      </c>
      <c r="B79" s="63" t="s">
        <v>135</v>
      </c>
      <c r="C79" s="63" t="s">
        <v>64</v>
      </c>
      <c r="D79" s="64">
        <v>2372.0</v>
      </c>
    </row>
    <row r="80">
      <c r="A80" s="63" t="s">
        <v>114</v>
      </c>
      <c r="B80" s="63" t="s">
        <v>135</v>
      </c>
      <c r="C80" s="63" t="s">
        <v>64</v>
      </c>
      <c r="D80" s="64">
        <v>2373.0</v>
      </c>
    </row>
    <row r="81">
      <c r="A81" s="63" t="s">
        <v>114</v>
      </c>
      <c r="B81" s="63" t="s">
        <v>135</v>
      </c>
      <c r="C81" s="63" t="s">
        <v>64</v>
      </c>
      <c r="D81" s="64">
        <v>2381.0</v>
      </c>
    </row>
    <row r="82">
      <c r="A82" s="63" t="s">
        <v>114</v>
      </c>
      <c r="B82" s="63" t="s">
        <v>135</v>
      </c>
      <c r="C82" s="63" t="s">
        <v>64</v>
      </c>
      <c r="D82" s="64">
        <v>2382.0</v>
      </c>
    </row>
    <row r="83">
      <c r="A83" s="63" t="s">
        <v>114</v>
      </c>
      <c r="B83" s="63" t="s">
        <v>135</v>
      </c>
      <c r="C83" s="63" t="s">
        <v>64</v>
      </c>
      <c r="D83" s="66">
        <v>2383.0</v>
      </c>
    </row>
    <row r="84">
      <c r="A84" s="63" t="s">
        <v>114</v>
      </c>
      <c r="B84" s="63" t="s">
        <v>135</v>
      </c>
      <c r="C84" s="63" t="s">
        <v>64</v>
      </c>
      <c r="D84" s="66">
        <v>2384.0</v>
      </c>
    </row>
    <row r="85">
      <c r="A85" s="67" t="s">
        <v>136</v>
      </c>
      <c r="B85" s="67" t="s">
        <v>137</v>
      </c>
      <c r="C85" s="63" t="s">
        <v>64</v>
      </c>
      <c r="D85" s="66">
        <v>2004.0</v>
      </c>
    </row>
    <row r="86">
      <c r="A86" s="67" t="s">
        <v>136</v>
      </c>
      <c r="B86" s="67" t="s">
        <v>137</v>
      </c>
      <c r="C86" s="63" t="s">
        <v>64</v>
      </c>
      <c r="D86" s="66">
        <v>2005.0</v>
      </c>
    </row>
    <row r="87">
      <c r="A87" s="67" t="s">
        <v>136</v>
      </c>
      <c r="B87" s="67" t="s">
        <v>137</v>
      </c>
      <c r="C87" s="63" t="s">
        <v>64</v>
      </c>
      <c r="D87" s="66">
        <v>2006.0</v>
      </c>
    </row>
    <row r="88">
      <c r="A88" s="67" t="s">
        <v>136</v>
      </c>
      <c r="B88" s="67" t="s">
        <v>137</v>
      </c>
      <c r="C88" s="63" t="s">
        <v>64</v>
      </c>
      <c r="D88" s="66">
        <v>2007.0</v>
      </c>
    </row>
    <row r="89">
      <c r="A89" s="67" t="s">
        <v>136</v>
      </c>
      <c r="B89" s="67" t="s">
        <v>137</v>
      </c>
      <c r="C89" s="63" t="s">
        <v>64</v>
      </c>
      <c r="D89" s="66">
        <v>2008.0</v>
      </c>
    </row>
    <row r="90">
      <c r="A90" s="67" t="s">
        <v>114</v>
      </c>
      <c r="B90" s="67" t="s">
        <v>138</v>
      </c>
      <c r="C90" s="63" t="s">
        <v>139</v>
      </c>
      <c r="D90" s="67" t="s">
        <v>140</v>
      </c>
    </row>
    <row r="91">
      <c r="A91" s="67" t="s">
        <v>141</v>
      </c>
      <c r="B91" s="67" t="s">
        <v>141</v>
      </c>
      <c r="C91" s="63" t="s">
        <v>139</v>
      </c>
      <c r="D91" s="67" t="s">
        <v>142</v>
      </c>
    </row>
    <row r="92">
      <c r="A92" s="67" t="s">
        <v>136</v>
      </c>
      <c r="B92" s="67" t="s">
        <v>137</v>
      </c>
      <c r="C92" s="63" t="s">
        <v>139</v>
      </c>
      <c r="D92" s="67" t="s">
        <v>143</v>
      </c>
    </row>
    <row r="93">
      <c r="A93" s="67" t="s">
        <v>114</v>
      </c>
      <c r="B93" s="67" t="s">
        <v>138</v>
      </c>
      <c r="C93" s="63" t="s">
        <v>144</v>
      </c>
      <c r="D93" s="67" t="s">
        <v>145</v>
      </c>
    </row>
    <row r="94">
      <c r="A94" s="67" t="s">
        <v>141</v>
      </c>
      <c r="B94" s="67" t="s">
        <v>141</v>
      </c>
      <c r="C94" s="63" t="s">
        <v>144</v>
      </c>
      <c r="D94" s="67" t="s">
        <v>146</v>
      </c>
    </row>
    <row r="95">
      <c r="A95" s="67" t="s">
        <v>136</v>
      </c>
      <c r="B95" s="67" t="s">
        <v>137</v>
      </c>
      <c r="C95" s="63" t="s">
        <v>144</v>
      </c>
      <c r="D95" s="67" t="s">
        <v>147</v>
      </c>
    </row>
    <row r="96">
      <c r="A96" s="67" t="s">
        <v>129</v>
      </c>
      <c r="B96" s="67" t="s">
        <v>148</v>
      </c>
      <c r="C96" s="63" t="s">
        <v>58</v>
      </c>
      <c r="D96" s="66">
        <v>2093.0</v>
      </c>
    </row>
    <row r="97">
      <c r="A97" s="67" t="s">
        <v>129</v>
      </c>
      <c r="B97" s="67" t="s">
        <v>148</v>
      </c>
      <c r="C97" s="63" t="s">
        <v>58</v>
      </c>
      <c r="D97" s="66">
        <v>2092.0</v>
      </c>
    </row>
    <row r="98">
      <c r="A98" s="67" t="s">
        <v>129</v>
      </c>
      <c r="B98" s="67" t="s">
        <v>148</v>
      </c>
      <c r="C98" s="63" t="s">
        <v>58</v>
      </c>
      <c r="D98" s="66">
        <v>2091.0</v>
      </c>
    </row>
    <row r="99">
      <c r="A99" s="67" t="s">
        <v>129</v>
      </c>
      <c r="B99" s="67" t="s">
        <v>148</v>
      </c>
      <c r="C99" s="63" t="s">
        <v>149</v>
      </c>
      <c r="D99" s="66">
        <v>2090.0</v>
      </c>
    </row>
    <row r="100">
      <c r="A100" s="67" t="s">
        <v>129</v>
      </c>
      <c r="B100" s="67" t="s">
        <v>148</v>
      </c>
      <c r="C100" s="63" t="s">
        <v>58</v>
      </c>
      <c r="D100" s="66">
        <v>2089.0</v>
      </c>
    </row>
    <row r="101">
      <c r="A101" s="67" t="s">
        <v>129</v>
      </c>
      <c r="B101" s="67" t="s">
        <v>148</v>
      </c>
      <c r="C101" s="63" t="s">
        <v>64</v>
      </c>
      <c r="D101" s="66">
        <v>2088.0</v>
      </c>
    </row>
    <row r="102">
      <c r="A102" s="67" t="s">
        <v>129</v>
      </c>
      <c r="B102" s="67" t="s">
        <v>148</v>
      </c>
      <c r="C102" s="63" t="s">
        <v>64</v>
      </c>
      <c r="D102" s="66">
        <v>2087.0</v>
      </c>
    </row>
    <row r="103">
      <c r="A103" s="67" t="s">
        <v>129</v>
      </c>
      <c r="B103" s="67" t="s">
        <v>148</v>
      </c>
      <c r="C103" s="63" t="s">
        <v>64</v>
      </c>
      <c r="D103" s="66">
        <v>2086.0</v>
      </c>
    </row>
    <row r="104">
      <c r="A104" s="67" t="s">
        <v>129</v>
      </c>
      <c r="B104" s="67" t="s">
        <v>148</v>
      </c>
      <c r="C104" s="63" t="s">
        <v>64</v>
      </c>
      <c r="D104" s="66">
        <v>2085.0</v>
      </c>
    </row>
    <row r="105">
      <c r="A105" s="67" t="s">
        <v>141</v>
      </c>
      <c r="B105" s="67" t="s">
        <v>141</v>
      </c>
      <c r="C105" s="63" t="s">
        <v>64</v>
      </c>
      <c r="D105" s="66">
        <v>2020.0</v>
      </c>
    </row>
    <row r="106">
      <c r="A106" s="67" t="s">
        <v>141</v>
      </c>
      <c r="B106" s="67" t="s">
        <v>141</v>
      </c>
      <c r="C106" s="63" t="s">
        <v>64</v>
      </c>
      <c r="D106" s="66">
        <v>2021.0</v>
      </c>
    </row>
    <row r="107">
      <c r="A107" s="67" t="s">
        <v>141</v>
      </c>
      <c r="B107" s="67" t="s">
        <v>141</v>
      </c>
      <c r="C107" s="63" t="s">
        <v>58</v>
      </c>
      <c r="D107" s="66">
        <v>2022.0</v>
      </c>
    </row>
    <row r="108">
      <c r="A108" s="67" t="s">
        <v>141</v>
      </c>
      <c r="B108" s="67" t="s">
        <v>141</v>
      </c>
      <c r="C108" s="63" t="s">
        <v>58</v>
      </c>
      <c r="D108" s="66">
        <v>2023.0</v>
      </c>
    </row>
    <row r="109">
      <c r="A109" s="67" t="s">
        <v>141</v>
      </c>
      <c r="B109" s="67" t="s">
        <v>141</v>
      </c>
      <c r="C109" s="63" t="s">
        <v>64</v>
      </c>
      <c r="D109" s="66">
        <v>2024.0</v>
      </c>
    </row>
    <row r="110">
      <c r="A110" s="67" t="s">
        <v>141</v>
      </c>
      <c r="B110" s="67" t="s">
        <v>141</v>
      </c>
      <c r="C110" s="63" t="s">
        <v>64</v>
      </c>
      <c r="D110" s="66">
        <v>2025.0</v>
      </c>
    </row>
    <row r="111">
      <c r="A111" s="67" t="s">
        <v>150</v>
      </c>
      <c r="B111" s="67" t="s">
        <v>151</v>
      </c>
      <c r="C111" s="63" t="s">
        <v>64</v>
      </c>
      <c r="D111" s="66">
        <v>2026.0</v>
      </c>
    </row>
    <row r="112">
      <c r="A112" s="67" t="s">
        <v>150</v>
      </c>
      <c r="B112" s="67" t="s">
        <v>151</v>
      </c>
      <c r="C112" s="63" t="s">
        <v>64</v>
      </c>
      <c r="D112" s="66">
        <v>2027.0</v>
      </c>
    </row>
    <row r="113">
      <c r="A113" s="67" t="s">
        <v>150</v>
      </c>
      <c r="B113" s="67" t="s">
        <v>151</v>
      </c>
      <c r="C113" s="63" t="s">
        <v>64</v>
      </c>
      <c r="D113" s="66">
        <v>2028.0</v>
      </c>
    </row>
    <row r="114">
      <c r="A114" s="67" t="s">
        <v>150</v>
      </c>
      <c r="B114" s="67" t="s">
        <v>151</v>
      </c>
      <c r="C114" s="63" t="s">
        <v>58</v>
      </c>
      <c r="D114" s="66">
        <v>2029.0</v>
      </c>
    </row>
    <row r="115">
      <c r="A115" s="67" t="s">
        <v>150</v>
      </c>
      <c r="B115" s="67" t="s">
        <v>151</v>
      </c>
      <c r="C115" s="63" t="s">
        <v>58</v>
      </c>
      <c r="D115" s="66">
        <v>2030.0</v>
      </c>
    </row>
    <row r="116">
      <c r="A116" s="67" t="s">
        <v>150</v>
      </c>
      <c r="B116" s="67" t="s">
        <v>151</v>
      </c>
      <c r="C116" s="63" t="s">
        <v>64</v>
      </c>
      <c r="D116" s="66">
        <v>2031.0</v>
      </c>
    </row>
    <row r="117">
      <c r="A117" s="67" t="s">
        <v>136</v>
      </c>
      <c r="B117" s="67" t="s">
        <v>148</v>
      </c>
      <c r="C117" s="63" t="s">
        <v>64</v>
      </c>
      <c r="D117" s="66">
        <v>2012.0</v>
      </c>
    </row>
    <row r="118">
      <c r="A118" s="67" t="s">
        <v>136</v>
      </c>
      <c r="B118" s="67" t="s">
        <v>148</v>
      </c>
      <c r="C118" s="63" t="s">
        <v>64</v>
      </c>
      <c r="D118" s="66">
        <v>2013.0</v>
      </c>
    </row>
    <row r="119">
      <c r="A119" s="67" t="s">
        <v>136</v>
      </c>
      <c r="B119" s="67" t="s">
        <v>148</v>
      </c>
      <c r="C119" s="63" t="s">
        <v>64</v>
      </c>
      <c r="D119" s="66">
        <v>2014.0</v>
      </c>
    </row>
    <row r="120">
      <c r="A120" s="67" t="s">
        <v>136</v>
      </c>
      <c r="B120" s="67" t="s">
        <v>148</v>
      </c>
      <c r="C120" s="63" t="s">
        <v>64</v>
      </c>
      <c r="D120" s="66">
        <v>2015.0</v>
      </c>
    </row>
    <row r="121">
      <c r="A121" s="67" t="s">
        <v>136</v>
      </c>
      <c r="B121" s="67" t="s">
        <v>148</v>
      </c>
      <c r="C121" s="63" t="s">
        <v>64</v>
      </c>
      <c r="D121" s="66">
        <v>1478.0</v>
      </c>
    </row>
    <row r="122">
      <c r="A122" s="67" t="s">
        <v>114</v>
      </c>
      <c r="B122" s="67" t="s">
        <v>135</v>
      </c>
      <c r="C122" s="63" t="s">
        <v>64</v>
      </c>
      <c r="D122" s="66">
        <v>2011.0</v>
      </c>
    </row>
    <row r="123">
      <c r="A123" s="67" t="s">
        <v>114</v>
      </c>
      <c r="B123" s="67" t="s">
        <v>135</v>
      </c>
      <c r="C123" s="63" t="s">
        <v>64</v>
      </c>
      <c r="D123" s="66">
        <v>2010.0</v>
      </c>
    </row>
    <row r="124">
      <c r="A124" s="67" t="s">
        <v>114</v>
      </c>
      <c r="B124" s="67" t="s">
        <v>133</v>
      </c>
      <c r="C124" s="63" t="s">
        <v>64</v>
      </c>
      <c r="D124" s="66">
        <v>2009.0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  <col customWidth="1" min="5" max="5" width="20.14"/>
    <col customWidth="1" min="57" max="57" width="14.71"/>
  </cols>
  <sheetData>
    <row r="1">
      <c r="A1" s="72" t="s">
        <v>200</v>
      </c>
      <c r="B1" s="1"/>
      <c r="C1" s="1"/>
    </row>
    <row r="3">
      <c r="A3" s="12" t="s">
        <v>1</v>
      </c>
      <c r="B3" s="38" t="s">
        <v>201</v>
      </c>
      <c r="C3" s="12"/>
    </row>
    <row r="4">
      <c r="A4" s="12" t="s">
        <v>3</v>
      </c>
      <c r="B4" s="73">
        <v>44678.0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203</v>
      </c>
      <c r="H6" s="30" t="s">
        <v>204</v>
      </c>
      <c r="I6" s="30" t="s">
        <v>205</v>
      </c>
      <c r="J6" s="30" t="s">
        <v>206</v>
      </c>
      <c r="K6" s="30" t="s">
        <v>207</v>
      </c>
      <c r="L6" s="30" t="s">
        <v>208</v>
      </c>
      <c r="M6" s="30" t="s">
        <v>209</v>
      </c>
      <c r="N6" s="30" t="s">
        <v>210</v>
      </c>
      <c r="O6" s="30" t="s">
        <v>211</v>
      </c>
      <c r="P6" s="30" t="s">
        <v>212</v>
      </c>
      <c r="Q6" s="30" t="s">
        <v>213</v>
      </c>
      <c r="R6" s="30" t="s">
        <v>214</v>
      </c>
      <c r="S6" s="30" t="s">
        <v>215</v>
      </c>
      <c r="T6" s="30" t="s">
        <v>216</v>
      </c>
      <c r="U6" s="30" t="s">
        <v>217</v>
      </c>
      <c r="V6" s="30" t="s">
        <v>218</v>
      </c>
      <c r="W6" s="30" t="s">
        <v>219</v>
      </c>
      <c r="X6" s="30" t="s">
        <v>220</v>
      </c>
      <c r="Y6" s="30" t="s">
        <v>221</v>
      </c>
      <c r="Z6" s="30" t="s">
        <v>222</v>
      </c>
      <c r="AA6" s="30" t="s">
        <v>223</v>
      </c>
      <c r="AB6" s="30" t="s">
        <v>224</v>
      </c>
      <c r="AC6" s="30" t="s">
        <v>225</v>
      </c>
      <c r="AD6" s="30" t="s">
        <v>226</v>
      </c>
      <c r="AE6" s="30" t="s">
        <v>227</v>
      </c>
      <c r="AF6" s="30" t="s">
        <v>228</v>
      </c>
      <c r="AG6" s="30" t="s">
        <v>229</v>
      </c>
      <c r="AH6" s="30" t="s">
        <v>230</v>
      </c>
      <c r="AI6" s="30" t="s">
        <v>231</v>
      </c>
      <c r="AJ6" s="30" t="s">
        <v>232</v>
      </c>
      <c r="AK6" s="30" t="s">
        <v>233</v>
      </c>
      <c r="AL6" s="30" t="s">
        <v>234</v>
      </c>
      <c r="AM6" s="30" t="s">
        <v>235</v>
      </c>
      <c r="AN6" s="30" t="s">
        <v>236</v>
      </c>
      <c r="AO6" s="30" t="s">
        <v>237</v>
      </c>
      <c r="AP6" s="30" t="s">
        <v>238</v>
      </c>
      <c r="AQ6" s="30" t="s">
        <v>239</v>
      </c>
      <c r="AR6" s="30" t="s">
        <v>240</v>
      </c>
      <c r="AS6" s="30" t="s">
        <v>241</v>
      </c>
      <c r="AT6" s="30" t="s">
        <v>242</v>
      </c>
      <c r="AU6" s="30" t="s">
        <v>243</v>
      </c>
      <c r="AV6" s="30" t="s">
        <v>244</v>
      </c>
      <c r="AW6" s="30" t="s">
        <v>245</v>
      </c>
      <c r="AX6" s="30" t="s">
        <v>246</v>
      </c>
      <c r="AY6" s="30" t="s">
        <v>247</v>
      </c>
      <c r="AZ6" s="30" t="s">
        <v>248</v>
      </c>
      <c r="BA6" s="30" t="s">
        <v>249</v>
      </c>
      <c r="BB6" s="30" t="s">
        <v>250</v>
      </c>
      <c r="BC6" s="30" t="s">
        <v>251</v>
      </c>
      <c r="BD6" s="30" t="s">
        <v>252</v>
      </c>
      <c r="BE6" s="30" t="s">
        <v>253</v>
      </c>
      <c r="BF6" s="29" t="s">
        <v>26</v>
      </c>
      <c r="BG6" s="9"/>
      <c r="BH6" s="9"/>
      <c r="BI6" s="9"/>
    </row>
    <row r="7">
      <c r="A7" s="12" t="s">
        <v>57</v>
      </c>
      <c r="B7" s="12" t="s">
        <v>58</v>
      </c>
      <c r="C7" s="12">
        <v>2352.0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  <c r="G24" s="57">
        <v>1.382</v>
      </c>
      <c r="J24" s="57">
        <v>1.41</v>
      </c>
      <c r="M24" s="57">
        <v>1.414</v>
      </c>
      <c r="AH24" s="57">
        <v>3.0</v>
      </c>
      <c r="AK24" s="57">
        <v>3.25</v>
      </c>
      <c r="AN24" s="57">
        <v>3.3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G27" s="57">
        <v>1.508</v>
      </c>
      <c r="J27" s="57">
        <v>1.584</v>
      </c>
      <c r="AH27" s="57">
        <v>2.662</v>
      </c>
      <c r="AK27" s="57">
        <v>2.384</v>
      </c>
      <c r="AN27" s="57">
        <v>3.092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G30" s="57">
        <v>1.512</v>
      </c>
      <c r="J30" s="57">
        <v>1.421</v>
      </c>
      <c r="M30" s="57">
        <v>1.583</v>
      </c>
      <c r="AH30" s="57">
        <v>3.3</v>
      </c>
      <c r="AK30" s="57">
        <v>3.35</v>
      </c>
      <c r="AN30" s="57">
        <v>3.3</v>
      </c>
    </row>
    <row r="31">
      <c r="A31" s="38" t="s">
        <v>70</v>
      </c>
      <c r="B31" s="38" t="s">
        <v>58</v>
      </c>
      <c r="C31" s="38">
        <v>2376.0</v>
      </c>
    </row>
    <row r="32">
      <c r="A32" s="38" t="s">
        <v>70</v>
      </c>
      <c r="B32" s="38" t="s">
        <v>58</v>
      </c>
      <c r="C32" s="38">
        <v>2377.0</v>
      </c>
    </row>
    <row r="33">
      <c r="A33" s="38" t="s">
        <v>70</v>
      </c>
      <c r="B33" s="38" t="s">
        <v>64</v>
      </c>
      <c r="C33" s="38">
        <v>2378.0</v>
      </c>
    </row>
    <row r="34">
      <c r="A34" s="38" t="s">
        <v>70</v>
      </c>
      <c r="B34" s="38" t="s">
        <v>64</v>
      </c>
      <c r="C34" s="38">
        <v>2379.0</v>
      </c>
    </row>
    <row r="35">
      <c r="A35" s="38" t="s">
        <v>70</v>
      </c>
      <c r="B35" s="38" t="s">
        <v>58</v>
      </c>
      <c r="C35" s="38">
        <v>2380.0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  <c r="G42" s="57">
        <v>1.228</v>
      </c>
      <c r="J42" s="57">
        <v>1.098</v>
      </c>
      <c r="M42" s="57">
        <v>1.138</v>
      </c>
      <c r="AH42" s="57">
        <v>2.782</v>
      </c>
      <c r="AK42" s="57">
        <v>2.634</v>
      </c>
      <c r="AN42" s="57">
        <v>2.748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</row>
    <row r="47">
      <c r="A47" s="12" t="s">
        <v>74</v>
      </c>
      <c r="B47" s="12" t="s">
        <v>64</v>
      </c>
      <c r="C47" s="12">
        <v>2346.0</v>
      </c>
      <c r="G47" s="57">
        <v>1.971</v>
      </c>
      <c r="J47" s="57">
        <v>2.022</v>
      </c>
      <c r="M47" s="57">
        <v>2.008</v>
      </c>
      <c r="AH47" s="57">
        <v>2.207</v>
      </c>
      <c r="AK47" s="57">
        <v>2.29</v>
      </c>
      <c r="AN47" s="57">
        <v>2.136</v>
      </c>
      <c r="BF47" s="57" t="s">
        <v>291</v>
      </c>
    </row>
    <row r="48">
      <c r="A48" s="12" t="s">
        <v>74</v>
      </c>
      <c r="B48" s="12" t="s">
        <v>64</v>
      </c>
      <c r="C48" s="12">
        <v>2347.0</v>
      </c>
      <c r="G48" s="57">
        <v>1.171</v>
      </c>
      <c r="J48" s="57">
        <v>1.468</v>
      </c>
      <c r="M48" s="57">
        <v>1.443</v>
      </c>
      <c r="AH48" s="57">
        <v>2.554</v>
      </c>
      <c r="AK48" s="57">
        <v>2.43</v>
      </c>
      <c r="AN48" s="57">
        <v>2.143</v>
      </c>
      <c r="AQ48" s="57">
        <v>2.204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</row>
    <row r="92">
      <c r="A92" s="53" t="s">
        <v>107</v>
      </c>
      <c r="B92" s="54" t="s">
        <v>64</v>
      </c>
      <c r="C92" s="55">
        <v>2371.0</v>
      </c>
    </row>
    <row r="93">
      <c r="A93" s="53" t="s">
        <v>108</v>
      </c>
      <c r="B93" s="54" t="s">
        <v>64</v>
      </c>
      <c r="C93" s="55">
        <v>2372.0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</row>
    <row r="111">
      <c r="A111" s="2" t="s">
        <v>117</v>
      </c>
      <c r="B111" s="54" t="s">
        <v>64</v>
      </c>
      <c r="C111" s="60">
        <v>2383.0</v>
      </c>
    </row>
    <row r="112">
      <c r="A112" s="2" t="s">
        <v>117</v>
      </c>
      <c r="B112" s="54" t="s">
        <v>64</v>
      </c>
      <c r="C112" s="57">
        <v>2384.0</v>
      </c>
    </row>
    <row r="113">
      <c r="A113" s="57" t="s">
        <v>136</v>
      </c>
      <c r="B113" s="54" t="s">
        <v>64</v>
      </c>
      <c r="C113" s="57">
        <v>2004.0</v>
      </c>
      <c r="AE113" s="57">
        <v>1.762</v>
      </c>
      <c r="AF113" s="57">
        <v>0.9</v>
      </c>
      <c r="BC113" s="57">
        <v>1.062</v>
      </c>
      <c r="BD113" s="57">
        <v>0.562</v>
      </c>
    </row>
    <row r="114">
      <c r="A114" s="57" t="s">
        <v>136</v>
      </c>
      <c r="B114" s="54" t="s">
        <v>64</v>
      </c>
      <c r="C114" s="57">
        <v>2005.0</v>
      </c>
      <c r="AE114" s="57">
        <v>4.076</v>
      </c>
      <c r="AF114" s="57">
        <v>2.033</v>
      </c>
      <c r="BC114" s="57">
        <v>1.885</v>
      </c>
      <c r="BD114" s="57">
        <v>0.984</v>
      </c>
    </row>
    <row r="115">
      <c r="A115" s="57" t="s">
        <v>136</v>
      </c>
      <c r="B115" s="54" t="s">
        <v>64</v>
      </c>
      <c r="C115" s="57">
        <v>2006.0</v>
      </c>
      <c r="AE115" s="57">
        <v>2.819</v>
      </c>
      <c r="AF115" s="57">
        <v>1.454</v>
      </c>
    </row>
    <row r="116">
      <c r="A116" s="57" t="s">
        <v>136</v>
      </c>
      <c r="B116" s="54" t="s">
        <v>64</v>
      </c>
      <c r="C116" s="57">
        <v>2007.0</v>
      </c>
      <c r="AE116" s="57">
        <v>2.169</v>
      </c>
      <c r="AF116" s="57">
        <v>1.138</v>
      </c>
      <c r="BC116" s="57">
        <v>1.614</v>
      </c>
      <c r="BD116" s="57">
        <v>0.868</v>
      </c>
    </row>
    <row r="117">
      <c r="A117" s="57" t="s">
        <v>254</v>
      </c>
      <c r="B117" s="54" t="s">
        <v>139</v>
      </c>
      <c r="AE117" s="57">
        <v>0.751</v>
      </c>
      <c r="AF117" s="57">
        <v>0.336</v>
      </c>
    </row>
    <row r="118">
      <c r="A118" s="57" t="s">
        <v>141</v>
      </c>
      <c r="B118" s="54" t="s">
        <v>139</v>
      </c>
    </row>
    <row r="119">
      <c r="A119" s="57" t="s">
        <v>136</v>
      </c>
      <c r="B119" s="54" t="s">
        <v>139</v>
      </c>
    </row>
    <row r="120">
      <c r="A120" s="57" t="s">
        <v>254</v>
      </c>
      <c r="B120" s="54" t="s">
        <v>144</v>
      </c>
    </row>
    <row r="121">
      <c r="A121" s="57" t="s">
        <v>141</v>
      </c>
      <c r="B121" s="54" t="s">
        <v>144</v>
      </c>
      <c r="AE121" s="57">
        <v>2.332</v>
      </c>
      <c r="AF121" s="57">
        <v>1.025</v>
      </c>
    </row>
    <row r="122">
      <c r="A122" s="57" t="s">
        <v>136</v>
      </c>
      <c r="B122" s="54" t="s">
        <v>144</v>
      </c>
      <c r="AE122" s="57">
        <v>1.329</v>
      </c>
      <c r="AF122" s="57">
        <v>0.597</v>
      </c>
    </row>
    <row r="123">
      <c r="A123" s="57" t="s">
        <v>255</v>
      </c>
      <c r="B123" s="54" t="s">
        <v>58</v>
      </c>
      <c r="C123" s="57">
        <v>2093.0</v>
      </c>
      <c r="AE123" s="57">
        <v>3.297</v>
      </c>
      <c r="AF123" s="57">
        <v>1.693</v>
      </c>
      <c r="BC123" s="57">
        <v>2.058</v>
      </c>
      <c r="BD123" s="57">
        <v>0.798</v>
      </c>
    </row>
    <row r="124">
      <c r="A124" s="57" t="s">
        <v>255</v>
      </c>
      <c r="B124" s="54" t="s">
        <v>58</v>
      </c>
      <c r="C124" s="57">
        <v>2092.0</v>
      </c>
      <c r="AE124" s="57">
        <v>1.915</v>
      </c>
      <c r="AF124" s="57">
        <v>1.025</v>
      </c>
      <c r="BF124" s="78" t="s">
        <v>292</v>
      </c>
    </row>
    <row r="125">
      <c r="A125" s="57" t="s">
        <v>255</v>
      </c>
      <c r="B125" s="54" t="s">
        <v>58</v>
      </c>
      <c r="C125" s="57">
        <v>2091.0</v>
      </c>
      <c r="AE125" s="57">
        <v>5.848</v>
      </c>
      <c r="AF125" s="57">
        <v>2.806</v>
      </c>
      <c r="BC125" s="57">
        <v>1.812</v>
      </c>
      <c r="BD125" s="57">
        <v>0.729</v>
      </c>
      <c r="BF125" s="57" t="s">
        <v>293</v>
      </c>
    </row>
    <row r="126">
      <c r="A126" s="57" t="s">
        <v>255</v>
      </c>
      <c r="B126" s="54" t="s">
        <v>149</v>
      </c>
      <c r="C126" s="57">
        <v>2090.0</v>
      </c>
      <c r="AE126" s="57">
        <v>2.886</v>
      </c>
      <c r="AF126" s="57">
        <v>1.353</v>
      </c>
      <c r="BC126" s="57">
        <v>1.638</v>
      </c>
      <c r="BD126" s="57">
        <v>0.792</v>
      </c>
    </row>
    <row r="127">
      <c r="A127" s="57" t="s">
        <v>255</v>
      </c>
      <c r="B127" s="54" t="s">
        <v>58</v>
      </c>
      <c r="C127" s="57">
        <v>2089.0</v>
      </c>
      <c r="AE127" s="57">
        <v>3.648</v>
      </c>
      <c r="AF127" s="57">
        <v>1.91</v>
      </c>
      <c r="BC127" s="57">
        <v>1.03</v>
      </c>
      <c r="BD127" s="57">
        <v>0.383</v>
      </c>
      <c r="BF127" s="57" t="s">
        <v>294</v>
      </c>
    </row>
    <row r="128">
      <c r="A128" s="57" t="s">
        <v>255</v>
      </c>
      <c r="B128" s="54" t="s">
        <v>64</v>
      </c>
      <c r="C128" s="57">
        <v>2088.0</v>
      </c>
      <c r="BC128" s="57">
        <v>1.264</v>
      </c>
      <c r="BD128" s="57">
        <v>0.619</v>
      </c>
    </row>
    <row r="129">
      <c r="A129" s="57" t="s">
        <v>255</v>
      </c>
      <c r="B129" s="54" t="s">
        <v>64</v>
      </c>
      <c r="C129" s="57">
        <v>2087.0</v>
      </c>
      <c r="BC129" s="57">
        <v>2.762</v>
      </c>
      <c r="BD129" s="57">
        <v>1.352</v>
      </c>
    </row>
    <row r="130">
      <c r="A130" s="57" t="s">
        <v>255</v>
      </c>
      <c r="B130" s="54" t="s">
        <v>64</v>
      </c>
      <c r="C130" s="57">
        <v>2086.0</v>
      </c>
      <c r="AE130" s="57">
        <v>1.193</v>
      </c>
      <c r="AF130" s="57">
        <v>0.551</v>
      </c>
      <c r="BC130" s="57">
        <v>1.527</v>
      </c>
      <c r="BD130" s="57">
        <v>0.757</v>
      </c>
    </row>
    <row r="131">
      <c r="A131" s="57" t="s">
        <v>255</v>
      </c>
      <c r="B131" s="54" t="s">
        <v>64</v>
      </c>
      <c r="C131" s="57">
        <v>2085.0</v>
      </c>
      <c r="BC131" s="57">
        <v>1.369</v>
      </c>
      <c r="BD131" s="57">
        <v>0.675</v>
      </c>
    </row>
    <row r="132">
      <c r="A132" s="57" t="s">
        <v>141</v>
      </c>
      <c r="B132" s="54" t="s">
        <v>64</v>
      </c>
      <c r="C132" s="57">
        <v>2020.0</v>
      </c>
      <c r="AE132" s="57">
        <v>1.537</v>
      </c>
      <c r="AF132" s="57">
        <v>0.763</v>
      </c>
      <c r="BC132" s="57">
        <v>1.27</v>
      </c>
      <c r="BD132" s="57">
        <v>0.662</v>
      </c>
    </row>
    <row r="133">
      <c r="A133" s="57" t="s">
        <v>141</v>
      </c>
      <c r="B133" s="54" t="s">
        <v>64</v>
      </c>
      <c r="C133" s="57">
        <v>2021.0</v>
      </c>
      <c r="AE133" s="57">
        <v>2.575</v>
      </c>
      <c r="AF133" s="57">
        <v>1.288</v>
      </c>
      <c r="BC133" s="57">
        <v>1.075</v>
      </c>
      <c r="BD133" s="57">
        <v>0.559</v>
      </c>
    </row>
    <row r="134">
      <c r="A134" s="57" t="s">
        <v>141</v>
      </c>
      <c r="B134" s="54" t="s">
        <v>58</v>
      </c>
      <c r="C134" s="57">
        <v>2022.0</v>
      </c>
      <c r="AE134" s="57">
        <v>4.778</v>
      </c>
      <c r="AF134" s="57">
        <v>2.58</v>
      </c>
      <c r="BC134" s="77"/>
      <c r="BD134" s="77"/>
      <c r="BF134" s="78" t="s">
        <v>295</v>
      </c>
    </row>
    <row r="135">
      <c r="A135" s="57" t="s">
        <v>141</v>
      </c>
      <c r="B135" s="54" t="s">
        <v>58</v>
      </c>
      <c r="C135" s="57">
        <v>2023.0</v>
      </c>
      <c r="AE135" s="57">
        <v>5.023</v>
      </c>
      <c r="AF135" s="57">
        <v>2.613</v>
      </c>
      <c r="BC135" s="57">
        <v>1.501</v>
      </c>
      <c r="BD135" s="57">
        <v>0.787</v>
      </c>
    </row>
    <row r="136">
      <c r="A136" s="57" t="s">
        <v>141</v>
      </c>
      <c r="B136" s="54" t="s">
        <v>64</v>
      </c>
      <c r="C136" s="57">
        <v>2024.0</v>
      </c>
      <c r="BC136" s="57">
        <v>1.862</v>
      </c>
      <c r="BD136" s="57">
        <v>0.963</v>
      </c>
    </row>
    <row r="137">
      <c r="A137" s="57" t="s">
        <v>141</v>
      </c>
      <c r="B137" s="54" t="s">
        <v>64</v>
      </c>
      <c r="C137" s="57">
        <v>2025.0</v>
      </c>
      <c r="AE137" s="57">
        <v>1.356</v>
      </c>
      <c r="AF137" s="57">
        <v>0.664</v>
      </c>
      <c r="BC137" s="57">
        <v>1.555</v>
      </c>
      <c r="BD137" s="57">
        <v>0.806</v>
      </c>
    </row>
    <row r="138">
      <c r="A138" s="57" t="s">
        <v>150</v>
      </c>
      <c r="B138" s="54" t="s">
        <v>64</v>
      </c>
      <c r="C138" s="57">
        <v>2026.0</v>
      </c>
      <c r="AE138" s="57">
        <v>1.679</v>
      </c>
      <c r="AF138" s="57">
        <v>0.864</v>
      </c>
      <c r="BC138" s="57">
        <v>1.745</v>
      </c>
      <c r="BD138" s="57">
        <v>0.94</v>
      </c>
    </row>
    <row r="139">
      <c r="A139" s="57" t="s">
        <v>150</v>
      </c>
      <c r="B139" s="54" t="s">
        <v>64</v>
      </c>
      <c r="C139" s="57">
        <v>2027.0</v>
      </c>
      <c r="AE139" s="57">
        <v>1.867</v>
      </c>
      <c r="AF139" s="57">
        <v>0.936</v>
      </c>
      <c r="BC139" s="57">
        <v>0.949</v>
      </c>
      <c r="BD139" s="57">
        <v>0.505</v>
      </c>
    </row>
    <row r="140">
      <c r="A140" s="57" t="s">
        <v>150</v>
      </c>
      <c r="B140" s="54"/>
      <c r="C140" s="57">
        <v>2028.0</v>
      </c>
      <c r="AE140" s="57">
        <v>3.19</v>
      </c>
      <c r="AF140" s="57">
        <v>1.724</v>
      </c>
      <c r="BC140" s="57">
        <v>1.716</v>
      </c>
      <c r="BD140" s="57">
        <v>0.937</v>
      </c>
    </row>
    <row r="141">
      <c r="A141" s="57" t="s">
        <v>150</v>
      </c>
      <c r="B141" s="54"/>
      <c r="C141" s="57">
        <v>2029.0</v>
      </c>
      <c r="AE141" s="57">
        <v>3.265</v>
      </c>
      <c r="AF141" s="57">
        <v>1.781</v>
      </c>
      <c r="BC141" s="77"/>
      <c r="BD141" s="77"/>
      <c r="BF141" s="57" t="s">
        <v>296</v>
      </c>
      <c r="BG141" s="57"/>
      <c r="BH141" s="57"/>
      <c r="BI141" s="57"/>
    </row>
    <row r="142">
      <c r="A142" s="57" t="s">
        <v>150</v>
      </c>
      <c r="B142" s="54"/>
      <c r="C142" s="57">
        <v>2030.0</v>
      </c>
      <c r="AE142" s="57">
        <v>3.343</v>
      </c>
      <c r="AF142" s="57">
        <v>1.841</v>
      </c>
      <c r="BF142" s="57" t="s">
        <v>297</v>
      </c>
      <c r="BG142" s="57"/>
      <c r="BH142" s="57"/>
      <c r="BI142" s="57"/>
    </row>
    <row r="143">
      <c r="A143" s="57" t="s">
        <v>150</v>
      </c>
      <c r="B143" s="54"/>
      <c r="C143" s="57">
        <v>2031.0</v>
      </c>
    </row>
    <row r="144">
      <c r="A144" s="57" t="s">
        <v>256</v>
      </c>
      <c r="B144" s="54" t="s">
        <v>64</v>
      </c>
      <c r="C144" s="57">
        <v>2012.0</v>
      </c>
      <c r="AE144" s="77">
        <v>1.397</v>
      </c>
      <c r="AF144" s="77">
        <v>0.684</v>
      </c>
      <c r="BC144" s="57">
        <v>1.09</v>
      </c>
      <c r="BD144" s="57">
        <v>0.553</v>
      </c>
    </row>
    <row r="145">
      <c r="A145" s="57" t="s">
        <v>256</v>
      </c>
      <c r="B145" s="54" t="s">
        <v>64</v>
      </c>
      <c r="C145" s="57">
        <v>2013.0</v>
      </c>
      <c r="AE145" s="57">
        <v>1.264</v>
      </c>
      <c r="AF145" s="57">
        <v>0.567</v>
      </c>
      <c r="BC145" s="57">
        <v>1.852</v>
      </c>
      <c r="BD145" s="57">
        <v>0.895</v>
      </c>
    </row>
    <row r="146">
      <c r="A146" s="57" t="s">
        <v>256</v>
      </c>
      <c r="B146" s="54" t="s">
        <v>64</v>
      </c>
      <c r="C146" s="57">
        <v>2014.0</v>
      </c>
    </row>
    <row r="147">
      <c r="A147" s="57" t="s">
        <v>256</v>
      </c>
      <c r="B147" s="54" t="s">
        <v>64</v>
      </c>
      <c r="C147" s="57">
        <v>2015.0</v>
      </c>
      <c r="BC147" s="57">
        <v>1.216</v>
      </c>
      <c r="BD147" s="57">
        <v>0.613</v>
      </c>
    </row>
    <row r="148">
      <c r="A148" s="57" t="s">
        <v>256</v>
      </c>
      <c r="B148" s="54" t="s">
        <v>64</v>
      </c>
      <c r="C148" s="57">
        <v>1478.0</v>
      </c>
      <c r="AE148" s="57">
        <v>1.759</v>
      </c>
      <c r="AF148" s="57">
        <v>0.847</v>
      </c>
      <c r="BC148" s="57">
        <v>1.735</v>
      </c>
      <c r="BD148" s="57">
        <v>0.859</v>
      </c>
    </row>
    <row r="149">
      <c r="B149" s="54"/>
      <c r="C149" s="57">
        <v>2011.0</v>
      </c>
    </row>
    <row r="150">
      <c r="A150" s="57" t="s">
        <v>257</v>
      </c>
      <c r="B150" s="54" t="s">
        <v>64</v>
      </c>
      <c r="C150" s="57">
        <v>2010.0</v>
      </c>
    </row>
    <row r="151">
      <c r="A151" s="57" t="s">
        <v>258</v>
      </c>
      <c r="B151" s="54" t="s">
        <v>64</v>
      </c>
      <c r="C151" s="57">
        <v>2009.0</v>
      </c>
    </row>
    <row r="152">
      <c r="B152" s="3"/>
      <c r="C152" s="57">
        <v>2008.0</v>
      </c>
    </row>
    <row r="153">
      <c r="B153" s="54" t="s">
        <v>64</v>
      </c>
      <c r="C153" s="57">
        <v>2032.0</v>
      </c>
      <c r="AE153" s="57">
        <v>2.15</v>
      </c>
      <c r="AF153" s="57">
        <v>1.093</v>
      </c>
      <c r="BC153" s="57">
        <v>1.477</v>
      </c>
      <c r="BD153" s="57">
        <v>0.774</v>
      </c>
    </row>
    <row r="154">
      <c r="B154" s="54" t="s">
        <v>64</v>
      </c>
      <c r="C154" s="57">
        <v>2385.0</v>
      </c>
      <c r="AE154" s="57">
        <v>3.145</v>
      </c>
      <c r="AF154" s="57">
        <v>1.496</v>
      </c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2" t="s">
        <v>200</v>
      </c>
      <c r="B1" s="1"/>
      <c r="C1" s="1"/>
    </row>
    <row r="3">
      <c r="A3" s="12" t="s">
        <v>1</v>
      </c>
      <c r="B3" s="38" t="s">
        <v>201</v>
      </c>
      <c r="C3" s="12"/>
    </row>
    <row r="4">
      <c r="A4" s="12" t="s">
        <v>3</v>
      </c>
      <c r="B4" s="73">
        <v>44685.0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203</v>
      </c>
      <c r="H6" s="30" t="s">
        <v>204</v>
      </c>
      <c r="I6" s="30" t="s">
        <v>205</v>
      </c>
      <c r="J6" s="30" t="s">
        <v>206</v>
      </c>
      <c r="K6" s="30" t="s">
        <v>207</v>
      </c>
      <c r="L6" s="30" t="s">
        <v>208</v>
      </c>
      <c r="M6" s="30" t="s">
        <v>209</v>
      </c>
      <c r="N6" s="30" t="s">
        <v>210</v>
      </c>
      <c r="O6" s="30" t="s">
        <v>211</v>
      </c>
      <c r="P6" s="30" t="s">
        <v>212</v>
      </c>
      <c r="Q6" s="30" t="s">
        <v>213</v>
      </c>
      <c r="R6" s="30" t="s">
        <v>214</v>
      </c>
      <c r="S6" s="30" t="s">
        <v>215</v>
      </c>
      <c r="T6" s="30" t="s">
        <v>216</v>
      </c>
      <c r="U6" s="30" t="s">
        <v>217</v>
      </c>
      <c r="V6" s="30" t="s">
        <v>218</v>
      </c>
      <c r="W6" s="30" t="s">
        <v>219</v>
      </c>
      <c r="X6" s="30" t="s">
        <v>220</v>
      </c>
      <c r="Y6" s="30" t="s">
        <v>221</v>
      </c>
      <c r="Z6" s="30" t="s">
        <v>222</v>
      </c>
      <c r="AA6" s="30" t="s">
        <v>223</v>
      </c>
      <c r="AB6" s="30" t="s">
        <v>224</v>
      </c>
      <c r="AC6" s="30" t="s">
        <v>225</v>
      </c>
      <c r="AD6" s="30" t="s">
        <v>226</v>
      </c>
      <c r="AE6" s="30" t="s">
        <v>227</v>
      </c>
      <c r="AF6" s="30" t="s">
        <v>228</v>
      </c>
      <c r="AG6" s="30" t="s">
        <v>229</v>
      </c>
      <c r="AH6" s="30" t="s">
        <v>230</v>
      </c>
      <c r="AI6" s="30" t="s">
        <v>231</v>
      </c>
      <c r="AJ6" s="30" t="s">
        <v>232</v>
      </c>
      <c r="AK6" s="30" t="s">
        <v>233</v>
      </c>
      <c r="AL6" s="30" t="s">
        <v>234</v>
      </c>
      <c r="AM6" s="30" t="s">
        <v>235</v>
      </c>
      <c r="AN6" s="30" t="s">
        <v>236</v>
      </c>
      <c r="AO6" s="30" t="s">
        <v>237</v>
      </c>
      <c r="AP6" s="30" t="s">
        <v>238</v>
      </c>
      <c r="AQ6" s="30" t="s">
        <v>239</v>
      </c>
      <c r="AR6" s="30" t="s">
        <v>240</v>
      </c>
      <c r="AS6" s="30" t="s">
        <v>241</v>
      </c>
      <c r="AT6" s="30" t="s">
        <v>242</v>
      </c>
      <c r="AU6" s="30" t="s">
        <v>243</v>
      </c>
      <c r="AV6" s="30" t="s">
        <v>244</v>
      </c>
      <c r="AW6" s="30" t="s">
        <v>245</v>
      </c>
      <c r="AX6" s="30" t="s">
        <v>246</v>
      </c>
      <c r="AY6" s="30" t="s">
        <v>247</v>
      </c>
      <c r="AZ6" s="30" t="s">
        <v>248</v>
      </c>
      <c r="BA6" s="30" t="s">
        <v>249</v>
      </c>
      <c r="BB6" s="30" t="s">
        <v>250</v>
      </c>
      <c r="BC6" s="30" t="s">
        <v>251</v>
      </c>
      <c r="BD6" s="30" t="s">
        <v>252</v>
      </c>
      <c r="BE6" s="30" t="s">
        <v>253</v>
      </c>
      <c r="BF6" s="29" t="s">
        <v>26</v>
      </c>
      <c r="BG6" s="9"/>
      <c r="BH6" s="9"/>
      <c r="BI6" s="9"/>
    </row>
    <row r="7">
      <c r="A7" s="12" t="s">
        <v>57</v>
      </c>
      <c r="B7" s="12" t="s">
        <v>58</v>
      </c>
      <c r="C7" s="12">
        <v>2352.0</v>
      </c>
      <c r="BC7" s="57">
        <v>1.847</v>
      </c>
      <c r="BD7" s="57">
        <v>1.2166</v>
      </c>
      <c r="BE7" s="33" t="str">
        <f t="shared" ref="BE7:BE151" si="1">AVERAGE(AZ7,AW7,AT7,AQ7,AN7,AK7,AH7)</f>
        <v>#DIV/0!</v>
      </c>
    </row>
    <row r="8">
      <c r="A8" s="12" t="s">
        <v>57</v>
      </c>
      <c r="B8" s="12" t="s">
        <v>58</v>
      </c>
      <c r="C8" s="12">
        <v>2353.0</v>
      </c>
      <c r="BE8" s="33" t="str">
        <f t="shared" si="1"/>
        <v>#DIV/0!</v>
      </c>
    </row>
    <row r="9">
      <c r="A9" s="12" t="s">
        <v>57</v>
      </c>
      <c r="B9" s="12" t="s">
        <v>58</v>
      </c>
      <c r="C9" s="34">
        <v>2354.0</v>
      </c>
      <c r="BC9" s="57">
        <v>1.8</v>
      </c>
      <c r="BD9" s="57">
        <v>1.1043</v>
      </c>
      <c r="BE9" s="33" t="str">
        <f t="shared" si="1"/>
        <v>#DIV/0!</v>
      </c>
    </row>
    <row r="10">
      <c r="A10" s="12" t="s">
        <v>57</v>
      </c>
      <c r="B10" s="12" t="s">
        <v>64</v>
      </c>
      <c r="C10" s="12">
        <v>2355.0</v>
      </c>
      <c r="BE10" s="33" t="str">
        <f t="shared" si="1"/>
        <v>#DIV/0!</v>
      </c>
    </row>
    <row r="11">
      <c r="A11" s="12" t="s">
        <v>57</v>
      </c>
      <c r="B11" s="12" t="s">
        <v>64</v>
      </c>
      <c r="C11" s="34" t="s">
        <v>65</v>
      </c>
      <c r="BE11" s="33" t="str">
        <f t="shared" si="1"/>
        <v>#DIV/0!</v>
      </c>
    </row>
    <row r="12">
      <c r="A12" s="12" t="s">
        <v>57</v>
      </c>
      <c r="B12" s="12" t="s">
        <v>64</v>
      </c>
      <c r="C12" s="12">
        <v>2356.0</v>
      </c>
      <c r="BE12" s="33" t="str">
        <f t="shared" si="1"/>
        <v>#DIV/0!</v>
      </c>
    </row>
    <row r="13">
      <c r="A13" s="12" t="s">
        <v>57</v>
      </c>
      <c r="B13" s="12" t="s">
        <v>64</v>
      </c>
      <c r="C13" s="12">
        <v>2357.0</v>
      </c>
      <c r="BE13" s="33" t="str">
        <f t="shared" si="1"/>
        <v>#DIV/0!</v>
      </c>
    </row>
    <row r="14">
      <c r="A14" s="12" t="s">
        <v>57</v>
      </c>
      <c r="B14" s="12" t="s">
        <v>64</v>
      </c>
      <c r="C14" s="34" t="s">
        <v>65</v>
      </c>
      <c r="BE14" s="33" t="str">
        <f t="shared" si="1"/>
        <v>#DIV/0!</v>
      </c>
    </row>
    <row r="15">
      <c r="A15" s="12" t="s">
        <v>57</v>
      </c>
      <c r="B15" s="12" t="s">
        <v>64</v>
      </c>
      <c r="C15" s="12">
        <v>2358.0</v>
      </c>
      <c r="BE15" s="33" t="str">
        <f t="shared" si="1"/>
        <v>#DIV/0!</v>
      </c>
    </row>
    <row r="16">
      <c r="A16" s="12" t="s">
        <v>57</v>
      </c>
      <c r="B16" s="12" t="s">
        <v>64</v>
      </c>
      <c r="C16" s="12">
        <v>2359.0</v>
      </c>
      <c r="BE16" s="33" t="str">
        <f t="shared" si="1"/>
        <v>#DIV/0!</v>
      </c>
    </row>
    <row r="17">
      <c r="A17" s="12" t="s">
        <v>57</v>
      </c>
      <c r="B17" s="12" t="s">
        <v>64</v>
      </c>
      <c r="C17" s="34" t="s">
        <v>65</v>
      </c>
      <c r="BE17" s="33" t="str">
        <f t="shared" si="1"/>
        <v>#DIV/0!</v>
      </c>
    </row>
    <row r="18">
      <c r="A18" s="12" t="s">
        <v>57</v>
      </c>
      <c r="B18" s="12" t="s">
        <v>64</v>
      </c>
      <c r="C18" s="12">
        <v>2360.0</v>
      </c>
      <c r="BC18" s="57">
        <v>2.156</v>
      </c>
      <c r="BD18" s="57">
        <v>1.2255</v>
      </c>
      <c r="BE18" s="33" t="str">
        <f t="shared" si="1"/>
        <v>#DIV/0!</v>
      </c>
    </row>
    <row r="19">
      <c r="A19" s="12" t="s">
        <v>57</v>
      </c>
      <c r="B19" s="12" t="s">
        <v>64</v>
      </c>
      <c r="C19" s="12">
        <v>2361.0</v>
      </c>
      <c r="BE19" s="33" t="str">
        <f t="shared" si="1"/>
        <v>#DIV/0!</v>
      </c>
    </row>
    <row r="20">
      <c r="A20" s="12" t="s">
        <v>57</v>
      </c>
      <c r="B20" s="12" t="s">
        <v>64</v>
      </c>
      <c r="C20" s="34" t="s">
        <v>65</v>
      </c>
      <c r="BE20" s="33" t="str">
        <f t="shared" si="1"/>
        <v>#DIV/0!</v>
      </c>
    </row>
    <row r="21">
      <c r="A21" s="12" t="s">
        <v>57</v>
      </c>
      <c r="B21" s="12" t="s">
        <v>64</v>
      </c>
      <c r="C21" s="12">
        <v>2362.0</v>
      </c>
      <c r="BE21" s="33" t="str">
        <f t="shared" si="1"/>
        <v>#DIV/0!</v>
      </c>
    </row>
    <row r="22">
      <c r="A22" s="12" t="s">
        <v>57</v>
      </c>
      <c r="B22" s="12" t="s">
        <v>64</v>
      </c>
      <c r="C22" s="12">
        <v>2363.0</v>
      </c>
      <c r="BE22" s="33" t="str">
        <f t="shared" si="1"/>
        <v>#DIV/0!</v>
      </c>
    </row>
    <row r="23">
      <c r="A23" s="12" t="s">
        <v>57</v>
      </c>
      <c r="B23" s="12" t="s">
        <v>64</v>
      </c>
      <c r="C23" s="12">
        <v>2364.0</v>
      </c>
      <c r="BE23" s="33" t="str">
        <f t="shared" si="1"/>
        <v>#DIV/0!</v>
      </c>
    </row>
    <row r="24">
      <c r="A24" s="12" t="s">
        <v>57</v>
      </c>
      <c r="B24" s="12" t="s">
        <v>64</v>
      </c>
      <c r="C24" s="12">
        <v>2365.0</v>
      </c>
      <c r="G24" s="57">
        <v>1.442</v>
      </c>
      <c r="J24" s="57">
        <v>1.208</v>
      </c>
      <c r="M24" s="57">
        <v>1.42</v>
      </c>
      <c r="AH24" s="57">
        <v>2.608</v>
      </c>
      <c r="AK24" s="57">
        <v>2.621</v>
      </c>
      <c r="BC24" s="57">
        <v>1.615</v>
      </c>
      <c r="BD24" s="57">
        <v>0.913</v>
      </c>
      <c r="BE24" s="33">
        <f t="shared" si="1"/>
        <v>2.6145</v>
      </c>
    </row>
    <row r="25">
      <c r="A25" s="12" t="s">
        <v>57</v>
      </c>
      <c r="B25" s="12" t="s">
        <v>64</v>
      </c>
      <c r="C25" s="12">
        <v>2366.0</v>
      </c>
      <c r="BE25" s="33" t="str">
        <f t="shared" si="1"/>
        <v>#DIV/0!</v>
      </c>
    </row>
    <row r="26">
      <c r="A26" s="12" t="s">
        <v>57</v>
      </c>
      <c r="B26" s="12" t="s">
        <v>64</v>
      </c>
      <c r="C26" s="34" t="s">
        <v>65</v>
      </c>
      <c r="BE26" s="33" t="str">
        <f t="shared" si="1"/>
        <v>#DIV/0!</v>
      </c>
    </row>
    <row r="27">
      <c r="A27" s="12" t="s">
        <v>57</v>
      </c>
      <c r="B27" s="12" t="s">
        <v>64</v>
      </c>
      <c r="C27" s="12">
        <v>2367.0</v>
      </c>
      <c r="G27" s="75">
        <v>1.718</v>
      </c>
      <c r="J27" s="57">
        <v>1.658</v>
      </c>
      <c r="M27" s="57">
        <v>1.658</v>
      </c>
      <c r="AH27" s="57">
        <v>2.587</v>
      </c>
      <c r="AK27" s="57">
        <v>2.674</v>
      </c>
      <c r="AN27" s="57">
        <v>2.491</v>
      </c>
      <c r="BC27" s="57">
        <v>1.154</v>
      </c>
      <c r="BD27" s="57">
        <v>0.6598</v>
      </c>
      <c r="BE27" s="33">
        <f t="shared" si="1"/>
        <v>2.584</v>
      </c>
    </row>
    <row r="28">
      <c r="A28" s="12" t="s">
        <v>57</v>
      </c>
      <c r="B28" s="12" t="s">
        <v>64</v>
      </c>
      <c r="C28" s="34" t="s">
        <v>65</v>
      </c>
      <c r="BE28" s="33" t="str">
        <f t="shared" si="1"/>
        <v>#DIV/0!</v>
      </c>
    </row>
    <row r="29">
      <c r="A29" s="12" t="s">
        <v>57</v>
      </c>
      <c r="B29" s="12" t="s">
        <v>64</v>
      </c>
      <c r="C29" s="34" t="s">
        <v>65</v>
      </c>
      <c r="BE29" s="33" t="str">
        <f t="shared" si="1"/>
        <v>#DIV/0!</v>
      </c>
    </row>
    <row r="30">
      <c r="A30" s="12" t="s">
        <v>57</v>
      </c>
      <c r="B30" s="12" t="s">
        <v>64</v>
      </c>
      <c r="C30" s="12">
        <v>2369.0</v>
      </c>
      <c r="G30" s="57">
        <v>1.687</v>
      </c>
      <c r="J30" s="57">
        <v>1.754</v>
      </c>
      <c r="M30" s="57">
        <v>1.638</v>
      </c>
      <c r="AH30" s="57">
        <v>2.584</v>
      </c>
      <c r="AK30" s="57">
        <v>2.945</v>
      </c>
      <c r="AN30" s="57">
        <v>2.88</v>
      </c>
      <c r="BC30" s="57">
        <v>2.019</v>
      </c>
      <c r="BD30" s="57">
        <v>1.1619</v>
      </c>
      <c r="BE30" s="33">
        <f t="shared" si="1"/>
        <v>2.803</v>
      </c>
    </row>
    <row r="31">
      <c r="A31" s="38" t="s">
        <v>70</v>
      </c>
      <c r="B31" s="38" t="s">
        <v>58</v>
      </c>
      <c r="C31" s="38">
        <v>2376.0</v>
      </c>
      <c r="BC31" s="57">
        <v>3.026</v>
      </c>
      <c r="BD31" s="57">
        <v>1.9052</v>
      </c>
      <c r="BE31" s="33" t="str">
        <f t="shared" si="1"/>
        <v>#DIV/0!</v>
      </c>
    </row>
    <row r="32">
      <c r="A32" s="38" t="s">
        <v>70</v>
      </c>
      <c r="B32" s="38" t="s">
        <v>58</v>
      </c>
      <c r="C32" s="38">
        <v>2377.0</v>
      </c>
      <c r="BC32" s="57">
        <v>1.778</v>
      </c>
      <c r="BD32" s="57">
        <v>1.12</v>
      </c>
      <c r="BE32" s="33" t="str">
        <f t="shared" si="1"/>
        <v>#DIV/0!</v>
      </c>
    </row>
    <row r="33">
      <c r="A33" s="38" t="s">
        <v>70</v>
      </c>
      <c r="B33" s="38" t="s">
        <v>64</v>
      </c>
      <c r="C33" s="38">
        <v>2378.0</v>
      </c>
      <c r="BC33" s="57">
        <v>1.803</v>
      </c>
      <c r="BD33" s="57">
        <v>0.9979</v>
      </c>
      <c r="BE33" s="33" t="str">
        <f t="shared" si="1"/>
        <v>#DIV/0!</v>
      </c>
    </row>
    <row r="34">
      <c r="A34" s="38" t="s">
        <v>70</v>
      </c>
      <c r="B34" s="38" t="s">
        <v>64</v>
      </c>
      <c r="C34" s="38">
        <v>2379.0</v>
      </c>
      <c r="BC34" s="57">
        <v>1.662</v>
      </c>
      <c r="BD34" s="57">
        <v>0.9556</v>
      </c>
      <c r="BE34" s="33" t="str">
        <f t="shared" si="1"/>
        <v>#DIV/0!</v>
      </c>
    </row>
    <row r="35">
      <c r="A35" s="38" t="s">
        <v>70</v>
      </c>
      <c r="B35" s="38" t="s">
        <v>58</v>
      </c>
      <c r="C35" s="38">
        <v>2380.0</v>
      </c>
      <c r="BC35" s="57">
        <v>3.684</v>
      </c>
      <c r="BD35" s="57">
        <v>2.3583</v>
      </c>
      <c r="BE35" s="33" t="str">
        <f t="shared" si="1"/>
        <v>#DIV/0!</v>
      </c>
    </row>
    <row r="36">
      <c r="A36" s="12" t="s">
        <v>74</v>
      </c>
      <c r="B36" s="12" t="s">
        <v>64</v>
      </c>
      <c r="C36" s="12">
        <v>2337.0</v>
      </c>
      <c r="BE36" s="33" t="str">
        <f t="shared" si="1"/>
        <v>#DIV/0!</v>
      </c>
    </row>
    <row r="37">
      <c r="A37" s="12" t="s">
        <v>74</v>
      </c>
      <c r="B37" s="12" t="s">
        <v>64</v>
      </c>
      <c r="C37" s="12">
        <v>2338.0</v>
      </c>
      <c r="BE37" s="33" t="str">
        <f t="shared" si="1"/>
        <v>#DIV/0!</v>
      </c>
    </row>
    <row r="38">
      <c r="A38" s="12" t="s">
        <v>74</v>
      </c>
      <c r="B38" s="12" t="s">
        <v>64</v>
      </c>
      <c r="C38" s="12">
        <v>2339.0</v>
      </c>
      <c r="BE38" s="33" t="str">
        <f t="shared" si="1"/>
        <v>#DIV/0!</v>
      </c>
    </row>
    <row r="39">
      <c r="A39" s="12" t="s">
        <v>74</v>
      </c>
      <c r="B39" s="12" t="s">
        <v>64</v>
      </c>
      <c r="C39" s="12">
        <v>2340.0</v>
      </c>
      <c r="BE39" s="33" t="str">
        <f t="shared" si="1"/>
        <v>#DIV/0!</v>
      </c>
    </row>
    <row r="40">
      <c r="A40" s="12" t="s">
        <v>74</v>
      </c>
      <c r="B40" s="12" t="s">
        <v>64</v>
      </c>
      <c r="C40" s="12">
        <v>2341.0</v>
      </c>
      <c r="BE40" s="33" t="str">
        <f t="shared" si="1"/>
        <v>#DIV/0!</v>
      </c>
    </row>
    <row r="41">
      <c r="A41" s="12" t="s">
        <v>74</v>
      </c>
      <c r="B41" s="12" t="s">
        <v>64</v>
      </c>
      <c r="C41" s="12">
        <v>2342.0</v>
      </c>
      <c r="BE41" s="33" t="str">
        <f t="shared" si="1"/>
        <v>#DIV/0!</v>
      </c>
    </row>
    <row r="42">
      <c r="A42" s="12" t="s">
        <v>74</v>
      </c>
      <c r="B42" s="12" t="s">
        <v>64</v>
      </c>
      <c r="C42" s="12">
        <v>2343.0</v>
      </c>
      <c r="G42" s="57">
        <v>1.547</v>
      </c>
      <c r="J42" s="57">
        <v>1.448</v>
      </c>
      <c r="M42" s="57">
        <v>1.554</v>
      </c>
      <c r="AH42" s="57">
        <v>2.034</v>
      </c>
      <c r="AK42" s="57">
        <v>2.484</v>
      </c>
      <c r="AN42" s="57">
        <v>2.308</v>
      </c>
      <c r="BC42" s="57">
        <v>2.26</v>
      </c>
      <c r="BD42" s="57">
        <v>1.2911</v>
      </c>
      <c r="BE42" s="33">
        <f t="shared" si="1"/>
        <v>2.275333333</v>
      </c>
    </row>
    <row r="43">
      <c r="A43" s="41" t="s">
        <v>74</v>
      </c>
      <c r="B43" s="41" t="s">
        <v>64</v>
      </c>
      <c r="C43" s="41" t="s">
        <v>78</v>
      </c>
      <c r="BE43" s="33" t="str">
        <f t="shared" si="1"/>
        <v>#DIV/0!</v>
      </c>
    </row>
    <row r="44">
      <c r="A44" s="12" t="s">
        <v>74</v>
      </c>
      <c r="B44" s="12" t="s">
        <v>64</v>
      </c>
      <c r="C44" s="12">
        <v>2344.0</v>
      </c>
      <c r="BE44" s="33" t="str">
        <f t="shared" si="1"/>
        <v>#DIV/0!</v>
      </c>
    </row>
    <row r="45">
      <c r="A45" s="41" t="s">
        <v>74</v>
      </c>
      <c r="B45" s="41" t="s">
        <v>58</v>
      </c>
      <c r="C45" s="41" t="s">
        <v>78</v>
      </c>
      <c r="BE45" s="33" t="str">
        <f t="shared" si="1"/>
        <v>#DIV/0!</v>
      </c>
    </row>
    <row r="46">
      <c r="A46" s="12" t="s">
        <v>74</v>
      </c>
      <c r="B46" s="12" t="s">
        <v>58</v>
      </c>
      <c r="C46" s="34">
        <v>2345.0</v>
      </c>
      <c r="AH46" s="57">
        <v>1.204</v>
      </c>
      <c r="AK46" s="57">
        <v>1.233</v>
      </c>
      <c r="BC46" s="57">
        <v>2.404</v>
      </c>
      <c r="BD46" s="57">
        <v>1.4971</v>
      </c>
      <c r="BE46" s="33">
        <f t="shared" si="1"/>
        <v>1.2185</v>
      </c>
    </row>
    <row r="47">
      <c r="A47" s="12" t="s">
        <v>74</v>
      </c>
      <c r="B47" s="12" t="s">
        <v>64</v>
      </c>
      <c r="C47" s="12">
        <v>2346.0</v>
      </c>
      <c r="G47" s="57">
        <v>1.689</v>
      </c>
      <c r="J47" s="57">
        <v>1.846</v>
      </c>
      <c r="M47" s="57">
        <v>1.974</v>
      </c>
      <c r="P47" s="57">
        <v>2.098</v>
      </c>
      <c r="BC47" s="57">
        <v>1.286</v>
      </c>
      <c r="BD47" s="57">
        <v>0.7422</v>
      </c>
      <c r="BE47" s="33" t="str">
        <f t="shared" si="1"/>
        <v>#DIV/0!</v>
      </c>
    </row>
    <row r="48">
      <c r="A48" s="12" t="s">
        <v>74</v>
      </c>
      <c r="B48" s="12" t="s">
        <v>64</v>
      </c>
      <c r="C48" s="12">
        <v>2347.0</v>
      </c>
      <c r="G48" s="57">
        <v>1.35</v>
      </c>
      <c r="J48" s="57">
        <v>1.782</v>
      </c>
      <c r="M48" s="57">
        <v>1.47</v>
      </c>
      <c r="P48" s="57">
        <v>1.778</v>
      </c>
      <c r="S48" s="57">
        <v>1.452</v>
      </c>
      <c r="AH48" s="57">
        <v>2.987</v>
      </c>
      <c r="AK48" s="57">
        <v>2.781</v>
      </c>
      <c r="AN48" s="57">
        <v>2.813</v>
      </c>
      <c r="BC48" s="57">
        <v>2.226</v>
      </c>
      <c r="BD48" s="57">
        <v>1.2428</v>
      </c>
      <c r="BE48" s="33">
        <f t="shared" si="1"/>
        <v>2.860333333</v>
      </c>
    </row>
    <row r="49">
      <c r="A49" s="12" t="s">
        <v>74</v>
      </c>
      <c r="B49" s="12" t="s">
        <v>64</v>
      </c>
      <c r="C49" s="12">
        <v>2348.0</v>
      </c>
      <c r="BE49" s="33" t="str">
        <f t="shared" si="1"/>
        <v>#DIV/0!</v>
      </c>
    </row>
    <row r="50">
      <c r="A50" s="12" t="s">
        <v>74</v>
      </c>
      <c r="B50" s="12" t="s">
        <v>64</v>
      </c>
      <c r="C50" s="12">
        <v>2349.0</v>
      </c>
      <c r="BE50" s="33" t="str">
        <f t="shared" si="1"/>
        <v>#DIV/0!</v>
      </c>
    </row>
    <row r="51">
      <c r="A51" s="12" t="s">
        <v>74</v>
      </c>
      <c r="B51" s="12" t="s">
        <v>64</v>
      </c>
      <c r="C51" s="12">
        <v>2350.0</v>
      </c>
      <c r="BE51" s="33" t="str">
        <f t="shared" si="1"/>
        <v>#DIV/0!</v>
      </c>
    </row>
    <row r="52">
      <c r="A52" s="12" t="s">
        <v>74</v>
      </c>
      <c r="B52" s="12" t="s">
        <v>64</v>
      </c>
      <c r="C52" s="12">
        <v>2351.0</v>
      </c>
      <c r="BE52" s="33" t="str">
        <f t="shared" si="1"/>
        <v>#DIV/0!</v>
      </c>
    </row>
    <row r="53">
      <c r="A53" s="38" t="s">
        <v>88</v>
      </c>
      <c r="B53" s="38" t="s">
        <v>64</v>
      </c>
      <c r="C53" s="38">
        <v>2375.0</v>
      </c>
      <c r="BC53" s="57">
        <v>1.864</v>
      </c>
      <c r="BD53" s="57">
        <v>1.0471</v>
      </c>
      <c r="BE53" s="33" t="str">
        <f t="shared" si="1"/>
        <v>#DIV/0!</v>
      </c>
    </row>
    <row r="54">
      <c r="A54" s="12" t="s">
        <v>90</v>
      </c>
      <c r="B54" s="12" t="s">
        <v>64</v>
      </c>
      <c r="C54" s="12">
        <v>2310.0</v>
      </c>
      <c r="BE54" s="33" t="str">
        <f t="shared" si="1"/>
        <v>#DIV/0!</v>
      </c>
    </row>
    <row r="55">
      <c r="A55" s="12" t="s">
        <v>90</v>
      </c>
      <c r="B55" s="12" t="s">
        <v>64</v>
      </c>
      <c r="C55" s="12">
        <v>2311.0</v>
      </c>
      <c r="BE55" s="33" t="str">
        <f t="shared" si="1"/>
        <v>#DIV/0!</v>
      </c>
    </row>
    <row r="56">
      <c r="A56" s="12" t="s">
        <v>90</v>
      </c>
      <c r="B56" s="12" t="s">
        <v>64</v>
      </c>
      <c r="C56" s="12">
        <v>2312.0</v>
      </c>
      <c r="BE56" s="33" t="str">
        <f t="shared" si="1"/>
        <v>#DIV/0!</v>
      </c>
    </row>
    <row r="57">
      <c r="A57" s="12" t="s">
        <v>90</v>
      </c>
      <c r="B57" s="12" t="s">
        <v>64</v>
      </c>
      <c r="C57" s="12">
        <v>2313.0</v>
      </c>
      <c r="BE57" s="33" t="str">
        <f t="shared" si="1"/>
        <v>#DIV/0!</v>
      </c>
    </row>
    <row r="58">
      <c r="A58" s="12" t="s">
        <v>90</v>
      </c>
      <c r="B58" s="12" t="s">
        <v>64</v>
      </c>
      <c r="C58" s="12">
        <v>2314.0</v>
      </c>
      <c r="BE58" s="33" t="str">
        <f t="shared" si="1"/>
        <v>#DIV/0!</v>
      </c>
    </row>
    <row r="59">
      <c r="A59" s="12" t="s">
        <v>90</v>
      </c>
      <c r="B59" s="12" t="s">
        <v>58</v>
      </c>
      <c r="C59" s="12">
        <v>2315.0</v>
      </c>
      <c r="BE59" s="33" t="str">
        <f t="shared" si="1"/>
        <v>#DIV/0!</v>
      </c>
    </row>
    <row r="60">
      <c r="A60" s="12" t="s">
        <v>90</v>
      </c>
      <c r="B60" s="12" t="s">
        <v>64</v>
      </c>
      <c r="C60" s="12">
        <v>2316.0</v>
      </c>
      <c r="BE60" s="33" t="str">
        <f t="shared" si="1"/>
        <v>#DIV/0!</v>
      </c>
    </row>
    <row r="61">
      <c r="A61" s="12" t="s">
        <v>90</v>
      </c>
      <c r="B61" s="12" t="s">
        <v>64</v>
      </c>
      <c r="C61" s="12">
        <v>2317.0</v>
      </c>
      <c r="BE61" s="33" t="str">
        <f t="shared" si="1"/>
        <v>#DIV/0!</v>
      </c>
    </row>
    <row r="62">
      <c r="A62" s="12" t="s">
        <v>90</v>
      </c>
      <c r="B62" s="12" t="s">
        <v>64</v>
      </c>
      <c r="C62" s="12">
        <v>2318.0</v>
      </c>
      <c r="BE62" s="33" t="str">
        <f t="shared" si="1"/>
        <v>#DIV/0!</v>
      </c>
    </row>
    <row r="63">
      <c r="A63" s="12" t="s">
        <v>90</v>
      </c>
      <c r="B63" s="12" t="s">
        <v>64</v>
      </c>
      <c r="C63" s="12">
        <v>2319.0</v>
      </c>
      <c r="BE63" s="33" t="str">
        <f t="shared" si="1"/>
        <v>#DIV/0!</v>
      </c>
    </row>
    <row r="64">
      <c r="A64" s="12" t="s">
        <v>90</v>
      </c>
      <c r="B64" s="12" t="s">
        <v>58</v>
      </c>
      <c r="C64" s="12">
        <v>2320.0</v>
      </c>
      <c r="BE64" s="33" t="str">
        <f t="shared" si="1"/>
        <v>#DIV/0!</v>
      </c>
    </row>
    <row r="65">
      <c r="A65" s="12" t="s">
        <v>90</v>
      </c>
      <c r="B65" s="12" t="s">
        <v>64</v>
      </c>
      <c r="C65" s="12">
        <v>2321.0</v>
      </c>
      <c r="BE65" s="33" t="str">
        <f t="shared" si="1"/>
        <v>#DIV/0!</v>
      </c>
    </row>
    <row r="66">
      <c r="A66" s="12" t="s">
        <v>90</v>
      </c>
      <c r="B66" s="12" t="s">
        <v>58</v>
      </c>
      <c r="C66" s="12">
        <v>2322.0</v>
      </c>
      <c r="BE66" s="33" t="str">
        <f t="shared" si="1"/>
        <v>#DIV/0!</v>
      </c>
    </row>
    <row r="67">
      <c r="A67" s="12" t="s">
        <v>90</v>
      </c>
      <c r="B67" s="12" t="s">
        <v>58</v>
      </c>
      <c r="C67" s="12">
        <v>2323.0</v>
      </c>
      <c r="BE67" s="33" t="str">
        <f t="shared" si="1"/>
        <v>#DIV/0!</v>
      </c>
    </row>
    <row r="68">
      <c r="A68" s="12" t="s">
        <v>90</v>
      </c>
      <c r="B68" s="12" t="s">
        <v>64</v>
      </c>
      <c r="C68" s="12">
        <v>2324.0</v>
      </c>
      <c r="BE68" s="33" t="str">
        <f t="shared" si="1"/>
        <v>#DIV/0!</v>
      </c>
    </row>
    <row r="69">
      <c r="A69" s="12" t="s">
        <v>90</v>
      </c>
      <c r="B69" s="12" t="s">
        <v>64</v>
      </c>
      <c r="C69" s="12">
        <v>2325.0</v>
      </c>
      <c r="BE69" s="33" t="str">
        <f t="shared" si="1"/>
        <v>#DIV/0!</v>
      </c>
    </row>
    <row r="70">
      <c r="A70" s="12" t="s">
        <v>90</v>
      </c>
      <c r="B70" s="12" t="s">
        <v>64</v>
      </c>
      <c r="C70" s="12">
        <v>2327.0</v>
      </c>
      <c r="BE70" s="33" t="str">
        <f t="shared" si="1"/>
        <v>#DIV/0!</v>
      </c>
    </row>
    <row r="71">
      <c r="A71" s="12" t="s">
        <v>90</v>
      </c>
      <c r="B71" s="12" t="s">
        <v>64</v>
      </c>
      <c r="C71" s="12">
        <v>2326.0</v>
      </c>
      <c r="BE71" s="33" t="str">
        <f t="shared" si="1"/>
        <v>#DIV/0!</v>
      </c>
    </row>
    <row r="72">
      <c r="A72" s="12" t="s">
        <v>90</v>
      </c>
      <c r="B72" s="12" t="s">
        <v>58</v>
      </c>
      <c r="C72" s="12">
        <v>2328.0</v>
      </c>
      <c r="BE72" s="33" t="str">
        <f t="shared" si="1"/>
        <v>#DIV/0!</v>
      </c>
    </row>
    <row r="73">
      <c r="A73" s="12" t="s">
        <v>90</v>
      </c>
      <c r="B73" s="12" t="s">
        <v>64</v>
      </c>
      <c r="C73" s="12">
        <v>2329.0</v>
      </c>
      <c r="BE73" s="33" t="str">
        <f t="shared" si="1"/>
        <v>#DIV/0!</v>
      </c>
    </row>
    <row r="74">
      <c r="A74" s="12" t="s">
        <v>90</v>
      </c>
      <c r="B74" s="12" t="s">
        <v>64</v>
      </c>
      <c r="C74" s="12">
        <v>2330.0</v>
      </c>
      <c r="BE74" s="33" t="str">
        <f t="shared" si="1"/>
        <v>#DIV/0!</v>
      </c>
    </row>
    <row r="75">
      <c r="A75" s="12" t="s">
        <v>90</v>
      </c>
      <c r="B75" s="12" t="s">
        <v>58</v>
      </c>
      <c r="C75" s="12">
        <v>2331.0</v>
      </c>
      <c r="BC75" s="57">
        <v>2.149</v>
      </c>
      <c r="BD75" s="57">
        <v>1.3816</v>
      </c>
      <c r="BE75" s="33" t="str">
        <f t="shared" si="1"/>
        <v>#DIV/0!</v>
      </c>
    </row>
    <row r="76">
      <c r="A76" s="12" t="s">
        <v>90</v>
      </c>
      <c r="B76" s="12" t="s">
        <v>64</v>
      </c>
      <c r="C76" s="12">
        <v>2332.0</v>
      </c>
      <c r="BE76" s="33" t="str">
        <f t="shared" si="1"/>
        <v>#DIV/0!</v>
      </c>
    </row>
    <row r="77">
      <c r="A77" s="12" t="s">
        <v>90</v>
      </c>
      <c r="B77" s="12" t="s">
        <v>64</v>
      </c>
      <c r="C77" s="12">
        <v>2333.0</v>
      </c>
      <c r="BE77" s="33" t="str">
        <f t="shared" si="1"/>
        <v>#DIV/0!</v>
      </c>
    </row>
    <row r="78">
      <c r="A78" s="2" t="s">
        <v>90</v>
      </c>
      <c r="B78" s="3" t="s">
        <v>64</v>
      </c>
      <c r="C78" s="12">
        <v>2334.0</v>
      </c>
      <c r="BE78" s="33" t="str">
        <f t="shared" si="1"/>
        <v>#DIV/0!</v>
      </c>
    </row>
    <row r="79">
      <c r="A79" s="12" t="s">
        <v>90</v>
      </c>
      <c r="B79" s="12" t="s">
        <v>64</v>
      </c>
      <c r="C79" s="12">
        <v>2336.0</v>
      </c>
      <c r="BE79" s="33" t="str">
        <f t="shared" si="1"/>
        <v>#DIV/0!</v>
      </c>
    </row>
    <row r="80">
      <c r="A80" s="12" t="s">
        <v>90</v>
      </c>
      <c r="B80" s="12" t="s">
        <v>64</v>
      </c>
      <c r="C80" s="12">
        <v>2335.0</v>
      </c>
      <c r="BE80" s="33" t="str">
        <f t="shared" si="1"/>
        <v>#DIV/0!</v>
      </c>
    </row>
    <row r="81">
      <c r="A81" s="38" t="s">
        <v>100</v>
      </c>
      <c r="B81" s="38" t="s">
        <v>64</v>
      </c>
      <c r="C81" s="38">
        <v>2374.0</v>
      </c>
      <c r="BE81" s="33" t="str">
        <f t="shared" si="1"/>
        <v>#DIV/0!</v>
      </c>
    </row>
    <row r="82">
      <c r="A82" s="12" t="s">
        <v>101</v>
      </c>
      <c r="B82" s="12" t="s">
        <v>58</v>
      </c>
      <c r="C82" s="34">
        <v>2301.0</v>
      </c>
      <c r="BC82" s="57">
        <v>3.076</v>
      </c>
      <c r="BD82" s="57">
        <v>1.867</v>
      </c>
      <c r="BE82" s="33" t="str">
        <f t="shared" si="1"/>
        <v>#DIV/0!</v>
      </c>
    </row>
    <row r="83">
      <c r="A83" s="12" t="s">
        <v>101</v>
      </c>
      <c r="B83" s="12" t="s">
        <v>64</v>
      </c>
      <c r="C83" s="12">
        <v>2302.0</v>
      </c>
      <c r="BE83" s="33" t="str">
        <f t="shared" si="1"/>
        <v>#DIV/0!</v>
      </c>
    </row>
    <row r="84">
      <c r="A84" s="12" t="s">
        <v>101</v>
      </c>
      <c r="B84" s="12" t="s">
        <v>64</v>
      </c>
      <c r="C84" s="12">
        <v>2303.0</v>
      </c>
      <c r="BE84" s="33" t="str">
        <f t="shared" si="1"/>
        <v>#DIV/0!</v>
      </c>
    </row>
    <row r="85">
      <c r="A85" s="12" t="s">
        <v>101</v>
      </c>
      <c r="B85" s="12" t="s">
        <v>64</v>
      </c>
      <c r="C85" s="12">
        <v>2304.0</v>
      </c>
      <c r="BE85" s="33" t="str">
        <f t="shared" si="1"/>
        <v>#DIV/0!</v>
      </c>
    </row>
    <row r="86">
      <c r="A86" s="12" t="s">
        <v>101</v>
      </c>
      <c r="B86" s="12" t="s">
        <v>64</v>
      </c>
      <c r="C86" s="12">
        <v>2305.0</v>
      </c>
      <c r="BE86" s="33" t="str">
        <f t="shared" si="1"/>
        <v>#DIV/0!</v>
      </c>
    </row>
    <row r="87">
      <c r="A87" s="12" t="s">
        <v>101</v>
      </c>
      <c r="B87" s="12" t="s">
        <v>64</v>
      </c>
      <c r="C87" s="12">
        <v>2306.0</v>
      </c>
      <c r="BE87" s="33" t="str">
        <f t="shared" si="1"/>
        <v>#DIV/0!</v>
      </c>
    </row>
    <row r="88">
      <c r="A88" s="12" t="s">
        <v>101</v>
      </c>
      <c r="B88" s="12" t="s">
        <v>64</v>
      </c>
      <c r="C88" s="12">
        <v>2307.0</v>
      </c>
      <c r="BE88" s="33" t="str">
        <f t="shared" si="1"/>
        <v>#DIV/0!</v>
      </c>
    </row>
    <row r="89">
      <c r="A89" s="12" t="s">
        <v>101</v>
      </c>
      <c r="B89" s="12" t="s">
        <v>64</v>
      </c>
      <c r="C89" s="12">
        <v>2308.0</v>
      </c>
      <c r="BE89" s="33" t="str">
        <f t="shared" si="1"/>
        <v>#DIV/0!</v>
      </c>
    </row>
    <row r="90">
      <c r="A90" s="12" t="s">
        <v>101</v>
      </c>
      <c r="B90" s="12" t="s">
        <v>64</v>
      </c>
      <c r="C90" s="12">
        <v>2309.0</v>
      </c>
      <c r="BE90" s="33" t="str">
        <f t="shared" si="1"/>
        <v>#DIV/0!</v>
      </c>
    </row>
    <row r="91">
      <c r="A91" s="53" t="s">
        <v>106</v>
      </c>
      <c r="B91" s="54" t="s">
        <v>64</v>
      </c>
      <c r="C91" s="55">
        <v>2370.0</v>
      </c>
      <c r="BC91" s="57">
        <v>1.478</v>
      </c>
      <c r="BD91" s="57">
        <v>0.8194</v>
      </c>
      <c r="BE91" s="33" t="str">
        <f t="shared" si="1"/>
        <v>#DIV/0!</v>
      </c>
    </row>
    <row r="92">
      <c r="A92" s="53" t="s">
        <v>107</v>
      </c>
      <c r="B92" s="54" t="s">
        <v>64</v>
      </c>
      <c r="C92" s="55">
        <v>2371.0</v>
      </c>
      <c r="BC92" s="57">
        <v>1.548</v>
      </c>
      <c r="BD92" s="57">
        <v>0.8816</v>
      </c>
      <c r="BE92" s="33" t="str">
        <f t="shared" si="1"/>
        <v>#DIV/0!</v>
      </c>
    </row>
    <row r="93">
      <c r="A93" s="53" t="s">
        <v>108</v>
      </c>
      <c r="B93" s="54" t="s">
        <v>64</v>
      </c>
      <c r="C93" s="55">
        <v>2372.0</v>
      </c>
      <c r="BC93" s="57">
        <v>1.319</v>
      </c>
      <c r="BD93" s="57">
        <v>0.7525</v>
      </c>
      <c r="BE93" s="33" t="str">
        <f t="shared" si="1"/>
        <v>#DIV/0!</v>
      </c>
    </row>
    <row r="94">
      <c r="A94" s="53" t="s">
        <v>110</v>
      </c>
      <c r="B94" s="54" t="s">
        <v>64</v>
      </c>
      <c r="C94" s="55">
        <v>2373.0</v>
      </c>
      <c r="BE94" s="33" t="str">
        <f t="shared" si="1"/>
        <v>#DIV/0!</v>
      </c>
    </row>
    <row r="95">
      <c r="A95" s="2" t="s">
        <v>112</v>
      </c>
      <c r="B95" s="3" t="s">
        <v>64</v>
      </c>
      <c r="C95" s="3"/>
      <c r="BE95" s="33" t="str">
        <f t="shared" si="1"/>
        <v>#DIV/0!</v>
      </c>
    </row>
    <row r="96">
      <c r="A96" s="2" t="s">
        <v>112</v>
      </c>
      <c r="B96" s="3" t="s">
        <v>64</v>
      </c>
      <c r="C96" s="3"/>
      <c r="BE96" s="33" t="str">
        <f t="shared" si="1"/>
        <v>#DIV/0!</v>
      </c>
    </row>
    <row r="97">
      <c r="A97" s="2" t="s">
        <v>112</v>
      </c>
      <c r="B97" s="3" t="s">
        <v>64</v>
      </c>
      <c r="C97" s="3"/>
      <c r="BE97" s="33" t="str">
        <f t="shared" si="1"/>
        <v>#DIV/0!</v>
      </c>
    </row>
    <row r="98">
      <c r="A98" s="2" t="s">
        <v>112</v>
      </c>
      <c r="B98" s="3" t="s">
        <v>64</v>
      </c>
      <c r="C98" s="3"/>
      <c r="BE98" s="33" t="str">
        <f t="shared" si="1"/>
        <v>#DIV/0!</v>
      </c>
    </row>
    <row r="99">
      <c r="A99" s="2" t="s">
        <v>112</v>
      </c>
      <c r="B99" s="3" t="s">
        <v>64</v>
      </c>
      <c r="C99" s="3"/>
      <c r="BE99" s="33" t="str">
        <f t="shared" si="1"/>
        <v>#DIV/0!</v>
      </c>
    </row>
    <row r="100">
      <c r="A100" s="2" t="s">
        <v>113</v>
      </c>
      <c r="B100" s="3" t="s">
        <v>64</v>
      </c>
      <c r="C100" s="3"/>
      <c r="BE100" s="33" t="str">
        <f t="shared" si="1"/>
        <v>#DIV/0!</v>
      </c>
    </row>
    <row r="101">
      <c r="A101" s="2" t="s">
        <v>113</v>
      </c>
      <c r="B101" s="3" t="s">
        <v>64</v>
      </c>
      <c r="C101" s="3"/>
      <c r="BE101" s="33" t="str">
        <f t="shared" si="1"/>
        <v>#DIV/0!</v>
      </c>
    </row>
    <row r="102">
      <c r="A102" s="2" t="s">
        <v>113</v>
      </c>
      <c r="B102" s="3" t="s">
        <v>64</v>
      </c>
      <c r="C102" s="3"/>
      <c r="BE102" s="33" t="str">
        <f t="shared" si="1"/>
        <v>#DIV/0!</v>
      </c>
    </row>
    <row r="103">
      <c r="A103" s="2" t="s">
        <v>113</v>
      </c>
      <c r="B103" s="3" t="s">
        <v>64</v>
      </c>
      <c r="C103" s="3"/>
      <c r="BE103" s="33" t="str">
        <f t="shared" si="1"/>
        <v>#DIV/0!</v>
      </c>
    </row>
    <row r="104">
      <c r="A104" s="2" t="s">
        <v>113</v>
      </c>
      <c r="B104" s="3" t="s">
        <v>64</v>
      </c>
      <c r="C104" s="3"/>
      <c r="BE104" s="33" t="str">
        <f t="shared" si="1"/>
        <v>#DIV/0!</v>
      </c>
    </row>
    <row r="105">
      <c r="A105" s="12" t="s">
        <v>114</v>
      </c>
      <c r="B105" s="12" t="s">
        <v>58</v>
      </c>
      <c r="C105" s="12"/>
      <c r="BE105" s="33" t="str">
        <f t="shared" si="1"/>
        <v>#DIV/0!</v>
      </c>
    </row>
    <row r="106">
      <c r="A106" s="12" t="s">
        <v>114</v>
      </c>
      <c r="B106" s="12" t="s">
        <v>58</v>
      </c>
      <c r="C106" s="12"/>
      <c r="BE106" s="33" t="str">
        <f t="shared" si="1"/>
        <v>#DIV/0!</v>
      </c>
    </row>
    <row r="107">
      <c r="A107" s="2" t="s">
        <v>117</v>
      </c>
      <c r="B107" s="3" t="s">
        <v>64</v>
      </c>
      <c r="C107" s="58">
        <v>2381.0</v>
      </c>
      <c r="BC107" s="57">
        <v>2.763</v>
      </c>
      <c r="BD107" s="57">
        <v>1.5575</v>
      </c>
      <c r="BE107" s="33" t="str">
        <f t="shared" si="1"/>
        <v>#DIV/0!</v>
      </c>
    </row>
    <row r="108">
      <c r="A108" s="2" t="s">
        <v>117</v>
      </c>
      <c r="B108" s="3" t="s">
        <v>64</v>
      </c>
      <c r="C108" s="58"/>
      <c r="BE108" s="33" t="str">
        <f t="shared" si="1"/>
        <v>#DIV/0!</v>
      </c>
    </row>
    <row r="109">
      <c r="A109" s="2" t="s">
        <v>117</v>
      </c>
      <c r="B109" s="3" t="s">
        <v>64</v>
      </c>
      <c r="C109" s="58"/>
      <c r="BE109" s="33" t="str">
        <f t="shared" si="1"/>
        <v>#DIV/0!</v>
      </c>
    </row>
    <row r="110">
      <c r="A110" s="2" t="s">
        <v>117</v>
      </c>
      <c r="B110" s="3" t="s">
        <v>64</v>
      </c>
      <c r="C110" s="58">
        <v>2382.0</v>
      </c>
      <c r="BC110" s="57">
        <v>2.727</v>
      </c>
      <c r="BD110" s="57">
        <v>1.5983</v>
      </c>
      <c r="BE110" s="33" t="str">
        <f t="shared" si="1"/>
        <v>#DIV/0!</v>
      </c>
    </row>
    <row r="111">
      <c r="A111" s="2" t="s">
        <v>117</v>
      </c>
      <c r="B111" s="54" t="s">
        <v>64</v>
      </c>
      <c r="C111" s="60">
        <v>2383.0</v>
      </c>
      <c r="BC111" s="57">
        <v>2.818</v>
      </c>
      <c r="BD111" s="57">
        <v>1.6356</v>
      </c>
      <c r="BE111" s="33" t="str">
        <f t="shared" si="1"/>
        <v>#DIV/0!</v>
      </c>
    </row>
    <row r="112">
      <c r="A112" s="2" t="s">
        <v>117</v>
      </c>
      <c r="B112" s="54" t="s">
        <v>64</v>
      </c>
      <c r="C112" s="57">
        <v>2384.0</v>
      </c>
      <c r="BC112" s="57">
        <v>1.861</v>
      </c>
      <c r="BD112" s="57">
        <v>1.0737</v>
      </c>
      <c r="BE112" s="33" t="str">
        <f t="shared" si="1"/>
        <v>#DIV/0!</v>
      </c>
    </row>
    <row r="113">
      <c r="A113" s="57" t="s">
        <v>136</v>
      </c>
      <c r="B113" s="54" t="s">
        <v>64</v>
      </c>
      <c r="C113" s="57">
        <v>2004.0</v>
      </c>
      <c r="BE113" s="33" t="str">
        <f t="shared" si="1"/>
        <v>#DIV/0!</v>
      </c>
    </row>
    <row r="114">
      <c r="A114" s="57" t="s">
        <v>136</v>
      </c>
      <c r="B114" s="54" t="s">
        <v>64</v>
      </c>
      <c r="C114" s="57">
        <v>2005.0</v>
      </c>
      <c r="BE114" s="33" t="str">
        <f t="shared" si="1"/>
        <v>#DIV/0!</v>
      </c>
    </row>
    <row r="115">
      <c r="A115" s="57" t="s">
        <v>136</v>
      </c>
      <c r="B115" s="54" t="s">
        <v>64</v>
      </c>
      <c r="C115" s="57">
        <v>2006.0</v>
      </c>
      <c r="BE115" s="33" t="str">
        <f t="shared" si="1"/>
        <v>#DIV/0!</v>
      </c>
    </row>
    <row r="116">
      <c r="A116" s="57" t="s">
        <v>136</v>
      </c>
      <c r="B116" s="54" t="s">
        <v>64</v>
      </c>
      <c r="C116" s="57">
        <v>2007.0</v>
      </c>
      <c r="BE116" s="33" t="str">
        <f t="shared" si="1"/>
        <v>#DIV/0!</v>
      </c>
    </row>
    <row r="117">
      <c r="A117" s="57" t="s">
        <v>254</v>
      </c>
      <c r="B117" s="54" t="s">
        <v>139</v>
      </c>
      <c r="BE117" s="33" t="str">
        <f t="shared" si="1"/>
        <v>#DIV/0!</v>
      </c>
    </row>
    <row r="118">
      <c r="A118" s="57" t="s">
        <v>141</v>
      </c>
      <c r="B118" s="54" t="s">
        <v>139</v>
      </c>
      <c r="BE118" s="33" t="str">
        <f t="shared" si="1"/>
        <v>#DIV/0!</v>
      </c>
    </row>
    <row r="119">
      <c r="A119" s="57" t="s">
        <v>136</v>
      </c>
      <c r="B119" s="54" t="s">
        <v>139</v>
      </c>
      <c r="BE119" s="33" t="str">
        <f t="shared" si="1"/>
        <v>#DIV/0!</v>
      </c>
    </row>
    <row r="120">
      <c r="A120" s="57" t="s">
        <v>254</v>
      </c>
      <c r="B120" s="54" t="s">
        <v>144</v>
      </c>
      <c r="BE120" s="33" t="str">
        <f t="shared" si="1"/>
        <v>#DIV/0!</v>
      </c>
    </row>
    <row r="121">
      <c r="A121" s="57" t="s">
        <v>141</v>
      </c>
      <c r="B121" s="54" t="s">
        <v>144</v>
      </c>
      <c r="BE121" s="33" t="str">
        <f t="shared" si="1"/>
        <v>#DIV/0!</v>
      </c>
    </row>
    <row r="122">
      <c r="A122" s="57" t="s">
        <v>136</v>
      </c>
      <c r="B122" s="54" t="s">
        <v>144</v>
      </c>
      <c r="BE122" s="33" t="str">
        <f t="shared" si="1"/>
        <v>#DIV/0!</v>
      </c>
    </row>
    <row r="123">
      <c r="A123" s="57" t="s">
        <v>255</v>
      </c>
      <c r="B123" s="54" t="s">
        <v>58</v>
      </c>
      <c r="C123" s="57">
        <v>2093.0</v>
      </c>
      <c r="BE123" s="33" t="str">
        <f t="shared" si="1"/>
        <v>#DIV/0!</v>
      </c>
    </row>
    <row r="124">
      <c r="A124" s="57" t="s">
        <v>255</v>
      </c>
      <c r="B124" s="54" t="s">
        <v>58</v>
      </c>
      <c r="C124" s="57">
        <v>2092.0</v>
      </c>
      <c r="BE124" s="33" t="str">
        <f t="shared" si="1"/>
        <v>#DIV/0!</v>
      </c>
    </row>
    <row r="125">
      <c r="A125" s="57" t="s">
        <v>255</v>
      </c>
      <c r="B125" s="54" t="s">
        <v>58</v>
      </c>
      <c r="C125" s="57">
        <v>2091.0</v>
      </c>
      <c r="BE125" s="33" t="str">
        <f t="shared" si="1"/>
        <v>#DIV/0!</v>
      </c>
    </row>
    <row r="126">
      <c r="A126" s="57" t="s">
        <v>255</v>
      </c>
      <c r="B126" s="54" t="s">
        <v>149</v>
      </c>
      <c r="C126" s="57">
        <v>2090.0</v>
      </c>
      <c r="BE126" s="33" t="str">
        <f t="shared" si="1"/>
        <v>#DIV/0!</v>
      </c>
    </row>
    <row r="127">
      <c r="A127" s="57" t="s">
        <v>255</v>
      </c>
      <c r="B127" s="54" t="s">
        <v>58</v>
      </c>
      <c r="C127" s="57">
        <v>2089.0</v>
      </c>
      <c r="BE127" s="33" t="str">
        <f t="shared" si="1"/>
        <v>#DIV/0!</v>
      </c>
    </row>
    <row r="128">
      <c r="A128" s="57" t="s">
        <v>255</v>
      </c>
      <c r="B128" s="54" t="s">
        <v>64</v>
      </c>
      <c r="C128" s="57">
        <v>2088.0</v>
      </c>
      <c r="BE128" s="33" t="str">
        <f t="shared" si="1"/>
        <v>#DIV/0!</v>
      </c>
    </row>
    <row r="129">
      <c r="A129" s="57" t="s">
        <v>255</v>
      </c>
      <c r="B129" s="54" t="s">
        <v>64</v>
      </c>
      <c r="C129" s="57">
        <v>2087.0</v>
      </c>
      <c r="BE129" s="33" t="str">
        <f t="shared" si="1"/>
        <v>#DIV/0!</v>
      </c>
    </row>
    <row r="130">
      <c r="A130" s="57" t="s">
        <v>255</v>
      </c>
      <c r="B130" s="54" t="s">
        <v>64</v>
      </c>
      <c r="C130" s="57">
        <v>2086.0</v>
      </c>
      <c r="BE130" s="33" t="str">
        <f t="shared" si="1"/>
        <v>#DIV/0!</v>
      </c>
    </row>
    <row r="131">
      <c r="A131" s="57" t="s">
        <v>255</v>
      </c>
      <c r="B131" s="54" t="s">
        <v>64</v>
      </c>
      <c r="C131" s="57">
        <v>2085.0</v>
      </c>
      <c r="BE131" s="33" t="str">
        <f t="shared" si="1"/>
        <v>#DIV/0!</v>
      </c>
    </row>
    <row r="132">
      <c r="A132" s="57" t="s">
        <v>141</v>
      </c>
      <c r="B132" s="54" t="s">
        <v>64</v>
      </c>
      <c r="C132" s="57">
        <v>2020.0</v>
      </c>
      <c r="BE132" s="33" t="str">
        <f t="shared" si="1"/>
        <v>#DIV/0!</v>
      </c>
    </row>
    <row r="133">
      <c r="A133" s="57" t="s">
        <v>141</v>
      </c>
      <c r="B133" s="54" t="s">
        <v>64</v>
      </c>
      <c r="C133" s="57">
        <v>2021.0</v>
      </c>
      <c r="BE133" s="33" t="str">
        <f t="shared" si="1"/>
        <v>#DIV/0!</v>
      </c>
    </row>
    <row r="134">
      <c r="A134" s="57" t="s">
        <v>141</v>
      </c>
      <c r="B134" s="54" t="s">
        <v>58</v>
      </c>
      <c r="C134" s="57">
        <v>2022.0</v>
      </c>
      <c r="BE134" s="33" t="str">
        <f t="shared" si="1"/>
        <v>#DIV/0!</v>
      </c>
    </row>
    <row r="135">
      <c r="A135" s="57" t="s">
        <v>141</v>
      </c>
      <c r="B135" s="54" t="s">
        <v>58</v>
      </c>
      <c r="C135" s="57">
        <v>2023.0</v>
      </c>
      <c r="BE135" s="33" t="str">
        <f t="shared" si="1"/>
        <v>#DIV/0!</v>
      </c>
    </row>
    <row r="136">
      <c r="A136" s="57" t="s">
        <v>141</v>
      </c>
      <c r="B136" s="54" t="s">
        <v>64</v>
      </c>
      <c r="C136" s="57">
        <v>2024.0</v>
      </c>
      <c r="BE136" s="33" t="str">
        <f t="shared" si="1"/>
        <v>#DIV/0!</v>
      </c>
    </row>
    <row r="137">
      <c r="A137" s="57" t="s">
        <v>141</v>
      </c>
      <c r="B137" s="54" t="s">
        <v>64</v>
      </c>
      <c r="C137" s="57">
        <v>2025.0</v>
      </c>
      <c r="BE137" s="33" t="str">
        <f t="shared" si="1"/>
        <v>#DIV/0!</v>
      </c>
    </row>
    <row r="138">
      <c r="A138" s="57" t="s">
        <v>150</v>
      </c>
      <c r="B138" s="54" t="s">
        <v>64</v>
      </c>
      <c r="C138" s="57">
        <v>2026.0</v>
      </c>
      <c r="BE138" s="33" t="str">
        <f t="shared" si="1"/>
        <v>#DIV/0!</v>
      </c>
    </row>
    <row r="139">
      <c r="A139" s="57" t="s">
        <v>150</v>
      </c>
      <c r="B139" s="54" t="s">
        <v>64</v>
      </c>
      <c r="C139" s="57">
        <v>2027.0</v>
      </c>
      <c r="BE139" s="33" t="str">
        <f t="shared" si="1"/>
        <v>#DIV/0!</v>
      </c>
    </row>
    <row r="140">
      <c r="A140" s="57" t="s">
        <v>150</v>
      </c>
      <c r="B140" s="54"/>
      <c r="C140" s="57">
        <v>2028.0</v>
      </c>
      <c r="BE140" s="33" t="str">
        <f t="shared" si="1"/>
        <v>#DIV/0!</v>
      </c>
    </row>
    <row r="141">
      <c r="A141" s="57" t="s">
        <v>150</v>
      </c>
      <c r="B141" s="54"/>
      <c r="C141" s="57">
        <v>2029.0</v>
      </c>
      <c r="BE141" s="33" t="str">
        <f t="shared" si="1"/>
        <v>#DIV/0!</v>
      </c>
    </row>
    <row r="142">
      <c r="A142" s="57" t="s">
        <v>150</v>
      </c>
      <c r="B142" s="54"/>
      <c r="C142" s="57">
        <v>2030.0</v>
      </c>
      <c r="BE142" s="33" t="str">
        <f t="shared" si="1"/>
        <v>#DIV/0!</v>
      </c>
    </row>
    <row r="143">
      <c r="A143" s="57" t="s">
        <v>150</v>
      </c>
      <c r="B143" s="54"/>
      <c r="C143" s="57">
        <v>2031.0</v>
      </c>
      <c r="BE143" s="33" t="str">
        <f t="shared" si="1"/>
        <v>#DIV/0!</v>
      </c>
    </row>
    <row r="144">
      <c r="A144" s="57" t="s">
        <v>256</v>
      </c>
      <c r="B144" s="54" t="s">
        <v>64</v>
      </c>
      <c r="C144" s="57">
        <v>2012.0</v>
      </c>
      <c r="BE144" s="33" t="str">
        <f t="shared" si="1"/>
        <v>#DIV/0!</v>
      </c>
    </row>
    <row r="145">
      <c r="A145" s="57" t="s">
        <v>256</v>
      </c>
      <c r="B145" s="54" t="s">
        <v>64</v>
      </c>
      <c r="C145" s="57">
        <v>2013.0</v>
      </c>
      <c r="BE145" s="33" t="str">
        <f t="shared" si="1"/>
        <v>#DIV/0!</v>
      </c>
    </row>
    <row r="146">
      <c r="A146" s="57" t="s">
        <v>256</v>
      </c>
      <c r="B146" s="54" t="s">
        <v>64</v>
      </c>
      <c r="C146" s="57">
        <v>2014.0</v>
      </c>
      <c r="BE146" s="33" t="str">
        <f t="shared" si="1"/>
        <v>#DIV/0!</v>
      </c>
    </row>
    <row r="147">
      <c r="A147" s="57" t="s">
        <v>256</v>
      </c>
      <c r="B147" s="54" t="s">
        <v>64</v>
      </c>
      <c r="C147" s="57">
        <v>2015.0</v>
      </c>
      <c r="BE147" s="33" t="str">
        <f t="shared" si="1"/>
        <v>#DIV/0!</v>
      </c>
    </row>
    <row r="148">
      <c r="A148" s="57" t="s">
        <v>256</v>
      </c>
      <c r="B148" s="54" t="s">
        <v>64</v>
      </c>
      <c r="C148" s="57">
        <v>1478.0</v>
      </c>
      <c r="BE148" s="33" t="str">
        <f t="shared" si="1"/>
        <v>#DIV/0!</v>
      </c>
    </row>
    <row r="149">
      <c r="B149" s="54"/>
      <c r="C149" s="57">
        <v>2011.0</v>
      </c>
      <c r="BC149" s="57">
        <v>1.945</v>
      </c>
      <c r="BD149" s="57">
        <v>1.1256</v>
      </c>
      <c r="BE149" s="33" t="str">
        <f t="shared" si="1"/>
        <v>#DIV/0!</v>
      </c>
    </row>
    <row r="150">
      <c r="A150" s="57" t="s">
        <v>257</v>
      </c>
      <c r="B150" s="54" t="s">
        <v>64</v>
      </c>
      <c r="C150" s="57">
        <v>2010.0</v>
      </c>
      <c r="BC150" s="57">
        <v>3.455</v>
      </c>
      <c r="BD150" s="57">
        <v>1.9549</v>
      </c>
      <c r="BE150" s="33" t="str">
        <f t="shared" si="1"/>
        <v>#DIV/0!</v>
      </c>
    </row>
    <row r="151">
      <c r="A151" s="57" t="s">
        <v>258</v>
      </c>
      <c r="B151" s="54" t="s">
        <v>64</v>
      </c>
      <c r="C151" s="57">
        <v>2009.0</v>
      </c>
      <c r="BC151" s="57">
        <v>2.075</v>
      </c>
      <c r="BD151" s="57">
        <v>1.2304</v>
      </c>
      <c r="BE151" s="33" t="str">
        <f t="shared" si="1"/>
        <v>#DIV/0!</v>
      </c>
    </row>
    <row r="152">
      <c r="B152" s="3"/>
      <c r="C152" s="57">
        <v>2008.0</v>
      </c>
    </row>
    <row r="153">
      <c r="B153" s="54" t="s">
        <v>64</v>
      </c>
      <c r="C153" s="57">
        <v>2032.0</v>
      </c>
    </row>
    <row r="154">
      <c r="B154" s="54" t="s">
        <v>64</v>
      </c>
      <c r="C154" s="57">
        <v>2385.0</v>
      </c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2" t="s">
        <v>200</v>
      </c>
      <c r="B1" s="1"/>
      <c r="C1" s="1"/>
    </row>
    <row r="3">
      <c r="A3" s="12" t="s">
        <v>1</v>
      </c>
      <c r="B3" s="38" t="s">
        <v>201</v>
      </c>
      <c r="C3" s="12"/>
    </row>
    <row r="4">
      <c r="A4" s="12" t="s">
        <v>3</v>
      </c>
      <c r="B4" s="73">
        <v>44685.0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203</v>
      </c>
      <c r="H6" s="30" t="s">
        <v>204</v>
      </c>
      <c r="I6" s="30" t="s">
        <v>205</v>
      </c>
      <c r="J6" s="30" t="s">
        <v>206</v>
      </c>
      <c r="K6" s="30" t="s">
        <v>207</v>
      </c>
      <c r="L6" s="30" t="s">
        <v>208</v>
      </c>
      <c r="M6" s="30" t="s">
        <v>209</v>
      </c>
      <c r="N6" s="30" t="s">
        <v>210</v>
      </c>
      <c r="O6" s="30" t="s">
        <v>211</v>
      </c>
      <c r="P6" s="30" t="s">
        <v>212</v>
      </c>
      <c r="Q6" s="30" t="s">
        <v>213</v>
      </c>
      <c r="R6" s="30" t="s">
        <v>214</v>
      </c>
      <c r="S6" s="30" t="s">
        <v>215</v>
      </c>
      <c r="T6" s="30" t="s">
        <v>216</v>
      </c>
      <c r="U6" s="30" t="s">
        <v>217</v>
      </c>
      <c r="V6" s="30" t="s">
        <v>218</v>
      </c>
      <c r="W6" s="30" t="s">
        <v>219</v>
      </c>
      <c r="X6" s="30" t="s">
        <v>220</v>
      </c>
      <c r="Y6" s="30" t="s">
        <v>221</v>
      </c>
      <c r="Z6" s="30" t="s">
        <v>222</v>
      </c>
      <c r="AA6" s="30" t="s">
        <v>223</v>
      </c>
      <c r="AB6" s="30" t="s">
        <v>224</v>
      </c>
      <c r="AC6" s="30" t="s">
        <v>225</v>
      </c>
      <c r="AD6" s="30" t="s">
        <v>226</v>
      </c>
      <c r="AE6" s="30" t="s">
        <v>227</v>
      </c>
      <c r="AF6" s="30" t="s">
        <v>228</v>
      </c>
      <c r="AG6" s="30" t="s">
        <v>229</v>
      </c>
      <c r="AH6" s="30" t="s">
        <v>230</v>
      </c>
      <c r="AI6" s="30" t="s">
        <v>231</v>
      </c>
      <c r="AJ6" s="30" t="s">
        <v>232</v>
      </c>
      <c r="AK6" s="30" t="s">
        <v>233</v>
      </c>
      <c r="AL6" s="30" t="s">
        <v>234</v>
      </c>
      <c r="AM6" s="30" t="s">
        <v>235</v>
      </c>
      <c r="AN6" s="30" t="s">
        <v>236</v>
      </c>
      <c r="AO6" s="30" t="s">
        <v>237</v>
      </c>
      <c r="AP6" s="30" t="s">
        <v>238</v>
      </c>
      <c r="AQ6" s="30" t="s">
        <v>239</v>
      </c>
      <c r="AR6" s="30" t="s">
        <v>240</v>
      </c>
      <c r="AS6" s="30" t="s">
        <v>241</v>
      </c>
      <c r="AT6" s="30" t="s">
        <v>242</v>
      </c>
      <c r="AU6" s="30" t="s">
        <v>243</v>
      </c>
      <c r="AV6" s="30" t="s">
        <v>244</v>
      </c>
      <c r="AW6" s="30" t="s">
        <v>245</v>
      </c>
      <c r="AX6" s="30" t="s">
        <v>246</v>
      </c>
      <c r="AY6" s="30" t="s">
        <v>247</v>
      </c>
      <c r="AZ6" s="30" t="s">
        <v>248</v>
      </c>
      <c r="BA6" s="30" t="s">
        <v>249</v>
      </c>
      <c r="BB6" s="30" t="s">
        <v>250</v>
      </c>
      <c r="BC6" s="30" t="s">
        <v>251</v>
      </c>
      <c r="BD6" s="30" t="s">
        <v>252</v>
      </c>
      <c r="BE6" s="30" t="s">
        <v>253</v>
      </c>
      <c r="BF6" s="29" t="s">
        <v>26</v>
      </c>
      <c r="BG6" s="9"/>
      <c r="BH6" s="9"/>
      <c r="BI6" s="9"/>
    </row>
    <row r="7">
      <c r="A7" s="12" t="s">
        <v>57</v>
      </c>
      <c r="B7" s="12" t="s">
        <v>58</v>
      </c>
      <c r="C7" s="12">
        <v>2352.0</v>
      </c>
      <c r="BE7" s="33" t="str">
        <f t="shared" ref="BE7:BE154" si="1">AVERAGE(AZ7,AW7,AT7,AQ7,AN7,AK7,AH7)</f>
        <v>#DIV/0!</v>
      </c>
    </row>
    <row r="8">
      <c r="A8" s="12" t="s">
        <v>57</v>
      </c>
      <c r="B8" s="12" t="s">
        <v>58</v>
      </c>
      <c r="C8" s="12">
        <v>2353.0</v>
      </c>
      <c r="BE8" s="33" t="str">
        <f t="shared" si="1"/>
        <v>#DIV/0!</v>
      </c>
    </row>
    <row r="9">
      <c r="A9" s="12" t="s">
        <v>57</v>
      </c>
      <c r="B9" s="12" t="s">
        <v>58</v>
      </c>
      <c r="C9" s="34">
        <v>2354.0</v>
      </c>
      <c r="BE9" s="33" t="str">
        <f t="shared" si="1"/>
        <v>#DIV/0!</v>
      </c>
    </row>
    <row r="10">
      <c r="A10" s="12" t="s">
        <v>57</v>
      </c>
      <c r="B10" s="12" t="s">
        <v>64</v>
      </c>
      <c r="C10" s="12">
        <v>2355.0</v>
      </c>
      <c r="BE10" s="33" t="str">
        <f t="shared" si="1"/>
        <v>#DIV/0!</v>
      </c>
    </row>
    <row r="11">
      <c r="A11" s="12" t="s">
        <v>57</v>
      </c>
      <c r="B11" s="12" t="s">
        <v>64</v>
      </c>
      <c r="C11" s="34" t="s">
        <v>65</v>
      </c>
      <c r="BE11" s="33" t="str">
        <f t="shared" si="1"/>
        <v>#DIV/0!</v>
      </c>
    </row>
    <row r="12">
      <c r="A12" s="12" t="s">
        <v>57</v>
      </c>
      <c r="B12" s="12" t="s">
        <v>64</v>
      </c>
      <c r="C12" s="12">
        <v>2356.0</v>
      </c>
      <c r="BE12" s="33" t="str">
        <f t="shared" si="1"/>
        <v>#DIV/0!</v>
      </c>
    </row>
    <row r="13">
      <c r="A13" s="12" t="s">
        <v>57</v>
      </c>
      <c r="B13" s="12" t="s">
        <v>64</v>
      </c>
      <c r="C13" s="12">
        <v>2357.0</v>
      </c>
      <c r="BE13" s="33" t="str">
        <f t="shared" si="1"/>
        <v>#DIV/0!</v>
      </c>
    </row>
    <row r="14">
      <c r="A14" s="12" t="s">
        <v>57</v>
      </c>
      <c r="B14" s="12" t="s">
        <v>64</v>
      </c>
      <c r="C14" s="34" t="s">
        <v>65</v>
      </c>
      <c r="BE14" s="33" t="str">
        <f t="shared" si="1"/>
        <v>#DIV/0!</v>
      </c>
    </row>
    <row r="15">
      <c r="A15" s="12" t="s">
        <v>57</v>
      </c>
      <c r="B15" s="12" t="s">
        <v>64</v>
      </c>
      <c r="C15" s="12">
        <v>2358.0</v>
      </c>
      <c r="BE15" s="33" t="str">
        <f t="shared" si="1"/>
        <v>#DIV/0!</v>
      </c>
    </row>
    <row r="16">
      <c r="A16" s="12" t="s">
        <v>57</v>
      </c>
      <c r="B16" s="12" t="s">
        <v>64</v>
      </c>
      <c r="C16" s="12">
        <v>2359.0</v>
      </c>
      <c r="BE16" s="33" t="str">
        <f t="shared" si="1"/>
        <v>#DIV/0!</v>
      </c>
    </row>
    <row r="17">
      <c r="A17" s="12" t="s">
        <v>57</v>
      </c>
      <c r="B17" s="12" t="s">
        <v>64</v>
      </c>
      <c r="C17" s="34" t="s">
        <v>65</v>
      </c>
      <c r="BE17" s="33" t="str">
        <f t="shared" si="1"/>
        <v>#DIV/0!</v>
      </c>
    </row>
    <row r="18">
      <c r="A18" s="12" t="s">
        <v>57</v>
      </c>
      <c r="B18" s="12" t="s">
        <v>64</v>
      </c>
      <c r="C18" s="12">
        <v>2360.0</v>
      </c>
      <c r="BE18" s="33" t="str">
        <f t="shared" si="1"/>
        <v>#DIV/0!</v>
      </c>
    </row>
    <row r="19">
      <c r="A19" s="12" t="s">
        <v>57</v>
      </c>
      <c r="B19" s="12" t="s">
        <v>64</v>
      </c>
      <c r="C19" s="12">
        <v>2361.0</v>
      </c>
      <c r="BE19" s="33" t="str">
        <f t="shared" si="1"/>
        <v>#DIV/0!</v>
      </c>
    </row>
    <row r="20">
      <c r="A20" s="12" t="s">
        <v>57</v>
      </c>
      <c r="B20" s="12" t="s">
        <v>64</v>
      </c>
      <c r="C20" s="34" t="s">
        <v>65</v>
      </c>
      <c r="BE20" s="33" t="str">
        <f t="shared" si="1"/>
        <v>#DIV/0!</v>
      </c>
    </row>
    <row r="21">
      <c r="A21" s="12" t="s">
        <v>57</v>
      </c>
      <c r="B21" s="12" t="s">
        <v>64</v>
      </c>
      <c r="C21" s="12">
        <v>2362.0</v>
      </c>
      <c r="BE21" s="33" t="str">
        <f t="shared" si="1"/>
        <v>#DIV/0!</v>
      </c>
    </row>
    <row r="22">
      <c r="A22" s="12" t="s">
        <v>57</v>
      </c>
      <c r="B22" s="12" t="s">
        <v>64</v>
      </c>
      <c r="C22" s="12">
        <v>2363.0</v>
      </c>
      <c r="BE22" s="33" t="str">
        <f t="shared" si="1"/>
        <v>#DIV/0!</v>
      </c>
    </row>
    <row r="23">
      <c r="A23" s="12" t="s">
        <v>57</v>
      </c>
      <c r="B23" s="12" t="s">
        <v>64</v>
      </c>
      <c r="C23" s="12">
        <v>2364.0</v>
      </c>
      <c r="BE23" s="33" t="str">
        <f t="shared" si="1"/>
        <v>#DIV/0!</v>
      </c>
    </row>
    <row r="24">
      <c r="A24" s="12" t="s">
        <v>57</v>
      </c>
      <c r="B24" s="12" t="s">
        <v>64</v>
      </c>
      <c r="C24" s="12">
        <v>2365.0</v>
      </c>
      <c r="G24" s="57">
        <v>1.773</v>
      </c>
      <c r="J24" s="57">
        <v>1.82</v>
      </c>
      <c r="M24" s="57">
        <v>2.04</v>
      </c>
      <c r="AH24" s="57">
        <v>3.043</v>
      </c>
      <c r="AK24" s="57">
        <v>2.912</v>
      </c>
      <c r="AN24" s="57">
        <v>2.963</v>
      </c>
      <c r="BE24" s="33">
        <f t="shared" si="1"/>
        <v>2.972666667</v>
      </c>
    </row>
    <row r="25">
      <c r="A25" s="12" t="s">
        <v>57</v>
      </c>
      <c r="B25" s="12" t="s">
        <v>64</v>
      </c>
      <c r="C25" s="12">
        <v>2366.0</v>
      </c>
      <c r="BE25" s="33" t="str">
        <f t="shared" si="1"/>
        <v>#DIV/0!</v>
      </c>
    </row>
    <row r="26">
      <c r="A26" s="12" t="s">
        <v>57</v>
      </c>
      <c r="B26" s="12" t="s">
        <v>64</v>
      </c>
      <c r="C26" s="34" t="s">
        <v>65</v>
      </c>
      <c r="BE26" s="33" t="str">
        <f t="shared" si="1"/>
        <v>#DIV/0!</v>
      </c>
    </row>
    <row r="27">
      <c r="A27" s="12" t="s">
        <v>57</v>
      </c>
      <c r="B27" s="12" t="s">
        <v>64</v>
      </c>
      <c r="C27" s="12">
        <v>2367.0</v>
      </c>
      <c r="G27" s="57">
        <v>2.032</v>
      </c>
      <c r="J27" s="57">
        <v>2.001</v>
      </c>
      <c r="AH27" s="57">
        <v>3.01</v>
      </c>
      <c r="AK27" s="57">
        <v>2.99</v>
      </c>
      <c r="AN27" s="57">
        <v>2.881</v>
      </c>
      <c r="BE27" s="33">
        <f t="shared" si="1"/>
        <v>2.960333333</v>
      </c>
    </row>
    <row r="28">
      <c r="A28" s="12" t="s">
        <v>57</v>
      </c>
      <c r="B28" s="12" t="s">
        <v>64</v>
      </c>
      <c r="C28" s="34" t="s">
        <v>65</v>
      </c>
      <c r="BE28" s="33" t="str">
        <f t="shared" si="1"/>
        <v>#DIV/0!</v>
      </c>
    </row>
    <row r="29">
      <c r="A29" s="12" t="s">
        <v>57</v>
      </c>
      <c r="B29" s="12" t="s">
        <v>64</v>
      </c>
      <c r="C29" s="34" t="s">
        <v>65</v>
      </c>
      <c r="BE29" s="33" t="str">
        <f t="shared" si="1"/>
        <v>#DIV/0!</v>
      </c>
    </row>
    <row r="30">
      <c r="A30" s="12" t="s">
        <v>57</v>
      </c>
      <c r="B30" s="12" t="s">
        <v>64</v>
      </c>
      <c r="C30" s="12">
        <v>2369.0</v>
      </c>
      <c r="G30" s="57">
        <v>1.812</v>
      </c>
      <c r="J30" s="57">
        <v>1.982</v>
      </c>
      <c r="M30" s="57">
        <v>1.9</v>
      </c>
      <c r="AH30" s="57">
        <v>3.67</v>
      </c>
      <c r="AK30" s="57">
        <v>3.79</v>
      </c>
      <c r="AN30" s="57">
        <v>3.7</v>
      </c>
      <c r="BE30" s="33">
        <f t="shared" si="1"/>
        <v>3.72</v>
      </c>
      <c r="BF30" s="57" t="s">
        <v>298</v>
      </c>
    </row>
    <row r="31">
      <c r="A31" s="38" t="s">
        <v>70</v>
      </c>
      <c r="B31" s="38" t="s">
        <v>58</v>
      </c>
      <c r="C31" s="38">
        <v>2376.0</v>
      </c>
      <c r="BE31" s="33" t="str">
        <f t="shared" si="1"/>
        <v>#DIV/0!</v>
      </c>
    </row>
    <row r="32">
      <c r="A32" s="38" t="s">
        <v>70</v>
      </c>
      <c r="B32" s="38" t="s">
        <v>58</v>
      </c>
      <c r="C32" s="38">
        <v>2377.0</v>
      </c>
      <c r="BE32" s="33" t="str">
        <f t="shared" si="1"/>
        <v>#DIV/0!</v>
      </c>
    </row>
    <row r="33">
      <c r="A33" s="38" t="s">
        <v>70</v>
      </c>
      <c r="B33" s="38" t="s">
        <v>64</v>
      </c>
      <c r="C33" s="38">
        <v>2378.0</v>
      </c>
      <c r="BE33" s="33" t="str">
        <f t="shared" si="1"/>
        <v>#DIV/0!</v>
      </c>
    </row>
    <row r="34">
      <c r="A34" s="38" t="s">
        <v>70</v>
      </c>
      <c r="B34" s="38" t="s">
        <v>64</v>
      </c>
      <c r="C34" s="38">
        <v>2379.0</v>
      </c>
      <c r="BE34" s="33" t="str">
        <f t="shared" si="1"/>
        <v>#DIV/0!</v>
      </c>
    </row>
    <row r="35">
      <c r="A35" s="38" t="s">
        <v>70</v>
      </c>
      <c r="B35" s="38" t="s">
        <v>58</v>
      </c>
      <c r="C35" s="38">
        <v>2380.0</v>
      </c>
      <c r="BE35" s="33" t="str">
        <f t="shared" si="1"/>
        <v>#DIV/0!</v>
      </c>
    </row>
    <row r="36">
      <c r="A36" s="12" t="s">
        <v>74</v>
      </c>
      <c r="B36" s="12" t="s">
        <v>64</v>
      </c>
      <c r="C36" s="12">
        <v>2337.0</v>
      </c>
      <c r="BE36" s="33" t="str">
        <f t="shared" si="1"/>
        <v>#DIV/0!</v>
      </c>
    </row>
    <row r="37">
      <c r="A37" s="12" t="s">
        <v>74</v>
      </c>
      <c r="B37" s="12" t="s">
        <v>64</v>
      </c>
      <c r="C37" s="12">
        <v>2338.0</v>
      </c>
      <c r="BE37" s="33" t="str">
        <f t="shared" si="1"/>
        <v>#DIV/0!</v>
      </c>
    </row>
    <row r="38">
      <c r="A38" s="12" t="s">
        <v>74</v>
      </c>
      <c r="B38" s="12" t="s">
        <v>64</v>
      </c>
      <c r="C38" s="12">
        <v>2339.0</v>
      </c>
      <c r="BE38" s="33" t="str">
        <f t="shared" si="1"/>
        <v>#DIV/0!</v>
      </c>
    </row>
    <row r="39">
      <c r="A39" s="12" t="s">
        <v>74</v>
      </c>
      <c r="B39" s="12" t="s">
        <v>64</v>
      </c>
      <c r="C39" s="12">
        <v>2340.0</v>
      </c>
      <c r="BE39" s="33" t="str">
        <f t="shared" si="1"/>
        <v>#DIV/0!</v>
      </c>
    </row>
    <row r="40">
      <c r="A40" s="12" t="s">
        <v>74</v>
      </c>
      <c r="B40" s="12" t="s">
        <v>64</v>
      </c>
      <c r="C40" s="12">
        <v>2341.0</v>
      </c>
      <c r="BE40" s="33" t="str">
        <f t="shared" si="1"/>
        <v>#DIV/0!</v>
      </c>
    </row>
    <row r="41">
      <c r="A41" s="12" t="s">
        <v>74</v>
      </c>
      <c r="B41" s="12" t="s">
        <v>64</v>
      </c>
      <c r="C41" s="12">
        <v>2342.0</v>
      </c>
      <c r="BE41" s="33" t="str">
        <f t="shared" si="1"/>
        <v>#DIV/0!</v>
      </c>
    </row>
    <row r="42">
      <c r="A42" s="12" t="s">
        <v>74</v>
      </c>
      <c r="B42" s="12" t="s">
        <v>64</v>
      </c>
      <c r="C42" s="12">
        <v>2343.0</v>
      </c>
      <c r="G42" s="57">
        <v>1.888</v>
      </c>
      <c r="J42" s="57">
        <v>1.843</v>
      </c>
      <c r="M42" s="57">
        <v>1.983</v>
      </c>
      <c r="P42" s="57">
        <v>1.984</v>
      </c>
      <c r="AH42" s="57">
        <v>3.778</v>
      </c>
      <c r="AK42" s="57">
        <v>3.692</v>
      </c>
      <c r="AN42" s="57">
        <v>3.938</v>
      </c>
      <c r="BE42" s="33">
        <f t="shared" si="1"/>
        <v>3.802666667</v>
      </c>
    </row>
    <row r="43">
      <c r="A43" s="41" t="s">
        <v>74</v>
      </c>
      <c r="B43" s="41" t="s">
        <v>64</v>
      </c>
      <c r="C43" s="41" t="s">
        <v>78</v>
      </c>
      <c r="BE43" s="33" t="str">
        <f t="shared" si="1"/>
        <v>#DIV/0!</v>
      </c>
    </row>
    <row r="44">
      <c r="A44" s="12" t="s">
        <v>74</v>
      </c>
      <c r="B44" s="12" t="s">
        <v>64</v>
      </c>
      <c r="C44" s="12">
        <v>2344.0</v>
      </c>
      <c r="BE44" s="33" t="str">
        <f t="shared" si="1"/>
        <v>#DIV/0!</v>
      </c>
    </row>
    <row r="45">
      <c r="A45" s="41" t="s">
        <v>74</v>
      </c>
      <c r="B45" s="41" t="s">
        <v>58</v>
      </c>
      <c r="C45" s="41" t="s">
        <v>78</v>
      </c>
      <c r="BE45" s="33" t="str">
        <f t="shared" si="1"/>
        <v>#DIV/0!</v>
      </c>
    </row>
    <row r="46">
      <c r="A46" s="12" t="s">
        <v>74</v>
      </c>
      <c r="B46" s="12" t="s">
        <v>58</v>
      </c>
      <c r="C46" s="34">
        <v>2345.0</v>
      </c>
      <c r="BE46" s="33" t="str">
        <f t="shared" si="1"/>
        <v>#DIV/0!</v>
      </c>
    </row>
    <row r="47">
      <c r="A47" s="12" t="s">
        <v>74</v>
      </c>
      <c r="B47" s="12" t="s">
        <v>64</v>
      </c>
      <c r="C47" s="12">
        <v>2346.0</v>
      </c>
      <c r="G47" s="57">
        <v>2.078</v>
      </c>
      <c r="J47" s="57">
        <v>2.043</v>
      </c>
      <c r="AH47" s="57">
        <v>3.268</v>
      </c>
      <c r="AK47" s="57">
        <v>3.365</v>
      </c>
      <c r="BE47" s="33">
        <f t="shared" si="1"/>
        <v>3.3165</v>
      </c>
    </row>
    <row r="48">
      <c r="A48" s="12" t="s">
        <v>74</v>
      </c>
      <c r="B48" s="12" t="s">
        <v>64</v>
      </c>
      <c r="C48" s="12">
        <v>2347.0</v>
      </c>
      <c r="G48" s="57">
        <v>1.762</v>
      </c>
      <c r="J48" s="57">
        <v>2.168</v>
      </c>
      <c r="M48" s="57">
        <v>1.872</v>
      </c>
      <c r="AH48" s="57">
        <v>3.13</v>
      </c>
      <c r="AK48" s="57">
        <v>2.7</v>
      </c>
      <c r="AN48" s="57">
        <v>2.75</v>
      </c>
      <c r="BE48" s="33">
        <f t="shared" si="1"/>
        <v>2.86</v>
      </c>
    </row>
    <row r="49">
      <c r="A49" s="12" t="s">
        <v>74</v>
      </c>
      <c r="B49" s="12" t="s">
        <v>64</v>
      </c>
      <c r="C49" s="12">
        <v>2348.0</v>
      </c>
      <c r="BE49" s="33" t="str">
        <f t="shared" si="1"/>
        <v>#DIV/0!</v>
      </c>
    </row>
    <row r="50">
      <c r="A50" s="12" t="s">
        <v>74</v>
      </c>
      <c r="B50" s="12" t="s">
        <v>64</v>
      </c>
      <c r="C50" s="12">
        <v>2349.0</v>
      </c>
      <c r="BE50" s="33" t="str">
        <f t="shared" si="1"/>
        <v>#DIV/0!</v>
      </c>
    </row>
    <row r="51">
      <c r="A51" s="12" t="s">
        <v>74</v>
      </c>
      <c r="B51" s="12" t="s">
        <v>64</v>
      </c>
      <c r="C51" s="12">
        <v>2350.0</v>
      </c>
      <c r="BE51" s="33" t="str">
        <f t="shared" si="1"/>
        <v>#DIV/0!</v>
      </c>
    </row>
    <row r="52">
      <c r="A52" s="12" t="s">
        <v>74</v>
      </c>
      <c r="B52" s="12" t="s">
        <v>64</v>
      </c>
      <c r="C52" s="12">
        <v>2351.0</v>
      </c>
      <c r="BE52" s="33" t="str">
        <f t="shared" si="1"/>
        <v>#DIV/0!</v>
      </c>
    </row>
    <row r="53">
      <c r="A53" s="38" t="s">
        <v>88</v>
      </c>
      <c r="B53" s="38" t="s">
        <v>64</v>
      </c>
      <c r="C53" s="38">
        <v>2375.0</v>
      </c>
      <c r="BE53" s="33" t="str">
        <f t="shared" si="1"/>
        <v>#DIV/0!</v>
      </c>
    </row>
    <row r="54">
      <c r="A54" s="12" t="s">
        <v>90</v>
      </c>
      <c r="B54" s="12" t="s">
        <v>64</v>
      </c>
      <c r="C54" s="12">
        <v>2310.0</v>
      </c>
      <c r="BE54" s="33" t="str">
        <f t="shared" si="1"/>
        <v>#DIV/0!</v>
      </c>
    </row>
    <row r="55">
      <c r="A55" s="12" t="s">
        <v>90</v>
      </c>
      <c r="B55" s="12" t="s">
        <v>64</v>
      </c>
      <c r="C55" s="12">
        <v>2311.0</v>
      </c>
      <c r="BE55" s="33" t="str">
        <f t="shared" si="1"/>
        <v>#DIV/0!</v>
      </c>
    </row>
    <row r="56">
      <c r="A56" s="12" t="s">
        <v>90</v>
      </c>
      <c r="B56" s="12" t="s">
        <v>64</v>
      </c>
      <c r="C56" s="12">
        <v>2312.0</v>
      </c>
      <c r="BE56" s="33" t="str">
        <f t="shared" si="1"/>
        <v>#DIV/0!</v>
      </c>
    </row>
    <row r="57">
      <c r="A57" s="12" t="s">
        <v>90</v>
      </c>
      <c r="B57" s="12" t="s">
        <v>64</v>
      </c>
      <c r="C57" s="12">
        <v>2313.0</v>
      </c>
      <c r="BE57" s="33" t="str">
        <f t="shared" si="1"/>
        <v>#DIV/0!</v>
      </c>
    </row>
    <row r="58">
      <c r="A58" s="12" t="s">
        <v>90</v>
      </c>
      <c r="B58" s="12" t="s">
        <v>64</v>
      </c>
      <c r="C58" s="12">
        <v>2314.0</v>
      </c>
      <c r="BE58" s="33" t="str">
        <f t="shared" si="1"/>
        <v>#DIV/0!</v>
      </c>
    </row>
    <row r="59">
      <c r="A59" s="12" t="s">
        <v>90</v>
      </c>
      <c r="B59" s="12" t="s">
        <v>58</v>
      </c>
      <c r="C59" s="12">
        <v>2315.0</v>
      </c>
      <c r="BE59" s="33" t="str">
        <f t="shared" si="1"/>
        <v>#DIV/0!</v>
      </c>
    </row>
    <row r="60">
      <c r="A60" s="12" t="s">
        <v>90</v>
      </c>
      <c r="B60" s="12" t="s">
        <v>64</v>
      </c>
      <c r="C60" s="12">
        <v>2316.0</v>
      </c>
      <c r="BE60" s="33" t="str">
        <f t="shared" si="1"/>
        <v>#DIV/0!</v>
      </c>
    </row>
    <row r="61">
      <c r="A61" s="12" t="s">
        <v>90</v>
      </c>
      <c r="B61" s="12" t="s">
        <v>64</v>
      </c>
      <c r="C61" s="12">
        <v>2317.0</v>
      </c>
      <c r="BE61" s="33" t="str">
        <f t="shared" si="1"/>
        <v>#DIV/0!</v>
      </c>
    </row>
    <row r="62">
      <c r="A62" s="12" t="s">
        <v>90</v>
      </c>
      <c r="B62" s="12" t="s">
        <v>64</v>
      </c>
      <c r="C62" s="12">
        <v>2318.0</v>
      </c>
      <c r="BE62" s="33" t="str">
        <f t="shared" si="1"/>
        <v>#DIV/0!</v>
      </c>
    </row>
    <row r="63">
      <c r="A63" s="12" t="s">
        <v>90</v>
      </c>
      <c r="B63" s="12" t="s">
        <v>64</v>
      </c>
      <c r="C63" s="12">
        <v>2319.0</v>
      </c>
      <c r="BE63" s="33" t="str">
        <f t="shared" si="1"/>
        <v>#DIV/0!</v>
      </c>
    </row>
    <row r="64">
      <c r="A64" s="12" t="s">
        <v>90</v>
      </c>
      <c r="B64" s="12" t="s">
        <v>58</v>
      </c>
      <c r="C64" s="12">
        <v>2320.0</v>
      </c>
      <c r="BE64" s="33" t="str">
        <f t="shared" si="1"/>
        <v>#DIV/0!</v>
      </c>
    </row>
    <row r="65">
      <c r="A65" s="12" t="s">
        <v>90</v>
      </c>
      <c r="B65" s="12" t="s">
        <v>64</v>
      </c>
      <c r="C65" s="12">
        <v>2321.0</v>
      </c>
      <c r="BE65" s="33" t="str">
        <f t="shared" si="1"/>
        <v>#DIV/0!</v>
      </c>
    </row>
    <row r="66">
      <c r="A66" s="12" t="s">
        <v>90</v>
      </c>
      <c r="B66" s="12" t="s">
        <v>58</v>
      </c>
      <c r="C66" s="12">
        <v>2322.0</v>
      </c>
      <c r="BE66" s="33" t="str">
        <f t="shared" si="1"/>
        <v>#DIV/0!</v>
      </c>
    </row>
    <row r="67">
      <c r="A67" s="12" t="s">
        <v>90</v>
      </c>
      <c r="B67" s="12" t="s">
        <v>58</v>
      </c>
      <c r="C67" s="12">
        <v>2323.0</v>
      </c>
      <c r="BE67" s="33" t="str">
        <f t="shared" si="1"/>
        <v>#DIV/0!</v>
      </c>
    </row>
    <row r="68">
      <c r="A68" s="12" t="s">
        <v>90</v>
      </c>
      <c r="B68" s="12" t="s">
        <v>64</v>
      </c>
      <c r="C68" s="12">
        <v>2324.0</v>
      </c>
      <c r="BE68" s="33" t="str">
        <f t="shared" si="1"/>
        <v>#DIV/0!</v>
      </c>
    </row>
    <row r="69">
      <c r="A69" s="12" t="s">
        <v>90</v>
      </c>
      <c r="B69" s="12" t="s">
        <v>64</v>
      </c>
      <c r="C69" s="12">
        <v>2325.0</v>
      </c>
      <c r="BE69" s="33" t="str">
        <f t="shared" si="1"/>
        <v>#DIV/0!</v>
      </c>
    </row>
    <row r="70">
      <c r="A70" s="12" t="s">
        <v>90</v>
      </c>
      <c r="B70" s="12" t="s">
        <v>64</v>
      </c>
      <c r="C70" s="12">
        <v>2327.0</v>
      </c>
      <c r="BE70" s="33" t="str">
        <f t="shared" si="1"/>
        <v>#DIV/0!</v>
      </c>
    </row>
    <row r="71">
      <c r="A71" s="12" t="s">
        <v>90</v>
      </c>
      <c r="B71" s="12" t="s">
        <v>64</v>
      </c>
      <c r="C71" s="12">
        <v>2326.0</v>
      </c>
      <c r="BE71" s="33" t="str">
        <f t="shared" si="1"/>
        <v>#DIV/0!</v>
      </c>
    </row>
    <row r="72">
      <c r="A72" s="12" t="s">
        <v>90</v>
      </c>
      <c r="B72" s="12" t="s">
        <v>58</v>
      </c>
      <c r="C72" s="12">
        <v>2328.0</v>
      </c>
      <c r="BE72" s="33" t="str">
        <f t="shared" si="1"/>
        <v>#DIV/0!</v>
      </c>
    </row>
    <row r="73">
      <c r="A73" s="12" t="s">
        <v>90</v>
      </c>
      <c r="B73" s="12" t="s">
        <v>64</v>
      </c>
      <c r="C73" s="12">
        <v>2329.0</v>
      </c>
      <c r="BE73" s="33" t="str">
        <f t="shared" si="1"/>
        <v>#DIV/0!</v>
      </c>
    </row>
    <row r="74">
      <c r="A74" s="12" t="s">
        <v>90</v>
      </c>
      <c r="B74" s="12" t="s">
        <v>64</v>
      </c>
      <c r="C74" s="12">
        <v>2330.0</v>
      </c>
      <c r="BE74" s="33" t="str">
        <f t="shared" si="1"/>
        <v>#DIV/0!</v>
      </c>
    </row>
    <row r="75">
      <c r="A75" s="12" t="s">
        <v>90</v>
      </c>
      <c r="B75" s="12" t="s">
        <v>58</v>
      </c>
      <c r="C75" s="12">
        <v>2331.0</v>
      </c>
      <c r="BE75" s="33" t="str">
        <f t="shared" si="1"/>
        <v>#DIV/0!</v>
      </c>
    </row>
    <row r="76">
      <c r="A76" s="12" t="s">
        <v>90</v>
      </c>
      <c r="B76" s="12" t="s">
        <v>64</v>
      </c>
      <c r="C76" s="12">
        <v>2332.0</v>
      </c>
      <c r="BE76" s="33" t="str">
        <f t="shared" si="1"/>
        <v>#DIV/0!</v>
      </c>
    </row>
    <row r="77">
      <c r="A77" s="12" t="s">
        <v>90</v>
      </c>
      <c r="B77" s="12" t="s">
        <v>64</v>
      </c>
      <c r="C77" s="12">
        <v>2333.0</v>
      </c>
      <c r="BE77" s="33" t="str">
        <f t="shared" si="1"/>
        <v>#DIV/0!</v>
      </c>
    </row>
    <row r="78">
      <c r="A78" s="2" t="s">
        <v>90</v>
      </c>
      <c r="B78" s="3" t="s">
        <v>64</v>
      </c>
      <c r="C78" s="12">
        <v>2334.0</v>
      </c>
      <c r="BE78" s="33" t="str">
        <f t="shared" si="1"/>
        <v>#DIV/0!</v>
      </c>
    </row>
    <row r="79">
      <c r="A79" s="12" t="s">
        <v>90</v>
      </c>
      <c r="B79" s="12" t="s">
        <v>64</v>
      </c>
      <c r="C79" s="12">
        <v>2336.0</v>
      </c>
      <c r="BE79" s="33" t="str">
        <f t="shared" si="1"/>
        <v>#DIV/0!</v>
      </c>
    </row>
    <row r="80">
      <c r="A80" s="12" t="s">
        <v>90</v>
      </c>
      <c r="B80" s="12" t="s">
        <v>64</v>
      </c>
      <c r="C80" s="12">
        <v>2335.0</v>
      </c>
      <c r="BE80" s="33" t="str">
        <f t="shared" si="1"/>
        <v>#DIV/0!</v>
      </c>
    </row>
    <row r="81">
      <c r="A81" s="38" t="s">
        <v>100</v>
      </c>
      <c r="B81" s="38" t="s">
        <v>64</v>
      </c>
      <c r="C81" s="38">
        <v>2374.0</v>
      </c>
      <c r="BE81" s="33" t="str">
        <f t="shared" si="1"/>
        <v>#DIV/0!</v>
      </c>
    </row>
    <row r="82">
      <c r="A82" s="12" t="s">
        <v>101</v>
      </c>
      <c r="B82" s="12" t="s">
        <v>58</v>
      </c>
      <c r="C82" s="34">
        <v>2301.0</v>
      </c>
      <c r="BE82" s="33" t="str">
        <f t="shared" si="1"/>
        <v>#DIV/0!</v>
      </c>
    </row>
    <row r="83">
      <c r="A83" s="12" t="s">
        <v>101</v>
      </c>
      <c r="B83" s="12" t="s">
        <v>64</v>
      </c>
      <c r="C83" s="12">
        <v>2302.0</v>
      </c>
      <c r="BE83" s="33" t="str">
        <f t="shared" si="1"/>
        <v>#DIV/0!</v>
      </c>
    </row>
    <row r="84">
      <c r="A84" s="12" t="s">
        <v>101</v>
      </c>
      <c r="B84" s="12" t="s">
        <v>64</v>
      </c>
      <c r="C84" s="12">
        <v>2303.0</v>
      </c>
      <c r="BE84" s="33" t="str">
        <f t="shared" si="1"/>
        <v>#DIV/0!</v>
      </c>
    </row>
    <row r="85">
      <c r="A85" s="12" t="s">
        <v>101</v>
      </c>
      <c r="B85" s="12" t="s">
        <v>64</v>
      </c>
      <c r="C85" s="12">
        <v>2304.0</v>
      </c>
      <c r="BE85" s="33" t="str">
        <f t="shared" si="1"/>
        <v>#DIV/0!</v>
      </c>
    </row>
    <row r="86">
      <c r="A86" s="12" t="s">
        <v>101</v>
      </c>
      <c r="B86" s="12" t="s">
        <v>64</v>
      </c>
      <c r="C86" s="12">
        <v>2305.0</v>
      </c>
      <c r="BE86" s="33" t="str">
        <f t="shared" si="1"/>
        <v>#DIV/0!</v>
      </c>
    </row>
    <row r="87">
      <c r="A87" s="12" t="s">
        <v>101</v>
      </c>
      <c r="B87" s="12" t="s">
        <v>64</v>
      </c>
      <c r="C87" s="12">
        <v>2306.0</v>
      </c>
      <c r="BE87" s="33" t="str">
        <f t="shared" si="1"/>
        <v>#DIV/0!</v>
      </c>
    </row>
    <row r="88">
      <c r="A88" s="12" t="s">
        <v>101</v>
      </c>
      <c r="B88" s="12" t="s">
        <v>64</v>
      </c>
      <c r="C88" s="12">
        <v>2307.0</v>
      </c>
      <c r="BE88" s="33" t="str">
        <f t="shared" si="1"/>
        <v>#DIV/0!</v>
      </c>
    </row>
    <row r="89">
      <c r="A89" s="12" t="s">
        <v>101</v>
      </c>
      <c r="B89" s="12" t="s">
        <v>64</v>
      </c>
      <c r="C89" s="12">
        <v>2308.0</v>
      </c>
      <c r="BE89" s="33" t="str">
        <f t="shared" si="1"/>
        <v>#DIV/0!</v>
      </c>
    </row>
    <row r="90">
      <c r="A90" s="12" t="s">
        <v>101</v>
      </c>
      <c r="B90" s="12" t="s">
        <v>64</v>
      </c>
      <c r="C90" s="12">
        <v>2309.0</v>
      </c>
      <c r="BE90" s="33" t="str">
        <f t="shared" si="1"/>
        <v>#DIV/0!</v>
      </c>
    </row>
    <row r="91">
      <c r="A91" s="53" t="s">
        <v>106</v>
      </c>
      <c r="B91" s="54" t="s">
        <v>64</v>
      </c>
      <c r="C91" s="55">
        <v>2370.0</v>
      </c>
      <c r="BE91" s="33" t="str">
        <f t="shared" si="1"/>
        <v>#DIV/0!</v>
      </c>
    </row>
    <row r="92">
      <c r="A92" s="53" t="s">
        <v>107</v>
      </c>
      <c r="B92" s="54" t="s">
        <v>64</v>
      </c>
      <c r="C92" s="55">
        <v>2371.0</v>
      </c>
      <c r="BE92" s="33" t="str">
        <f t="shared" si="1"/>
        <v>#DIV/0!</v>
      </c>
    </row>
    <row r="93">
      <c r="A93" s="53" t="s">
        <v>108</v>
      </c>
      <c r="B93" s="54" t="s">
        <v>64</v>
      </c>
      <c r="C93" s="55">
        <v>2372.0</v>
      </c>
      <c r="BE93" s="33" t="str">
        <f t="shared" si="1"/>
        <v>#DIV/0!</v>
      </c>
    </row>
    <row r="94">
      <c r="A94" s="53" t="s">
        <v>110</v>
      </c>
      <c r="B94" s="54" t="s">
        <v>64</v>
      </c>
      <c r="C94" s="55">
        <v>2373.0</v>
      </c>
      <c r="BE94" s="33" t="str">
        <f t="shared" si="1"/>
        <v>#DIV/0!</v>
      </c>
    </row>
    <row r="95">
      <c r="A95" s="2" t="s">
        <v>112</v>
      </c>
      <c r="B95" s="3" t="s">
        <v>64</v>
      </c>
      <c r="C95" s="3"/>
      <c r="BE95" s="33" t="str">
        <f t="shared" si="1"/>
        <v>#DIV/0!</v>
      </c>
    </row>
    <row r="96">
      <c r="A96" s="2" t="s">
        <v>112</v>
      </c>
      <c r="B96" s="3" t="s">
        <v>64</v>
      </c>
      <c r="C96" s="3"/>
      <c r="BE96" s="33" t="str">
        <f t="shared" si="1"/>
        <v>#DIV/0!</v>
      </c>
    </row>
    <row r="97">
      <c r="A97" s="2" t="s">
        <v>112</v>
      </c>
      <c r="B97" s="3" t="s">
        <v>64</v>
      </c>
      <c r="C97" s="3"/>
      <c r="BE97" s="33" t="str">
        <f t="shared" si="1"/>
        <v>#DIV/0!</v>
      </c>
    </row>
    <row r="98">
      <c r="A98" s="2" t="s">
        <v>112</v>
      </c>
      <c r="B98" s="3" t="s">
        <v>64</v>
      </c>
      <c r="C98" s="3"/>
      <c r="BE98" s="33" t="str">
        <f t="shared" si="1"/>
        <v>#DIV/0!</v>
      </c>
    </row>
    <row r="99">
      <c r="A99" s="2" t="s">
        <v>112</v>
      </c>
      <c r="B99" s="3" t="s">
        <v>64</v>
      </c>
      <c r="C99" s="3"/>
      <c r="BE99" s="33" t="str">
        <f t="shared" si="1"/>
        <v>#DIV/0!</v>
      </c>
    </row>
    <row r="100">
      <c r="A100" s="2" t="s">
        <v>113</v>
      </c>
      <c r="B100" s="3" t="s">
        <v>64</v>
      </c>
      <c r="C100" s="3"/>
      <c r="BE100" s="33" t="str">
        <f t="shared" si="1"/>
        <v>#DIV/0!</v>
      </c>
    </row>
    <row r="101">
      <c r="A101" s="2" t="s">
        <v>113</v>
      </c>
      <c r="B101" s="3" t="s">
        <v>64</v>
      </c>
      <c r="C101" s="3"/>
      <c r="BE101" s="33" t="str">
        <f t="shared" si="1"/>
        <v>#DIV/0!</v>
      </c>
    </row>
    <row r="102">
      <c r="A102" s="2" t="s">
        <v>113</v>
      </c>
      <c r="B102" s="3" t="s">
        <v>64</v>
      </c>
      <c r="C102" s="3"/>
      <c r="BE102" s="33" t="str">
        <f t="shared" si="1"/>
        <v>#DIV/0!</v>
      </c>
    </row>
    <row r="103">
      <c r="A103" s="2" t="s">
        <v>113</v>
      </c>
      <c r="B103" s="3" t="s">
        <v>64</v>
      </c>
      <c r="C103" s="3"/>
      <c r="BE103" s="33" t="str">
        <f t="shared" si="1"/>
        <v>#DIV/0!</v>
      </c>
    </row>
    <row r="104">
      <c r="A104" s="2" t="s">
        <v>113</v>
      </c>
      <c r="B104" s="3" t="s">
        <v>64</v>
      </c>
      <c r="C104" s="3"/>
      <c r="BE104" s="33" t="str">
        <f t="shared" si="1"/>
        <v>#DIV/0!</v>
      </c>
    </row>
    <row r="105">
      <c r="A105" s="12" t="s">
        <v>114</v>
      </c>
      <c r="B105" s="12" t="s">
        <v>58</v>
      </c>
      <c r="C105" s="12"/>
      <c r="BE105" s="33" t="str">
        <f t="shared" si="1"/>
        <v>#DIV/0!</v>
      </c>
    </row>
    <row r="106">
      <c r="A106" s="12" t="s">
        <v>114</v>
      </c>
      <c r="B106" s="12" t="s">
        <v>58</v>
      </c>
      <c r="C106" s="12"/>
      <c r="BE106" s="33" t="str">
        <f t="shared" si="1"/>
        <v>#DIV/0!</v>
      </c>
    </row>
    <row r="107">
      <c r="A107" s="2" t="s">
        <v>117</v>
      </c>
      <c r="B107" s="3" t="s">
        <v>64</v>
      </c>
      <c r="C107" s="58">
        <v>2381.0</v>
      </c>
      <c r="BE107" s="33" t="str">
        <f t="shared" si="1"/>
        <v>#DIV/0!</v>
      </c>
    </row>
    <row r="108">
      <c r="A108" s="2" t="s">
        <v>117</v>
      </c>
      <c r="B108" s="3" t="s">
        <v>64</v>
      </c>
      <c r="C108" s="58"/>
      <c r="BE108" s="33" t="str">
        <f t="shared" si="1"/>
        <v>#DIV/0!</v>
      </c>
    </row>
    <row r="109">
      <c r="A109" s="2" t="s">
        <v>117</v>
      </c>
      <c r="B109" s="3" t="s">
        <v>64</v>
      </c>
      <c r="C109" s="58"/>
      <c r="BE109" s="33" t="str">
        <f t="shared" si="1"/>
        <v>#DIV/0!</v>
      </c>
    </row>
    <row r="110">
      <c r="A110" s="2" t="s">
        <v>117</v>
      </c>
      <c r="B110" s="3" t="s">
        <v>64</v>
      </c>
      <c r="C110" s="58">
        <v>2382.0</v>
      </c>
      <c r="BE110" s="33" t="str">
        <f t="shared" si="1"/>
        <v>#DIV/0!</v>
      </c>
    </row>
    <row r="111">
      <c r="A111" s="2" t="s">
        <v>117</v>
      </c>
      <c r="B111" s="54" t="s">
        <v>64</v>
      </c>
      <c r="C111" s="60">
        <v>2383.0</v>
      </c>
      <c r="BE111" s="33" t="str">
        <f t="shared" si="1"/>
        <v>#DIV/0!</v>
      </c>
    </row>
    <row r="112">
      <c r="A112" s="2" t="s">
        <v>117</v>
      </c>
      <c r="B112" s="54" t="s">
        <v>64</v>
      </c>
      <c r="C112" s="57">
        <v>2384.0</v>
      </c>
      <c r="BE112" s="33" t="str">
        <f t="shared" si="1"/>
        <v>#DIV/0!</v>
      </c>
    </row>
    <row r="113">
      <c r="A113" s="57" t="s">
        <v>136</v>
      </c>
      <c r="B113" s="54" t="s">
        <v>64</v>
      </c>
      <c r="C113" s="57">
        <v>2004.0</v>
      </c>
      <c r="BE113" s="33" t="str">
        <f t="shared" si="1"/>
        <v>#DIV/0!</v>
      </c>
    </row>
    <row r="114">
      <c r="A114" s="57" t="s">
        <v>136</v>
      </c>
      <c r="B114" s="54" t="s">
        <v>64</v>
      </c>
      <c r="C114" s="57">
        <v>2005.0</v>
      </c>
      <c r="BE114" s="33" t="str">
        <f t="shared" si="1"/>
        <v>#DIV/0!</v>
      </c>
    </row>
    <row r="115">
      <c r="A115" s="57" t="s">
        <v>136</v>
      </c>
      <c r="B115" s="54" t="s">
        <v>64</v>
      </c>
      <c r="C115" s="57">
        <v>2006.0</v>
      </c>
      <c r="BE115" s="33" t="str">
        <f t="shared" si="1"/>
        <v>#DIV/0!</v>
      </c>
    </row>
    <row r="116">
      <c r="A116" s="57" t="s">
        <v>136</v>
      </c>
      <c r="B116" s="54" t="s">
        <v>64</v>
      </c>
      <c r="C116" s="57">
        <v>2007.0</v>
      </c>
      <c r="BE116" s="33" t="str">
        <f t="shared" si="1"/>
        <v>#DIV/0!</v>
      </c>
    </row>
    <row r="117">
      <c r="A117" s="57" t="s">
        <v>254</v>
      </c>
      <c r="B117" s="54" t="s">
        <v>139</v>
      </c>
      <c r="BE117" s="33" t="str">
        <f t="shared" si="1"/>
        <v>#DIV/0!</v>
      </c>
    </row>
    <row r="118">
      <c r="A118" s="57" t="s">
        <v>141</v>
      </c>
      <c r="B118" s="54" t="s">
        <v>139</v>
      </c>
      <c r="BE118" s="33" t="str">
        <f t="shared" si="1"/>
        <v>#DIV/0!</v>
      </c>
    </row>
    <row r="119">
      <c r="A119" s="57" t="s">
        <v>136</v>
      </c>
      <c r="B119" s="54" t="s">
        <v>139</v>
      </c>
      <c r="BE119" s="33" t="str">
        <f t="shared" si="1"/>
        <v>#DIV/0!</v>
      </c>
    </row>
    <row r="120">
      <c r="A120" s="57" t="s">
        <v>254</v>
      </c>
      <c r="B120" s="54" t="s">
        <v>144</v>
      </c>
      <c r="BE120" s="33" t="str">
        <f t="shared" si="1"/>
        <v>#DIV/0!</v>
      </c>
    </row>
    <row r="121">
      <c r="A121" s="57" t="s">
        <v>141</v>
      </c>
      <c r="B121" s="54" t="s">
        <v>144</v>
      </c>
      <c r="BE121" s="33" t="str">
        <f t="shared" si="1"/>
        <v>#DIV/0!</v>
      </c>
    </row>
    <row r="122">
      <c r="A122" s="57" t="s">
        <v>136</v>
      </c>
      <c r="B122" s="54" t="s">
        <v>144</v>
      </c>
      <c r="BE122" s="33" t="str">
        <f t="shared" si="1"/>
        <v>#DIV/0!</v>
      </c>
    </row>
    <row r="123">
      <c r="A123" s="57" t="s">
        <v>255</v>
      </c>
      <c r="B123" s="54" t="s">
        <v>58</v>
      </c>
      <c r="C123" s="57">
        <v>2093.0</v>
      </c>
      <c r="BE123" s="33" t="str">
        <f t="shared" si="1"/>
        <v>#DIV/0!</v>
      </c>
    </row>
    <row r="124">
      <c r="A124" s="57" t="s">
        <v>255</v>
      </c>
      <c r="B124" s="54" t="s">
        <v>58</v>
      </c>
      <c r="C124" s="57">
        <v>2092.0</v>
      </c>
      <c r="BE124" s="33" t="str">
        <f t="shared" si="1"/>
        <v>#DIV/0!</v>
      </c>
    </row>
    <row r="125">
      <c r="A125" s="57" t="s">
        <v>255</v>
      </c>
      <c r="B125" s="54" t="s">
        <v>58</v>
      </c>
      <c r="C125" s="57">
        <v>2091.0</v>
      </c>
      <c r="BE125" s="33" t="str">
        <f t="shared" si="1"/>
        <v>#DIV/0!</v>
      </c>
    </row>
    <row r="126">
      <c r="A126" s="57" t="s">
        <v>255</v>
      </c>
      <c r="B126" s="54" t="s">
        <v>149</v>
      </c>
      <c r="C126" s="57">
        <v>2090.0</v>
      </c>
      <c r="BE126" s="33" t="str">
        <f t="shared" si="1"/>
        <v>#DIV/0!</v>
      </c>
    </row>
    <row r="127">
      <c r="A127" s="57" t="s">
        <v>255</v>
      </c>
      <c r="B127" s="54" t="s">
        <v>58</v>
      </c>
      <c r="C127" s="57">
        <v>2089.0</v>
      </c>
      <c r="BE127" s="33" t="str">
        <f t="shared" si="1"/>
        <v>#DIV/0!</v>
      </c>
    </row>
    <row r="128">
      <c r="A128" s="57" t="s">
        <v>255</v>
      </c>
      <c r="B128" s="54" t="s">
        <v>64</v>
      </c>
      <c r="C128" s="57">
        <v>2088.0</v>
      </c>
      <c r="BE128" s="33" t="str">
        <f t="shared" si="1"/>
        <v>#DIV/0!</v>
      </c>
    </row>
    <row r="129">
      <c r="A129" s="57" t="s">
        <v>255</v>
      </c>
      <c r="B129" s="54" t="s">
        <v>64</v>
      </c>
      <c r="C129" s="57">
        <v>2087.0</v>
      </c>
      <c r="BE129" s="33" t="str">
        <f t="shared" si="1"/>
        <v>#DIV/0!</v>
      </c>
    </row>
    <row r="130">
      <c r="A130" s="57" t="s">
        <v>255</v>
      </c>
      <c r="B130" s="54" t="s">
        <v>64</v>
      </c>
      <c r="C130" s="57">
        <v>2086.0</v>
      </c>
      <c r="BE130" s="33" t="str">
        <f t="shared" si="1"/>
        <v>#DIV/0!</v>
      </c>
    </row>
    <row r="131">
      <c r="A131" s="57" t="s">
        <v>255</v>
      </c>
      <c r="B131" s="54" t="s">
        <v>64</v>
      </c>
      <c r="C131" s="57">
        <v>2085.0</v>
      </c>
      <c r="BE131" s="33" t="str">
        <f t="shared" si="1"/>
        <v>#DIV/0!</v>
      </c>
    </row>
    <row r="132">
      <c r="A132" s="57" t="s">
        <v>141</v>
      </c>
      <c r="B132" s="54" t="s">
        <v>64</v>
      </c>
      <c r="C132" s="57">
        <v>2020.0</v>
      </c>
      <c r="BE132" s="33" t="str">
        <f t="shared" si="1"/>
        <v>#DIV/0!</v>
      </c>
    </row>
    <row r="133">
      <c r="A133" s="57" t="s">
        <v>141</v>
      </c>
      <c r="B133" s="54" t="s">
        <v>64</v>
      </c>
      <c r="C133" s="57">
        <v>2021.0</v>
      </c>
      <c r="BE133" s="33" t="str">
        <f t="shared" si="1"/>
        <v>#DIV/0!</v>
      </c>
    </row>
    <row r="134">
      <c r="A134" s="57" t="s">
        <v>141</v>
      </c>
      <c r="B134" s="54" t="s">
        <v>58</v>
      </c>
      <c r="C134" s="57">
        <v>2022.0</v>
      </c>
      <c r="BE134" s="33" t="str">
        <f t="shared" si="1"/>
        <v>#DIV/0!</v>
      </c>
    </row>
    <row r="135">
      <c r="A135" s="57" t="s">
        <v>141</v>
      </c>
      <c r="B135" s="54" t="s">
        <v>58</v>
      </c>
      <c r="C135" s="57">
        <v>2023.0</v>
      </c>
      <c r="BE135" s="33" t="str">
        <f t="shared" si="1"/>
        <v>#DIV/0!</v>
      </c>
    </row>
    <row r="136">
      <c r="A136" s="57" t="s">
        <v>141</v>
      </c>
      <c r="B136" s="54" t="s">
        <v>64</v>
      </c>
      <c r="C136" s="57">
        <v>2024.0</v>
      </c>
      <c r="BE136" s="33" t="str">
        <f t="shared" si="1"/>
        <v>#DIV/0!</v>
      </c>
    </row>
    <row r="137">
      <c r="A137" s="57" t="s">
        <v>141</v>
      </c>
      <c r="B137" s="54" t="s">
        <v>64</v>
      </c>
      <c r="C137" s="57">
        <v>2025.0</v>
      </c>
      <c r="BE137" s="33" t="str">
        <f t="shared" si="1"/>
        <v>#DIV/0!</v>
      </c>
    </row>
    <row r="138">
      <c r="A138" s="57" t="s">
        <v>150</v>
      </c>
      <c r="B138" s="54" t="s">
        <v>64</v>
      </c>
      <c r="C138" s="57">
        <v>2026.0</v>
      </c>
      <c r="BE138" s="33" t="str">
        <f t="shared" si="1"/>
        <v>#DIV/0!</v>
      </c>
    </row>
    <row r="139">
      <c r="A139" s="57" t="s">
        <v>150</v>
      </c>
      <c r="B139" s="54" t="s">
        <v>64</v>
      </c>
      <c r="C139" s="57">
        <v>2027.0</v>
      </c>
      <c r="BE139" s="33" t="str">
        <f t="shared" si="1"/>
        <v>#DIV/0!</v>
      </c>
    </row>
    <row r="140">
      <c r="A140" s="57" t="s">
        <v>150</v>
      </c>
      <c r="B140" s="54"/>
      <c r="C140" s="57">
        <v>2028.0</v>
      </c>
      <c r="BE140" s="33" t="str">
        <f t="shared" si="1"/>
        <v>#DIV/0!</v>
      </c>
    </row>
    <row r="141">
      <c r="A141" s="57" t="s">
        <v>150</v>
      </c>
      <c r="B141" s="54"/>
      <c r="C141" s="57">
        <v>2029.0</v>
      </c>
      <c r="BE141" s="33" t="str">
        <f t="shared" si="1"/>
        <v>#DIV/0!</v>
      </c>
    </row>
    <row r="142">
      <c r="A142" s="57" t="s">
        <v>150</v>
      </c>
      <c r="B142" s="54"/>
      <c r="C142" s="57">
        <v>2030.0</v>
      </c>
      <c r="BE142" s="33" t="str">
        <f t="shared" si="1"/>
        <v>#DIV/0!</v>
      </c>
    </row>
    <row r="143">
      <c r="A143" s="57" t="s">
        <v>150</v>
      </c>
      <c r="B143" s="54"/>
      <c r="C143" s="57">
        <v>2031.0</v>
      </c>
      <c r="BE143" s="33" t="str">
        <f t="shared" si="1"/>
        <v>#DIV/0!</v>
      </c>
    </row>
    <row r="144">
      <c r="A144" s="57" t="s">
        <v>256</v>
      </c>
      <c r="B144" s="54" t="s">
        <v>64</v>
      </c>
      <c r="C144" s="57">
        <v>2012.0</v>
      </c>
      <c r="BE144" s="33" t="str">
        <f t="shared" si="1"/>
        <v>#DIV/0!</v>
      </c>
    </row>
    <row r="145">
      <c r="A145" s="57" t="s">
        <v>256</v>
      </c>
      <c r="B145" s="54" t="s">
        <v>64</v>
      </c>
      <c r="C145" s="57">
        <v>2013.0</v>
      </c>
      <c r="BE145" s="33" t="str">
        <f t="shared" si="1"/>
        <v>#DIV/0!</v>
      </c>
    </row>
    <row r="146">
      <c r="A146" s="57" t="s">
        <v>256</v>
      </c>
      <c r="B146" s="54" t="s">
        <v>64</v>
      </c>
      <c r="C146" s="57">
        <v>2014.0</v>
      </c>
      <c r="BE146" s="33" t="str">
        <f t="shared" si="1"/>
        <v>#DIV/0!</v>
      </c>
    </row>
    <row r="147">
      <c r="A147" s="57" t="s">
        <v>256</v>
      </c>
      <c r="B147" s="54" t="s">
        <v>64</v>
      </c>
      <c r="C147" s="57">
        <v>2015.0</v>
      </c>
      <c r="BE147" s="33" t="str">
        <f t="shared" si="1"/>
        <v>#DIV/0!</v>
      </c>
    </row>
    <row r="148">
      <c r="A148" s="57" t="s">
        <v>256</v>
      </c>
      <c r="B148" s="54" t="s">
        <v>64</v>
      </c>
      <c r="C148" s="57">
        <v>1478.0</v>
      </c>
      <c r="BE148" s="33" t="str">
        <f t="shared" si="1"/>
        <v>#DIV/0!</v>
      </c>
    </row>
    <row r="149">
      <c r="B149" s="54"/>
      <c r="C149" s="57">
        <v>2011.0</v>
      </c>
      <c r="BE149" s="33" t="str">
        <f t="shared" si="1"/>
        <v>#DIV/0!</v>
      </c>
    </row>
    <row r="150">
      <c r="A150" s="57" t="s">
        <v>257</v>
      </c>
      <c r="B150" s="54" t="s">
        <v>64</v>
      </c>
      <c r="C150" s="57">
        <v>2010.0</v>
      </c>
      <c r="BE150" s="33" t="str">
        <f t="shared" si="1"/>
        <v>#DIV/0!</v>
      </c>
    </row>
    <row r="151">
      <c r="A151" s="57" t="s">
        <v>258</v>
      </c>
      <c r="B151" s="54" t="s">
        <v>64</v>
      </c>
      <c r="C151" s="57">
        <v>2009.0</v>
      </c>
      <c r="BE151" s="33" t="str">
        <f t="shared" si="1"/>
        <v>#DIV/0!</v>
      </c>
    </row>
    <row r="152">
      <c r="B152" s="3"/>
      <c r="C152" s="57">
        <v>2008.0</v>
      </c>
      <c r="BE152" s="33" t="str">
        <f t="shared" si="1"/>
        <v>#DIV/0!</v>
      </c>
    </row>
    <row r="153">
      <c r="B153" s="54" t="s">
        <v>64</v>
      </c>
      <c r="C153" s="57">
        <v>2032.0</v>
      </c>
      <c r="BE153" s="33" t="str">
        <f t="shared" si="1"/>
        <v>#DIV/0!</v>
      </c>
    </row>
    <row r="154">
      <c r="B154" s="54" t="s">
        <v>64</v>
      </c>
      <c r="C154" s="57">
        <v>2385.0</v>
      </c>
      <c r="BE154" s="33" t="str">
        <f t="shared" si="1"/>
        <v>#DIV/0!</v>
      </c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2" t="s">
        <v>200</v>
      </c>
      <c r="B1" s="1"/>
      <c r="C1" s="1"/>
    </row>
    <row r="3">
      <c r="A3" s="12" t="s">
        <v>1</v>
      </c>
      <c r="B3" s="38" t="s">
        <v>201</v>
      </c>
      <c r="C3" s="12"/>
    </row>
    <row r="4">
      <c r="A4" s="12" t="s">
        <v>3</v>
      </c>
      <c r="B4" s="73">
        <v>44685.0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203</v>
      </c>
      <c r="H6" s="30" t="s">
        <v>204</v>
      </c>
      <c r="I6" s="30" t="s">
        <v>205</v>
      </c>
      <c r="J6" s="30" t="s">
        <v>206</v>
      </c>
      <c r="K6" s="30" t="s">
        <v>207</v>
      </c>
      <c r="L6" s="30" t="s">
        <v>208</v>
      </c>
      <c r="M6" s="30" t="s">
        <v>209</v>
      </c>
      <c r="N6" s="30" t="s">
        <v>210</v>
      </c>
      <c r="O6" s="30" t="s">
        <v>211</v>
      </c>
      <c r="P6" s="30" t="s">
        <v>212</v>
      </c>
      <c r="Q6" s="30" t="s">
        <v>213</v>
      </c>
      <c r="R6" s="30" t="s">
        <v>214</v>
      </c>
      <c r="S6" s="30" t="s">
        <v>215</v>
      </c>
      <c r="T6" s="30" t="s">
        <v>216</v>
      </c>
      <c r="U6" s="30" t="s">
        <v>217</v>
      </c>
      <c r="V6" s="30" t="s">
        <v>218</v>
      </c>
      <c r="W6" s="30" t="s">
        <v>219</v>
      </c>
      <c r="X6" s="30" t="s">
        <v>220</v>
      </c>
      <c r="Y6" s="30" t="s">
        <v>221</v>
      </c>
      <c r="Z6" s="30" t="s">
        <v>222</v>
      </c>
      <c r="AA6" s="30" t="s">
        <v>223</v>
      </c>
      <c r="AB6" s="30" t="s">
        <v>224</v>
      </c>
      <c r="AC6" s="30" t="s">
        <v>225</v>
      </c>
      <c r="AD6" s="30" t="s">
        <v>226</v>
      </c>
      <c r="AE6" s="30" t="s">
        <v>227</v>
      </c>
      <c r="AF6" s="30" t="s">
        <v>228</v>
      </c>
      <c r="AG6" s="30" t="s">
        <v>229</v>
      </c>
      <c r="AH6" s="30" t="s">
        <v>230</v>
      </c>
      <c r="AI6" s="30" t="s">
        <v>231</v>
      </c>
      <c r="AJ6" s="30" t="s">
        <v>232</v>
      </c>
      <c r="AK6" s="30" t="s">
        <v>233</v>
      </c>
      <c r="AL6" s="30" t="s">
        <v>234</v>
      </c>
      <c r="AM6" s="30" t="s">
        <v>235</v>
      </c>
      <c r="AN6" s="30" t="s">
        <v>236</v>
      </c>
      <c r="AO6" s="30" t="s">
        <v>237</v>
      </c>
      <c r="AP6" s="30" t="s">
        <v>238</v>
      </c>
      <c r="AQ6" s="30" t="s">
        <v>239</v>
      </c>
      <c r="AR6" s="30" t="s">
        <v>240</v>
      </c>
      <c r="AS6" s="30" t="s">
        <v>241</v>
      </c>
      <c r="AT6" s="30" t="s">
        <v>242</v>
      </c>
      <c r="AU6" s="30" t="s">
        <v>243</v>
      </c>
      <c r="AV6" s="30" t="s">
        <v>244</v>
      </c>
      <c r="AW6" s="30" t="s">
        <v>245</v>
      </c>
      <c r="AX6" s="30" t="s">
        <v>246</v>
      </c>
      <c r="AY6" s="30" t="s">
        <v>247</v>
      </c>
      <c r="AZ6" s="30" t="s">
        <v>248</v>
      </c>
      <c r="BA6" s="30" t="s">
        <v>249</v>
      </c>
      <c r="BB6" s="30" t="s">
        <v>250</v>
      </c>
      <c r="BC6" s="30" t="s">
        <v>251</v>
      </c>
      <c r="BD6" s="30" t="s">
        <v>252</v>
      </c>
      <c r="BE6" s="30" t="s">
        <v>253</v>
      </c>
      <c r="BF6" s="29" t="s">
        <v>26</v>
      </c>
      <c r="BG6" s="9"/>
      <c r="BH6" s="9"/>
      <c r="BI6" s="9"/>
    </row>
    <row r="7">
      <c r="A7" s="12" t="s">
        <v>57</v>
      </c>
      <c r="B7" s="12" t="s">
        <v>58</v>
      </c>
      <c r="C7" s="12">
        <v>2352.0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</row>
    <row r="31">
      <c r="A31" s="38" t="s">
        <v>70</v>
      </c>
      <c r="B31" s="38" t="s">
        <v>58</v>
      </c>
      <c r="C31" s="38">
        <v>2376.0</v>
      </c>
    </row>
    <row r="32">
      <c r="A32" s="38" t="s">
        <v>70</v>
      </c>
      <c r="B32" s="38" t="s">
        <v>58</v>
      </c>
      <c r="C32" s="38">
        <v>2377.0</v>
      </c>
    </row>
    <row r="33">
      <c r="A33" s="38" t="s">
        <v>70</v>
      </c>
      <c r="B33" s="38" t="s">
        <v>64</v>
      </c>
      <c r="C33" s="38">
        <v>2378.0</v>
      </c>
    </row>
    <row r="34">
      <c r="A34" s="38" t="s">
        <v>70</v>
      </c>
      <c r="B34" s="38" t="s">
        <v>64</v>
      </c>
      <c r="C34" s="38">
        <v>2379.0</v>
      </c>
    </row>
    <row r="35">
      <c r="A35" s="38" t="s">
        <v>70</v>
      </c>
      <c r="B35" s="38" t="s">
        <v>58</v>
      </c>
      <c r="C35" s="38">
        <v>2380.0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</row>
    <row r="47">
      <c r="A47" s="12" t="s">
        <v>74</v>
      </c>
      <c r="B47" s="12" t="s">
        <v>64</v>
      </c>
      <c r="C47" s="12">
        <v>2346.0</v>
      </c>
    </row>
    <row r="48">
      <c r="A48" s="12" t="s">
        <v>74</v>
      </c>
      <c r="B48" s="12" t="s">
        <v>64</v>
      </c>
      <c r="C48" s="12">
        <v>2347.0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</row>
    <row r="92">
      <c r="A92" s="53" t="s">
        <v>107</v>
      </c>
      <c r="B92" s="54" t="s">
        <v>64</v>
      </c>
      <c r="C92" s="55">
        <v>2371.0</v>
      </c>
    </row>
    <row r="93">
      <c r="A93" s="53" t="s">
        <v>108</v>
      </c>
      <c r="B93" s="54" t="s">
        <v>64</v>
      </c>
      <c r="C93" s="55">
        <v>2372.0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</row>
    <row r="111">
      <c r="A111" s="2" t="s">
        <v>117</v>
      </c>
      <c r="B111" s="54" t="s">
        <v>64</v>
      </c>
      <c r="C111" s="60">
        <v>2383.0</v>
      </c>
    </row>
    <row r="112">
      <c r="A112" s="2" t="s">
        <v>117</v>
      </c>
      <c r="B112" s="54" t="s">
        <v>64</v>
      </c>
      <c r="C112" s="57">
        <v>2384.0</v>
      </c>
    </row>
    <row r="113">
      <c r="A113" s="57" t="s">
        <v>136</v>
      </c>
      <c r="B113" s="54" t="s">
        <v>64</v>
      </c>
      <c r="C113" s="57">
        <v>2004.0</v>
      </c>
    </row>
    <row r="114">
      <c r="A114" s="57" t="s">
        <v>136</v>
      </c>
      <c r="B114" s="54" t="s">
        <v>64</v>
      </c>
      <c r="C114" s="57">
        <v>2005.0</v>
      </c>
    </row>
    <row r="115">
      <c r="A115" s="57" t="s">
        <v>136</v>
      </c>
      <c r="B115" s="54" t="s">
        <v>64</v>
      </c>
      <c r="C115" s="57">
        <v>2006.0</v>
      </c>
    </row>
    <row r="116">
      <c r="A116" s="57" t="s">
        <v>136</v>
      </c>
      <c r="B116" s="54" t="s">
        <v>64</v>
      </c>
      <c r="C116" s="57">
        <v>2007.0</v>
      </c>
    </row>
    <row r="117">
      <c r="A117" s="57" t="s">
        <v>254</v>
      </c>
      <c r="B117" s="54" t="s">
        <v>139</v>
      </c>
    </row>
    <row r="118">
      <c r="A118" s="57" t="s">
        <v>141</v>
      </c>
      <c r="B118" s="54" t="s">
        <v>139</v>
      </c>
    </row>
    <row r="119">
      <c r="A119" s="57" t="s">
        <v>136</v>
      </c>
      <c r="B119" s="54" t="s">
        <v>139</v>
      </c>
    </row>
    <row r="120">
      <c r="A120" s="57" t="s">
        <v>254</v>
      </c>
      <c r="B120" s="54" t="s">
        <v>144</v>
      </c>
    </row>
    <row r="121">
      <c r="A121" s="57" t="s">
        <v>141</v>
      </c>
      <c r="B121" s="54" t="s">
        <v>144</v>
      </c>
    </row>
    <row r="122">
      <c r="A122" s="57" t="s">
        <v>136</v>
      </c>
      <c r="B122" s="54" t="s">
        <v>144</v>
      </c>
    </row>
    <row r="123">
      <c r="A123" s="57" t="s">
        <v>255</v>
      </c>
      <c r="B123" s="54" t="s">
        <v>58</v>
      </c>
      <c r="C123" s="57">
        <v>2093.0</v>
      </c>
    </row>
    <row r="124">
      <c r="A124" s="57" t="s">
        <v>255</v>
      </c>
      <c r="B124" s="54" t="s">
        <v>58</v>
      </c>
      <c r="C124" s="57">
        <v>2092.0</v>
      </c>
    </row>
    <row r="125">
      <c r="A125" s="57" t="s">
        <v>255</v>
      </c>
      <c r="B125" s="54" t="s">
        <v>58</v>
      </c>
      <c r="C125" s="57">
        <v>2091.0</v>
      </c>
    </row>
    <row r="126">
      <c r="A126" s="57" t="s">
        <v>255</v>
      </c>
      <c r="B126" s="54" t="s">
        <v>149</v>
      </c>
      <c r="C126" s="57">
        <v>2090.0</v>
      </c>
    </row>
    <row r="127">
      <c r="A127" s="57" t="s">
        <v>255</v>
      </c>
      <c r="B127" s="54" t="s">
        <v>58</v>
      </c>
      <c r="C127" s="57">
        <v>2089.0</v>
      </c>
    </row>
    <row r="128">
      <c r="A128" s="57" t="s">
        <v>255</v>
      </c>
      <c r="B128" s="54" t="s">
        <v>64</v>
      </c>
      <c r="C128" s="57">
        <v>2088.0</v>
      </c>
    </row>
    <row r="129">
      <c r="A129" s="57" t="s">
        <v>255</v>
      </c>
      <c r="B129" s="54" t="s">
        <v>64</v>
      </c>
      <c r="C129" s="57">
        <v>2087.0</v>
      </c>
    </row>
    <row r="130">
      <c r="A130" s="57" t="s">
        <v>255</v>
      </c>
      <c r="B130" s="54" t="s">
        <v>64</v>
      </c>
      <c r="C130" s="57">
        <v>2086.0</v>
      </c>
    </row>
    <row r="131">
      <c r="A131" s="57" t="s">
        <v>255</v>
      </c>
      <c r="B131" s="54" t="s">
        <v>64</v>
      </c>
      <c r="C131" s="57">
        <v>2085.0</v>
      </c>
    </row>
    <row r="132">
      <c r="A132" s="57" t="s">
        <v>141</v>
      </c>
      <c r="B132" s="54" t="s">
        <v>64</v>
      </c>
      <c r="C132" s="57">
        <v>2020.0</v>
      </c>
    </row>
    <row r="133">
      <c r="A133" s="57" t="s">
        <v>141</v>
      </c>
      <c r="B133" s="54" t="s">
        <v>64</v>
      </c>
      <c r="C133" s="57">
        <v>2021.0</v>
      </c>
    </row>
    <row r="134">
      <c r="A134" s="57" t="s">
        <v>141</v>
      </c>
      <c r="B134" s="54" t="s">
        <v>58</v>
      </c>
      <c r="C134" s="57">
        <v>2022.0</v>
      </c>
    </row>
    <row r="135">
      <c r="A135" s="57" t="s">
        <v>141</v>
      </c>
      <c r="B135" s="54" t="s">
        <v>58</v>
      </c>
      <c r="C135" s="57">
        <v>2023.0</v>
      </c>
    </row>
    <row r="136">
      <c r="A136" s="57" t="s">
        <v>141</v>
      </c>
      <c r="B136" s="54" t="s">
        <v>64</v>
      </c>
      <c r="C136" s="57">
        <v>2024.0</v>
      </c>
    </row>
    <row r="137">
      <c r="A137" s="57" t="s">
        <v>141</v>
      </c>
      <c r="B137" s="54" t="s">
        <v>64</v>
      </c>
      <c r="C137" s="57">
        <v>2025.0</v>
      </c>
    </row>
    <row r="138">
      <c r="A138" s="57" t="s">
        <v>150</v>
      </c>
      <c r="B138" s="54" t="s">
        <v>64</v>
      </c>
      <c r="C138" s="57">
        <v>2026.0</v>
      </c>
    </row>
    <row r="139">
      <c r="A139" s="57" t="s">
        <v>150</v>
      </c>
      <c r="B139" s="54" t="s">
        <v>64</v>
      </c>
      <c r="C139" s="57">
        <v>2027.0</v>
      </c>
    </row>
    <row r="140">
      <c r="A140" s="57" t="s">
        <v>150</v>
      </c>
      <c r="B140" s="54"/>
      <c r="C140" s="57">
        <v>2028.0</v>
      </c>
    </row>
    <row r="141">
      <c r="A141" s="57" t="s">
        <v>150</v>
      </c>
      <c r="B141" s="54"/>
      <c r="C141" s="57">
        <v>2029.0</v>
      </c>
    </row>
    <row r="142">
      <c r="A142" s="57" t="s">
        <v>150</v>
      </c>
      <c r="B142" s="54"/>
      <c r="C142" s="57">
        <v>2030.0</v>
      </c>
    </row>
    <row r="143">
      <c r="A143" s="57" t="s">
        <v>150</v>
      </c>
      <c r="B143" s="54"/>
      <c r="C143" s="57">
        <v>2031.0</v>
      </c>
    </row>
    <row r="144">
      <c r="A144" s="57" t="s">
        <v>256</v>
      </c>
      <c r="B144" s="54" t="s">
        <v>64</v>
      </c>
      <c r="C144" s="57">
        <v>2012.0</v>
      </c>
    </row>
    <row r="145">
      <c r="A145" s="57" t="s">
        <v>256</v>
      </c>
      <c r="B145" s="54" t="s">
        <v>64</v>
      </c>
      <c r="C145" s="57">
        <v>2013.0</v>
      </c>
    </row>
    <row r="146">
      <c r="A146" s="57" t="s">
        <v>256</v>
      </c>
      <c r="B146" s="54" t="s">
        <v>64</v>
      </c>
      <c r="C146" s="57">
        <v>2014.0</v>
      </c>
    </row>
    <row r="147">
      <c r="A147" s="57" t="s">
        <v>256</v>
      </c>
      <c r="B147" s="54" t="s">
        <v>64</v>
      </c>
      <c r="C147" s="57">
        <v>2015.0</v>
      </c>
    </row>
    <row r="148">
      <c r="A148" s="57" t="s">
        <v>256</v>
      </c>
      <c r="B148" s="54" t="s">
        <v>64</v>
      </c>
      <c r="C148" s="57">
        <v>1478.0</v>
      </c>
    </row>
    <row r="149">
      <c r="B149" s="54"/>
      <c r="C149" s="57">
        <v>2011.0</v>
      </c>
    </row>
    <row r="150">
      <c r="A150" s="57" t="s">
        <v>257</v>
      </c>
      <c r="B150" s="54" t="s">
        <v>64</v>
      </c>
      <c r="C150" s="57">
        <v>2010.0</v>
      </c>
    </row>
    <row r="151">
      <c r="A151" s="57" t="s">
        <v>258</v>
      </c>
      <c r="B151" s="54" t="s">
        <v>64</v>
      </c>
      <c r="C151" s="57">
        <v>2009.0</v>
      </c>
    </row>
    <row r="152">
      <c r="B152" s="3"/>
      <c r="C152" s="57">
        <v>2008.0</v>
      </c>
    </row>
    <row r="153">
      <c r="B153" s="54" t="s">
        <v>64</v>
      </c>
      <c r="C153" s="57">
        <v>2032.0</v>
      </c>
    </row>
    <row r="154">
      <c r="B154" s="54" t="s">
        <v>64</v>
      </c>
      <c r="C154" s="57">
        <v>2385.0</v>
      </c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71"/>
    <col customWidth="1" min="2" max="2" width="8.57"/>
    <col customWidth="1" min="3" max="3" width="7.71"/>
    <col customWidth="1" min="4" max="4" width="6.57"/>
    <col customWidth="1" min="5" max="5" width="11.0"/>
    <col customWidth="1" min="6" max="7" width="8.14"/>
    <col customWidth="1" min="8" max="8" width="8.86"/>
    <col customWidth="1" min="9" max="9" width="7.57"/>
    <col customWidth="1" min="10" max="10" width="8.71"/>
    <col customWidth="1" min="11" max="11" width="8.29"/>
    <col customWidth="1" min="12" max="12" width="7.29"/>
  </cols>
  <sheetData>
    <row r="1">
      <c r="A1" s="68" t="s">
        <v>12</v>
      </c>
      <c r="B1" s="68" t="s">
        <v>152</v>
      </c>
      <c r="C1" s="68" t="s">
        <v>153</v>
      </c>
      <c r="D1" s="68" t="s">
        <v>154</v>
      </c>
      <c r="E1" s="68" t="s">
        <v>155</v>
      </c>
      <c r="F1" s="68" t="s">
        <v>156</v>
      </c>
      <c r="G1" s="68" t="s">
        <v>157</v>
      </c>
      <c r="H1" s="68" t="s">
        <v>158</v>
      </c>
      <c r="I1" s="68" t="s">
        <v>159</v>
      </c>
      <c r="J1" s="68" t="s">
        <v>160</v>
      </c>
      <c r="K1" s="68" t="s">
        <v>161</v>
      </c>
      <c r="L1" s="68" t="s">
        <v>162</v>
      </c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>
      <c r="A2" s="57" t="s">
        <v>59</v>
      </c>
      <c r="B2" s="57">
        <v>2345.0</v>
      </c>
      <c r="C2" s="57">
        <v>1.0</v>
      </c>
      <c r="D2" s="57">
        <v>1.0</v>
      </c>
      <c r="F2" s="57">
        <v>2.701</v>
      </c>
      <c r="G2" s="57">
        <v>1.512</v>
      </c>
      <c r="H2" s="57">
        <v>0.835</v>
      </c>
      <c r="I2" s="57">
        <v>0.442</v>
      </c>
      <c r="J2" s="57">
        <v>12.22</v>
      </c>
      <c r="K2" s="33">
        <f>average(2.18,2.12,2.09,2.15)</f>
        <v>2.135</v>
      </c>
      <c r="L2" s="70">
        <v>44628.0</v>
      </c>
    </row>
    <row r="3">
      <c r="A3" s="57" t="s">
        <v>59</v>
      </c>
      <c r="B3" s="57">
        <v>2380.0</v>
      </c>
      <c r="C3" s="57">
        <v>3.0</v>
      </c>
      <c r="D3" s="57">
        <v>1.0</v>
      </c>
      <c r="F3" s="57">
        <v>1.067</v>
      </c>
      <c r="G3" s="57">
        <v>0.647</v>
      </c>
      <c r="H3" s="57">
        <v>0.453</v>
      </c>
      <c r="I3" s="57">
        <v>0.24</v>
      </c>
      <c r="J3" s="57">
        <v>7.29</v>
      </c>
      <c r="K3" s="33">
        <f>average(1.69,1.64,1.57,1.59)</f>
        <v>1.6225</v>
      </c>
      <c r="L3" s="70">
        <v>44628.0</v>
      </c>
    </row>
    <row r="4">
      <c r="A4" s="57" t="s">
        <v>59</v>
      </c>
      <c r="B4" s="57">
        <v>2377.0</v>
      </c>
      <c r="C4" s="57">
        <v>1.0</v>
      </c>
      <c r="D4" s="57">
        <v>0.0</v>
      </c>
      <c r="F4" s="57">
        <v>0.528</v>
      </c>
      <c r="G4" s="57">
        <v>0.147</v>
      </c>
      <c r="H4" s="57">
        <v>0.065</v>
      </c>
      <c r="I4" s="57">
        <v>0.019</v>
      </c>
      <c r="J4" s="57">
        <v>2.47</v>
      </c>
      <c r="K4" s="33">
        <f>average(0.91,0.75,0.86,0.91)</f>
        <v>0.8575</v>
      </c>
      <c r="L4" s="70">
        <v>44628.0</v>
      </c>
    </row>
    <row r="5">
      <c r="A5" s="57" t="s">
        <v>59</v>
      </c>
      <c r="B5" s="57">
        <v>2352.0</v>
      </c>
      <c r="C5" s="57">
        <v>1.0</v>
      </c>
      <c r="D5" s="57">
        <v>1.0</v>
      </c>
      <c r="F5" s="57">
        <v>1.105</v>
      </c>
      <c r="G5" s="57">
        <v>0.717</v>
      </c>
      <c r="H5" s="57">
        <v>0.283</v>
      </c>
      <c r="I5" s="57">
        <v>0.154</v>
      </c>
      <c r="J5" s="57">
        <v>8.31</v>
      </c>
      <c r="K5" s="33">
        <f>average(1.37,1.38,1.37,1.5)</f>
        <v>1.405</v>
      </c>
      <c r="L5" s="70">
        <v>44628.0</v>
      </c>
    </row>
    <row r="6">
      <c r="A6" s="57" t="s">
        <v>163</v>
      </c>
      <c r="B6" s="57">
        <v>2004.0</v>
      </c>
      <c r="C6" s="57">
        <v>3.0</v>
      </c>
      <c r="D6" s="57">
        <v>0.0</v>
      </c>
      <c r="F6" s="57">
        <v>0.274</v>
      </c>
      <c r="G6" s="57">
        <v>0.083</v>
      </c>
      <c r="H6" s="57">
        <v>0.056</v>
      </c>
      <c r="I6" s="57">
        <v>0.016</v>
      </c>
      <c r="J6" s="57">
        <v>2.21</v>
      </c>
      <c r="K6" s="57" t="s">
        <v>60</v>
      </c>
      <c r="L6" s="70">
        <v>44628.0</v>
      </c>
    </row>
    <row r="7">
      <c r="A7" s="57" t="s">
        <v>59</v>
      </c>
      <c r="B7" s="57">
        <v>2354.0</v>
      </c>
      <c r="C7" s="57">
        <v>2.0</v>
      </c>
      <c r="D7" s="57">
        <v>1.0</v>
      </c>
      <c r="E7" s="57" t="s">
        <v>164</v>
      </c>
      <c r="F7" s="57">
        <v>1.073</v>
      </c>
      <c r="G7" s="57">
        <v>0.643</v>
      </c>
      <c r="H7" s="57">
        <v>0.155</v>
      </c>
      <c r="I7" s="57">
        <v>0.079</v>
      </c>
      <c r="J7" s="57">
        <v>5.14</v>
      </c>
      <c r="K7" s="33">
        <f>average(1.43,1.47,1.49,1.56)</f>
        <v>1.4875</v>
      </c>
      <c r="L7" s="70">
        <v>44628.0</v>
      </c>
    </row>
    <row r="8">
      <c r="A8" s="57" t="s">
        <v>59</v>
      </c>
      <c r="B8" s="57">
        <v>2377.0</v>
      </c>
      <c r="C8" s="57">
        <v>4.0</v>
      </c>
      <c r="D8" s="57">
        <v>1.0</v>
      </c>
      <c r="E8" s="57" t="s">
        <v>165</v>
      </c>
      <c r="F8" s="57">
        <v>0.204</v>
      </c>
      <c r="G8" s="57">
        <v>0.123</v>
      </c>
      <c r="H8" s="57">
        <v>0.279</v>
      </c>
      <c r="I8" s="57">
        <v>0.132</v>
      </c>
      <c r="J8" s="57">
        <v>4.01</v>
      </c>
      <c r="K8" s="33">
        <f>average(2.12,2.34,2.42,2.18)</f>
        <v>2.265</v>
      </c>
      <c r="L8" s="70">
        <v>44628.0</v>
      </c>
    </row>
    <row r="9">
      <c r="A9" s="57" t="s">
        <v>59</v>
      </c>
      <c r="B9" s="57">
        <v>2354.0</v>
      </c>
      <c r="C9" s="57">
        <v>2.0</v>
      </c>
      <c r="D9" s="57">
        <v>1.0</v>
      </c>
      <c r="E9" s="57" t="s">
        <v>165</v>
      </c>
      <c r="F9" s="57">
        <v>0.205</v>
      </c>
      <c r="G9" s="57">
        <v>0.114</v>
      </c>
      <c r="H9" s="57">
        <v>0.036</v>
      </c>
      <c r="I9" s="57">
        <v>0.017</v>
      </c>
      <c r="J9" s="57">
        <v>1.66</v>
      </c>
      <c r="K9" s="33">
        <f>average(1.14,1.06,1.17,0.99)</f>
        <v>1.09</v>
      </c>
      <c r="L9" s="70">
        <v>44628.0</v>
      </c>
    </row>
    <row r="10">
      <c r="A10" s="57" t="s">
        <v>59</v>
      </c>
      <c r="B10" s="57">
        <v>2354.0</v>
      </c>
      <c r="C10" s="57">
        <v>2.0</v>
      </c>
      <c r="D10" s="57">
        <v>2.0</v>
      </c>
      <c r="F10" s="57">
        <v>1.671</v>
      </c>
      <c r="G10" s="57">
        <v>0.98</v>
      </c>
      <c r="H10" s="57">
        <v>0.679</v>
      </c>
      <c r="I10" s="57">
        <v>0.346</v>
      </c>
      <c r="J10" s="57">
        <v>9.04</v>
      </c>
      <c r="K10" s="33">
        <f>average(1.81,1.82,1.76,1.84)</f>
        <v>1.8075</v>
      </c>
      <c r="L10" s="70">
        <v>44628.0</v>
      </c>
    </row>
    <row r="11">
      <c r="A11" s="57" t="s">
        <v>59</v>
      </c>
      <c r="B11" s="57">
        <v>2352.0</v>
      </c>
      <c r="C11" s="57">
        <v>4.0</v>
      </c>
      <c r="D11" s="57">
        <v>1.0</v>
      </c>
      <c r="F11" s="57">
        <v>1.394</v>
      </c>
      <c r="G11" s="57">
        <v>0.87</v>
      </c>
      <c r="H11" s="57">
        <v>0.382</v>
      </c>
      <c r="I11" s="57">
        <v>0.221</v>
      </c>
      <c r="J11" s="57">
        <v>11.76</v>
      </c>
      <c r="K11" s="33">
        <f>average(1.69,1.71,1.72,1.76)</f>
        <v>1.72</v>
      </c>
      <c r="L11" s="70">
        <v>44628.0</v>
      </c>
    </row>
    <row r="12">
      <c r="A12" s="57" t="s">
        <v>59</v>
      </c>
      <c r="B12" s="57">
        <v>2376.0</v>
      </c>
      <c r="C12" s="57">
        <v>5.0</v>
      </c>
      <c r="D12" s="57">
        <v>1.0</v>
      </c>
      <c r="F12" s="57">
        <v>0.681</v>
      </c>
      <c r="G12" s="57">
        <v>0.283</v>
      </c>
      <c r="H12" s="57">
        <v>0.055</v>
      </c>
      <c r="I12" s="57">
        <v>0.052</v>
      </c>
      <c r="J12" s="57">
        <v>2.82</v>
      </c>
      <c r="K12" s="33">
        <f>average(1.43,1.32,1.27,1.34)</f>
        <v>1.34</v>
      </c>
      <c r="L12" s="70">
        <v>44628.0</v>
      </c>
    </row>
    <row r="13">
      <c r="A13" s="57" t="s">
        <v>59</v>
      </c>
      <c r="B13" s="57">
        <v>2380.0</v>
      </c>
      <c r="C13" s="57">
        <v>2.0</v>
      </c>
      <c r="D13" s="57">
        <v>1.0</v>
      </c>
      <c r="E13" s="57" t="s">
        <v>164</v>
      </c>
      <c r="F13" s="57">
        <v>2.45</v>
      </c>
      <c r="G13" s="57">
        <v>1.5</v>
      </c>
      <c r="H13" s="57">
        <v>0.56</v>
      </c>
      <c r="I13" s="57">
        <v>0.272</v>
      </c>
      <c r="J13" s="57">
        <v>8.24</v>
      </c>
      <c r="K13" s="33">
        <f>average(2.27,1.86,1.89,1.84)</f>
        <v>1.965</v>
      </c>
      <c r="L13" s="70">
        <v>44628.0</v>
      </c>
    </row>
    <row r="14">
      <c r="A14" s="57" t="s">
        <v>59</v>
      </c>
      <c r="B14" s="57">
        <v>2354.0</v>
      </c>
      <c r="C14" s="57">
        <v>1.0</v>
      </c>
      <c r="D14" s="57">
        <v>1.0</v>
      </c>
      <c r="F14" s="57">
        <v>0.698</v>
      </c>
      <c r="G14" s="57">
        <v>0.398</v>
      </c>
      <c r="H14" s="57">
        <v>0.103</v>
      </c>
      <c r="I14" s="57">
        <v>0.047</v>
      </c>
      <c r="J14" s="57">
        <v>3.81</v>
      </c>
      <c r="K14" s="33">
        <f>average(0.97,1.03,1.18,1.1)</f>
        <v>1.07</v>
      </c>
      <c r="L14" s="70">
        <v>44628.0</v>
      </c>
    </row>
    <row r="15">
      <c r="A15" s="57" t="s">
        <v>59</v>
      </c>
      <c r="B15" s="57">
        <v>2345.0</v>
      </c>
      <c r="C15" s="57">
        <v>2.0</v>
      </c>
      <c r="D15" s="57">
        <v>1.0</v>
      </c>
      <c r="F15" s="57">
        <v>0.932</v>
      </c>
      <c r="G15" s="57">
        <v>0.529</v>
      </c>
      <c r="H15" s="57">
        <v>0.355</v>
      </c>
      <c r="I15" s="57">
        <v>0.176</v>
      </c>
      <c r="J15" s="57">
        <v>4.87</v>
      </c>
      <c r="K15" s="33">
        <f>average(1.74,1.99,1.84,1.81)</f>
        <v>1.845</v>
      </c>
      <c r="L15" s="70">
        <v>44628.0</v>
      </c>
    </row>
    <row r="16">
      <c r="A16" s="57" t="s">
        <v>59</v>
      </c>
      <c r="B16" s="57">
        <v>2354.0</v>
      </c>
      <c r="C16" s="57">
        <v>4.0</v>
      </c>
      <c r="D16" s="57">
        <v>1.0</v>
      </c>
      <c r="F16" s="57">
        <v>0.468</v>
      </c>
      <c r="G16" s="57">
        <v>0.268</v>
      </c>
      <c r="H16" s="57">
        <v>0.107</v>
      </c>
      <c r="I16" s="57">
        <v>0.051</v>
      </c>
      <c r="J16" s="57">
        <v>4.53</v>
      </c>
      <c r="K16" s="33">
        <f>average(1.21,1.08,1.01,1.02)</f>
        <v>1.08</v>
      </c>
      <c r="L16" s="70">
        <v>44628.0</v>
      </c>
    </row>
    <row r="17">
      <c r="A17" s="57" t="s">
        <v>59</v>
      </c>
      <c r="B17" s="57">
        <v>2376.0</v>
      </c>
      <c r="C17" s="57">
        <v>2.0</v>
      </c>
      <c r="D17" s="57">
        <v>1.0</v>
      </c>
      <c r="F17" s="57">
        <v>2.404</v>
      </c>
      <c r="G17" s="57">
        <v>1.156</v>
      </c>
      <c r="H17" s="57">
        <v>0.291</v>
      </c>
      <c r="I17" s="57">
        <v>0.123</v>
      </c>
      <c r="J17" s="57">
        <v>5.27</v>
      </c>
      <c r="K17" s="33">
        <f>average(1.56,1.57,1.58,1.63)</f>
        <v>1.585</v>
      </c>
      <c r="L17" s="70">
        <v>44628.0</v>
      </c>
    </row>
    <row r="18">
      <c r="A18" s="57" t="s">
        <v>163</v>
      </c>
      <c r="B18" s="57">
        <v>2004.0</v>
      </c>
      <c r="C18" s="57">
        <v>4.0</v>
      </c>
      <c r="D18" s="57">
        <v>0.0</v>
      </c>
      <c r="F18" s="57">
        <v>0.349</v>
      </c>
      <c r="G18" s="57">
        <v>0.112</v>
      </c>
      <c r="H18" s="57">
        <v>0.094</v>
      </c>
      <c r="I18" s="57">
        <v>0.023</v>
      </c>
      <c r="J18" s="57">
        <v>2.78</v>
      </c>
      <c r="K18" s="57" t="s">
        <v>60</v>
      </c>
      <c r="L18" s="70">
        <v>44628.0</v>
      </c>
    </row>
    <row r="19">
      <c r="A19" s="57" t="s">
        <v>59</v>
      </c>
      <c r="B19" s="57">
        <v>2380.0</v>
      </c>
      <c r="C19" s="57">
        <v>1.0</v>
      </c>
      <c r="D19" s="57">
        <v>1.0</v>
      </c>
      <c r="E19" s="57" t="s">
        <v>164</v>
      </c>
      <c r="F19" s="57">
        <v>1.373</v>
      </c>
      <c r="G19" s="57">
        <v>0.857</v>
      </c>
      <c r="H19" s="57">
        <v>0.215</v>
      </c>
      <c r="I19" s="57">
        <v>0.131</v>
      </c>
      <c r="J19" s="57">
        <v>3.56</v>
      </c>
      <c r="K19" s="33">
        <f>average(1.9,1.68,1.72,1.74)</f>
        <v>1.76</v>
      </c>
      <c r="L19" s="70">
        <v>44628.0</v>
      </c>
    </row>
    <row r="20">
      <c r="A20" s="57" t="s">
        <v>59</v>
      </c>
      <c r="B20" s="57">
        <v>2301.0</v>
      </c>
      <c r="C20" s="57">
        <v>3.0</v>
      </c>
      <c r="D20" s="57">
        <v>1.0</v>
      </c>
      <c r="F20" s="57">
        <v>5.231</v>
      </c>
      <c r="G20" s="57">
        <v>2.854</v>
      </c>
      <c r="H20" s="57">
        <v>0.707</v>
      </c>
      <c r="I20" s="57">
        <v>0.358</v>
      </c>
      <c r="J20" s="57">
        <v>11.05</v>
      </c>
      <c r="K20" s="33">
        <f>average(2.19,2.16,2.18,2.29)</f>
        <v>2.205</v>
      </c>
      <c r="L20" s="70">
        <v>44628.0</v>
      </c>
    </row>
    <row r="21">
      <c r="A21" s="57" t="s">
        <v>59</v>
      </c>
      <c r="B21" s="57">
        <v>2380.0</v>
      </c>
      <c r="C21" s="57">
        <v>4.0</v>
      </c>
      <c r="D21" s="57">
        <v>1.0</v>
      </c>
      <c r="F21" s="57">
        <v>0.959</v>
      </c>
      <c r="G21" s="57">
        <v>0.586</v>
      </c>
      <c r="H21" s="57">
        <v>0.329</v>
      </c>
      <c r="I21" s="57">
        <v>0.191</v>
      </c>
      <c r="J21" s="57">
        <v>5.69</v>
      </c>
      <c r="K21" s="33">
        <f>average(1.65,1.53,1.85,1.83)</f>
        <v>1.715</v>
      </c>
      <c r="L21" s="70">
        <v>44628.0</v>
      </c>
    </row>
    <row r="22">
      <c r="A22" s="57" t="s">
        <v>59</v>
      </c>
      <c r="B22" s="57">
        <v>2376.0</v>
      </c>
      <c r="C22" s="57">
        <v>6.0</v>
      </c>
      <c r="D22" s="57">
        <v>1.0</v>
      </c>
      <c r="F22" s="57">
        <v>0.48</v>
      </c>
      <c r="G22" s="57">
        <v>0.979</v>
      </c>
      <c r="H22" s="57">
        <v>0.094</v>
      </c>
      <c r="I22" s="57">
        <v>0.14</v>
      </c>
      <c r="J22" s="57">
        <v>5.58</v>
      </c>
      <c r="K22" s="33">
        <f>average(1.6,1.62,1.5,1.63)</f>
        <v>1.5875</v>
      </c>
      <c r="L22" s="70">
        <v>44628.0</v>
      </c>
    </row>
    <row r="23">
      <c r="A23" s="57" t="s">
        <v>59</v>
      </c>
      <c r="B23" s="57">
        <v>2376.0</v>
      </c>
      <c r="C23" s="57">
        <v>1.0</v>
      </c>
      <c r="D23" s="57">
        <v>1.0</v>
      </c>
      <c r="F23" s="57">
        <v>1.671</v>
      </c>
      <c r="G23" s="57">
        <v>1.375</v>
      </c>
      <c r="H23" s="57">
        <v>0.265</v>
      </c>
      <c r="I23" s="57">
        <v>0.149</v>
      </c>
      <c r="J23" s="57">
        <v>5.57</v>
      </c>
      <c r="K23" s="33">
        <f>average(1.75,1.66,1.66,1.71)</f>
        <v>1.695</v>
      </c>
      <c r="L23" s="70">
        <v>44628.0</v>
      </c>
    </row>
    <row r="24">
      <c r="A24" s="57" t="s">
        <v>163</v>
      </c>
      <c r="B24" s="57">
        <v>2005.0</v>
      </c>
      <c r="C24" s="57">
        <v>3.0</v>
      </c>
      <c r="D24" s="57">
        <v>0.0</v>
      </c>
      <c r="F24" s="57">
        <v>2.067</v>
      </c>
      <c r="G24" s="57">
        <v>0.689</v>
      </c>
      <c r="H24" s="57">
        <v>0.214</v>
      </c>
      <c r="I24" s="57">
        <v>0.066</v>
      </c>
      <c r="J24" s="57">
        <v>3.47</v>
      </c>
      <c r="K24" s="57" t="s">
        <v>60</v>
      </c>
      <c r="L24" s="70">
        <v>44628.0</v>
      </c>
    </row>
    <row r="25">
      <c r="A25" s="57" t="s">
        <v>59</v>
      </c>
      <c r="B25" s="57">
        <v>2377.0</v>
      </c>
      <c r="C25" s="57">
        <v>1.0</v>
      </c>
      <c r="D25" s="57">
        <v>1.0</v>
      </c>
      <c r="E25" s="57" t="s">
        <v>164</v>
      </c>
      <c r="F25" s="57">
        <v>0.337</v>
      </c>
      <c r="G25" s="57">
        <v>0.194</v>
      </c>
      <c r="H25" s="57">
        <v>0.232</v>
      </c>
      <c r="I25" s="57">
        <v>0.11</v>
      </c>
      <c r="J25" s="57">
        <v>4.05</v>
      </c>
      <c r="K25" s="33">
        <f>average(1.66,1.76,1.8,1.81)</f>
        <v>1.7575</v>
      </c>
      <c r="L25" s="70">
        <v>44628.0</v>
      </c>
    </row>
    <row r="26">
      <c r="A26" s="57" t="s">
        <v>59</v>
      </c>
      <c r="B26" s="57">
        <v>2377.0</v>
      </c>
      <c r="C26" s="57">
        <v>1.0</v>
      </c>
      <c r="D26" s="57">
        <v>1.0</v>
      </c>
      <c r="E26" s="57" t="s">
        <v>165</v>
      </c>
      <c r="F26" s="57">
        <v>0.169</v>
      </c>
      <c r="G26" s="57">
        <v>0.094</v>
      </c>
      <c r="H26" s="57">
        <v>0.057</v>
      </c>
      <c r="I26" s="57">
        <v>0.027</v>
      </c>
      <c r="J26" s="57">
        <v>1.83</v>
      </c>
      <c r="K26" s="33">
        <f>average(1.12,1,1.13,1.04)</f>
        <v>1.0725</v>
      </c>
      <c r="L26" s="70">
        <v>44628.0</v>
      </c>
    </row>
    <row r="27">
      <c r="A27" s="57" t="s">
        <v>59</v>
      </c>
      <c r="B27" s="57">
        <v>2354.0</v>
      </c>
      <c r="C27" s="57">
        <v>1.0</v>
      </c>
      <c r="D27" s="57">
        <v>0.0</v>
      </c>
      <c r="F27" s="57">
        <v>0.299</v>
      </c>
      <c r="G27" s="57">
        <v>0.086</v>
      </c>
      <c r="H27" s="57">
        <v>0.044</v>
      </c>
      <c r="I27" s="57">
        <v>0.012</v>
      </c>
      <c r="J27" s="57">
        <v>2.31</v>
      </c>
      <c r="K27" s="33">
        <f>average(0.49,0.45,0.42,0.47)</f>
        <v>0.4575</v>
      </c>
      <c r="L27" s="70">
        <v>44628.0</v>
      </c>
    </row>
    <row r="28">
      <c r="A28" s="57" t="s">
        <v>163</v>
      </c>
      <c r="B28" s="57">
        <v>2006.0</v>
      </c>
      <c r="C28" s="57">
        <v>3.0</v>
      </c>
      <c r="D28" s="57">
        <v>0.0</v>
      </c>
      <c r="F28" s="57">
        <v>0.55</v>
      </c>
      <c r="G28" s="57">
        <v>0.169</v>
      </c>
      <c r="H28" s="57">
        <v>0.042</v>
      </c>
      <c r="I28" s="57">
        <v>0.012</v>
      </c>
      <c r="J28" s="57">
        <v>1.1</v>
      </c>
      <c r="K28" s="57" t="s">
        <v>60</v>
      </c>
      <c r="L28" s="70">
        <v>44628.0</v>
      </c>
    </row>
    <row r="29">
      <c r="A29" s="57" t="s">
        <v>59</v>
      </c>
      <c r="B29" s="57">
        <v>2377.0</v>
      </c>
      <c r="C29" s="57">
        <v>6.0</v>
      </c>
      <c r="D29" s="57">
        <v>1.0</v>
      </c>
      <c r="F29" s="57">
        <v>0.698</v>
      </c>
      <c r="G29" s="57">
        <v>0.386</v>
      </c>
      <c r="H29" s="57">
        <v>0.155</v>
      </c>
      <c r="I29" s="57">
        <v>0.077</v>
      </c>
      <c r="J29" s="57">
        <v>5.13</v>
      </c>
      <c r="K29" s="33">
        <f>average(1.39,1.43,1.53,1.59)</f>
        <v>1.485</v>
      </c>
      <c r="L29" s="70">
        <v>44628.0</v>
      </c>
    </row>
    <row r="30">
      <c r="A30" s="57" t="s">
        <v>59</v>
      </c>
      <c r="B30" s="57">
        <v>2331.0</v>
      </c>
      <c r="C30" s="57">
        <v>6.0</v>
      </c>
      <c r="D30" s="57">
        <v>1.0</v>
      </c>
      <c r="F30" s="57">
        <v>0.644</v>
      </c>
      <c r="G30" s="57">
        <v>0.366</v>
      </c>
      <c r="H30" s="57">
        <v>0.164</v>
      </c>
      <c r="I30" s="57">
        <v>0.082</v>
      </c>
      <c r="J30" s="57">
        <v>4.53</v>
      </c>
      <c r="K30" s="33">
        <f>average(1.26,1.38,1.33,1.35)</f>
        <v>1.33</v>
      </c>
      <c r="L30" s="70">
        <v>44628.0</v>
      </c>
    </row>
    <row r="31">
      <c r="A31" s="57" t="s">
        <v>59</v>
      </c>
      <c r="B31" s="57">
        <v>2376.0</v>
      </c>
      <c r="C31" s="57">
        <v>3.0</v>
      </c>
      <c r="D31" s="57">
        <v>1.0</v>
      </c>
      <c r="F31" s="57">
        <v>2.035</v>
      </c>
      <c r="G31" s="57">
        <v>1.059</v>
      </c>
      <c r="H31" s="57">
        <v>0.243</v>
      </c>
      <c r="I31" s="57">
        <v>0.122</v>
      </c>
      <c r="J31" s="57">
        <v>5.16</v>
      </c>
      <c r="K31" s="33">
        <f>average(1.57,1.58,1.59,1.61)</f>
        <v>1.5875</v>
      </c>
      <c r="L31" s="70">
        <v>44628.0</v>
      </c>
    </row>
    <row r="32">
      <c r="A32" s="57" t="s">
        <v>59</v>
      </c>
      <c r="B32" s="57">
        <v>2377.0</v>
      </c>
      <c r="C32" s="57">
        <v>3.0</v>
      </c>
      <c r="D32" s="57">
        <v>2.0</v>
      </c>
      <c r="F32" s="57">
        <v>2.334</v>
      </c>
      <c r="G32" s="57">
        <v>1.341</v>
      </c>
      <c r="H32" s="57">
        <v>0.847</v>
      </c>
      <c r="I32" s="57">
        <v>0.435</v>
      </c>
      <c r="J32" s="57">
        <v>12.85</v>
      </c>
      <c r="K32" s="33">
        <f>average(2.08,2.25,2.57,2.19)</f>
        <v>2.2725</v>
      </c>
      <c r="L32" s="70">
        <v>44628.0</v>
      </c>
    </row>
    <row r="33">
      <c r="A33" s="57" t="s">
        <v>59</v>
      </c>
      <c r="B33" s="57">
        <v>2377.0</v>
      </c>
      <c r="C33" s="57">
        <v>2.0</v>
      </c>
      <c r="D33" s="57">
        <v>2.0</v>
      </c>
      <c r="F33" s="57">
        <v>1.143</v>
      </c>
      <c r="G33" s="57">
        <v>0.696</v>
      </c>
      <c r="H33" s="57">
        <v>0.288</v>
      </c>
      <c r="I33" s="57">
        <v>0.15</v>
      </c>
      <c r="J33" s="57">
        <v>3.81</v>
      </c>
      <c r="K33" s="33">
        <f>average(1.83,1.6,1.64,1.9)</f>
        <v>1.7425</v>
      </c>
      <c r="L33" s="70">
        <v>44628.0</v>
      </c>
    </row>
    <row r="34">
      <c r="A34" s="57" t="s">
        <v>59</v>
      </c>
      <c r="B34" s="57">
        <v>2345.0</v>
      </c>
      <c r="C34" s="57">
        <v>6.0</v>
      </c>
      <c r="D34" s="57">
        <v>1.0</v>
      </c>
      <c r="F34" s="57">
        <v>2.864</v>
      </c>
      <c r="G34" s="57">
        <v>1.609</v>
      </c>
      <c r="H34" s="57">
        <v>0.706</v>
      </c>
      <c r="I34" s="57">
        <v>0.334</v>
      </c>
      <c r="J34" s="57">
        <v>10.24</v>
      </c>
      <c r="K34" s="33">
        <f>average(1.96,1.81,1.86,2.03)</f>
        <v>1.915</v>
      </c>
      <c r="L34" s="70">
        <v>44628.0</v>
      </c>
    </row>
    <row r="35">
      <c r="A35" s="57" t="s">
        <v>59</v>
      </c>
      <c r="B35" s="57">
        <v>2354.0</v>
      </c>
      <c r="C35" s="57">
        <v>4.0</v>
      </c>
      <c r="D35" s="57">
        <v>2.0</v>
      </c>
      <c r="F35" s="57">
        <v>0.364</v>
      </c>
      <c r="G35" s="57">
        <v>0.218</v>
      </c>
      <c r="H35" s="57">
        <v>0.192</v>
      </c>
      <c r="I35" s="57">
        <v>0.094</v>
      </c>
      <c r="J35" s="57">
        <v>3.38</v>
      </c>
      <c r="K35" s="33">
        <f>average(1.58,1.69,1.58,1.55)</f>
        <v>1.6</v>
      </c>
      <c r="L35" s="70">
        <v>44628.0</v>
      </c>
    </row>
    <row r="36">
      <c r="A36" s="57" t="s">
        <v>59</v>
      </c>
      <c r="B36" s="57">
        <v>2301.0</v>
      </c>
      <c r="C36" s="57">
        <v>5.0</v>
      </c>
      <c r="D36" s="57">
        <v>1.0</v>
      </c>
      <c r="F36" s="57">
        <v>0.99</v>
      </c>
      <c r="G36" s="57">
        <v>0.559</v>
      </c>
      <c r="H36" s="57">
        <v>0.097</v>
      </c>
      <c r="I36" s="57">
        <v>0.047</v>
      </c>
      <c r="J36" s="57">
        <v>1.99</v>
      </c>
      <c r="K36" s="33">
        <f>average(1.52,1.45,1.37,1.42)</f>
        <v>1.44</v>
      </c>
      <c r="L36" s="70">
        <v>44628.0</v>
      </c>
    </row>
    <row r="37">
      <c r="A37" s="57" t="s">
        <v>163</v>
      </c>
      <c r="B37" s="57">
        <v>2005.0</v>
      </c>
      <c r="C37" s="57">
        <v>1.0</v>
      </c>
      <c r="D37" s="57">
        <v>0.0</v>
      </c>
      <c r="F37" s="57">
        <v>0.69</v>
      </c>
      <c r="G37" s="57">
        <v>0.21</v>
      </c>
      <c r="H37" s="57">
        <v>0.081</v>
      </c>
      <c r="I37" s="57">
        <v>0.024</v>
      </c>
      <c r="J37" s="57">
        <v>2.51</v>
      </c>
      <c r="K37" s="57" t="s">
        <v>60</v>
      </c>
      <c r="L37" s="70">
        <v>44628.0</v>
      </c>
    </row>
    <row r="38">
      <c r="A38" s="57" t="s">
        <v>59</v>
      </c>
      <c r="B38" s="57">
        <v>2377.0</v>
      </c>
      <c r="C38" s="57">
        <v>4.0</v>
      </c>
      <c r="D38" s="57">
        <v>0.0</v>
      </c>
      <c r="E38" s="57" t="s">
        <v>164</v>
      </c>
      <c r="F38" s="57">
        <v>1.419</v>
      </c>
      <c r="G38" s="57">
        <v>0.385</v>
      </c>
      <c r="H38" s="57">
        <v>0.087</v>
      </c>
      <c r="I38" s="57">
        <v>0.027</v>
      </c>
      <c r="J38" s="57">
        <v>2.91</v>
      </c>
      <c r="K38" s="33">
        <f>average(1.12,1.02,1.04,0.97)</f>
        <v>1.0375</v>
      </c>
      <c r="L38" s="70">
        <v>44628.0</v>
      </c>
    </row>
    <row r="39">
      <c r="A39" s="57" t="s">
        <v>59</v>
      </c>
      <c r="B39" s="57">
        <v>2331.0</v>
      </c>
      <c r="C39" s="57">
        <v>4.0</v>
      </c>
      <c r="D39" s="57">
        <v>1.0</v>
      </c>
      <c r="F39" s="57">
        <v>1.716</v>
      </c>
      <c r="G39" s="57">
        <v>0.956</v>
      </c>
      <c r="H39" s="57">
        <v>0.288</v>
      </c>
      <c r="I39" s="57">
        <v>0.141</v>
      </c>
      <c r="J39" s="57">
        <v>4.95</v>
      </c>
      <c r="K39" s="33">
        <f>average(1.51,1.54,1.67,1.45)</f>
        <v>1.5425</v>
      </c>
      <c r="L39" s="70">
        <v>44628.0</v>
      </c>
    </row>
    <row r="40">
      <c r="A40" s="57" t="s">
        <v>59</v>
      </c>
      <c r="B40" s="57">
        <v>2352.0</v>
      </c>
      <c r="C40" s="57">
        <v>2.0</v>
      </c>
      <c r="D40" s="57">
        <v>1.0</v>
      </c>
      <c r="F40" s="57">
        <v>1.452</v>
      </c>
      <c r="G40" s="57">
        <v>0.904</v>
      </c>
      <c r="H40" s="57">
        <v>0.508</v>
      </c>
      <c r="I40" s="57">
        <v>0.298</v>
      </c>
      <c r="J40" s="57">
        <v>13.53</v>
      </c>
      <c r="K40" s="33">
        <f>average(1.88,1.97,1.9,1.91)</f>
        <v>1.915</v>
      </c>
      <c r="L40" s="70">
        <v>44628.0</v>
      </c>
    </row>
    <row r="41">
      <c r="A41" s="57" t="s">
        <v>59</v>
      </c>
      <c r="B41" s="57">
        <v>2345.0</v>
      </c>
      <c r="C41" s="57">
        <v>4.0</v>
      </c>
      <c r="D41" s="57">
        <v>1.0</v>
      </c>
      <c r="F41" s="57">
        <v>1.958</v>
      </c>
      <c r="G41" s="57">
        <v>1.07</v>
      </c>
      <c r="H41" s="57">
        <v>0.288</v>
      </c>
      <c r="I41" s="57">
        <v>0.144</v>
      </c>
      <c r="J41" s="57">
        <v>5.96</v>
      </c>
      <c r="K41" s="33">
        <f>average(1.43,1.41,1.5,1.51)</f>
        <v>1.4625</v>
      </c>
      <c r="L41" s="70">
        <v>44628.0</v>
      </c>
    </row>
    <row r="42">
      <c r="A42" s="57" t="s">
        <v>59</v>
      </c>
      <c r="B42" s="57">
        <v>2352.0</v>
      </c>
      <c r="C42" s="57">
        <v>3.0</v>
      </c>
      <c r="D42" s="57">
        <v>1.0</v>
      </c>
      <c r="F42" s="57">
        <v>1.661</v>
      </c>
      <c r="G42" s="57">
        <v>1.08</v>
      </c>
      <c r="H42" s="57">
        <v>0.463</v>
      </c>
      <c r="I42" s="57">
        <v>0.257</v>
      </c>
      <c r="J42" s="57">
        <v>10.7</v>
      </c>
      <c r="K42" s="33">
        <f>average(1.74,1.73,1.69,1.7)</f>
        <v>1.715</v>
      </c>
      <c r="L42" s="70">
        <v>44628.0</v>
      </c>
    </row>
    <row r="43">
      <c r="A43" s="57" t="s">
        <v>163</v>
      </c>
      <c r="B43" s="57">
        <v>2005.0</v>
      </c>
      <c r="C43" s="57">
        <v>4.0</v>
      </c>
      <c r="D43" s="57">
        <v>0.0</v>
      </c>
      <c r="F43" s="57">
        <v>0.828</v>
      </c>
      <c r="G43" s="57">
        <v>0.251</v>
      </c>
      <c r="H43" s="57">
        <v>0.103</v>
      </c>
      <c r="I43" s="57">
        <v>0.029</v>
      </c>
      <c r="J43" s="57">
        <v>2.26</v>
      </c>
      <c r="K43" s="57" t="s">
        <v>60</v>
      </c>
      <c r="L43" s="70">
        <v>44628.0</v>
      </c>
    </row>
    <row r="44">
      <c r="A44" s="57" t="s">
        <v>59</v>
      </c>
      <c r="B44" s="57">
        <v>2345.0</v>
      </c>
      <c r="C44" s="57">
        <v>3.0</v>
      </c>
      <c r="D44" s="57">
        <v>1.0</v>
      </c>
      <c r="F44" s="57">
        <v>1.903</v>
      </c>
      <c r="G44" s="57">
        <v>1.068</v>
      </c>
      <c r="H44" s="57">
        <v>0.446</v>
      </c>
      <c r="I44" s="57">
        <v>0.221</v>
      </c>
      <c r="J44" s="57">
        <v>6.18</v>
      </c>
      <c r="K44" s="33">
        <f>average(1.6,1.63,1.78,2.03)</f>
        <v>1.76</v>
      </c>
      <c r="L44" s="70">
        <v>44628.0</v>
      </c>
    </row>
    <row r="45">
      <c r="A45" s="57" t="s">
        <v>59</v>
      </c>
      <c r="B45" s="57">
        <v>2354.0</v>
      </c>
      <c r="C45" s="57">
        <v>3.0</v>
      </c>
      <c r="D45" s="57">
        <v>1.0</v>
      </c>
      <c r="F45" s="57">
        <v>1.619</v>
      </c>
      <c r="G45" s="57">
        <v>0.982</v>
      </c>
      <c r="H45" s="57">
        <v>0.472</v>
      </c>
      <c r="I45" s="57">
        <v>0.244</v>
      </c>
      <c r="J45" s="57">
        <v>7.82</v>
      </c>
      <c r="K45" s="33">
        <f>average(2.32,2.24,2.51,2.48)</f>
        <v>2.3875</v>
      </c>
      <c r="L45" s="70">
        <v>44628.0</v>
      </c>
    </row>
    <row r="46">
      <c r="A46" s="57" t="s">
        <v>59</v>
      </c>
      <c r="B46" s="57">
        <v>2331.0</v>
      </c>
      <c r="C46" s="57">
        <v>2.0</v>
      </c>
      <c r="D46" s="57">
        <v>1.0</v>
      </c>
      <c r="F46" s="57">
        <v>1.85</v>
      </c>
      <c r="G46" s="57">
        <v>1.057</v>
      </c>
      <c r="H46" s="57">
        <v>0.384</v>
      </c>
      <c r="I46" s="57">
        <v>0.193</v>
      </c>
      <c r="J46" s="57">
        <v>5.68</v>
      </c>
      <c r="K46" s="33">
        <f>average(1.8,1.8,1.86,1.85)</f>
        <v>1.8275</v>
      </c>
      <c r="L46" s="70">
        <v>44628.0</v>
      </c>
    </row>
    <row r="47">
      <c r="A47" s="57" t="s">
        <v>59</v>
      </c>
      <c r="B47" s="57">
        <v>2377.0</v>
      </c>
      <c r="C47" s="57">
        <v>3.0</v>
      </c>
      <c r="D47" s="57">
        <v>1.0</v>
      </c>
      <c r="F47" s="57">
        <v>1.396</v>
      </c>
      <c r="G47" s="57">
        <v>0.77</v>
      </c>
      <c r="H47" s="57">
        <v>0.394</v>
      </c>
      <c r="I47" s="57">
        <v>0.176</v>
      </c>
      <c r="J47" s="57">
        <v>7.43</v>
      </c>
      <c r="K47" s="33">
        <f>average(2.05,1.98,1.98,2.02)</f>
        <v>2.0075</v>
      </c>
      <c r="L47" s="70">
        <v>44628.0</v>
      </c>
    </row>
    <row r="48">
      <c r="A48" s="57" t="s">
        <v>163</v>
      </c>
      <c r="B48" s="57">
        <v>2004.0</v>
      </c>
      <c r="C48" s="57">
        <v>2.0</v>
      </c>
      <c r="D48" s="57">
        <v>0.0</v>
      </c>
      <c r="F48" s="57">
        <v>0.238</v>
      </c>
      <c r="G48" s="57">
        <v>0.045</v>
      </c>
      <c r="H48" s="57">
        <v>0.074</v>
      </c>
      <c r="I48" s="57">
        <v>0.013</v>
      </c>
      <c r="J48" s="57">
        <v>1.64</v>
      </c>
      <c r="K48" s="57" t="s">
        <v>60</v>
      </c>
      <c r="L48" s="70">
        <v>44628.0</v>
      </c>
    </row>
    <row r="49">
      <c r="A49" s="57" t="s">
        <v>59</v>
      </c>
      <c r="B49" s="57">
        <v>2377.0</v>
      </c>
      <c r="C49" s="57">
        <v>4.0</v>
      </c>
      <c r="D49" s="57">
        <v>1.0</v>
      </c>
      <c r="F49" s="57">
        <v>1.797</v>
      </c>
      <c r="G49" s="57">
        <v>1.001</v>
      </c>
      <c r="H49" s="57">
        <v>0.719</v>
      </c>
      <c r="I49" s="57">
        <v>0.34</v>
      </c>
      <c r="J49" s="57">
        <v>8.71</v>
      </c>
      <c r="K49" s="33">
        <f>average(2.08,2.26,2.34,2.1)</f>
        <v>2.195</v>
      </c>
      <c r="L49" s="70">
        <v>44628.0</v>
      </c>
    </row>
    <row r="50">
      <c r="A50" s="57" t="s">
        <v>59</v>
      </c>
      <c r="B50" s="57">
        <v>2301.0</v>
      </c>
      <c r="C50" s="57">
        <v>6.0</v>
      </c>
      <c r="D50" s="57">
        <v>1.0</v>
      </c>
      <c r="F50" s="57">
        <v>3.784</v>
      </c>
      <c r="G50" s="57">
        <v>2.031</v>
      </c>
      <c r="H50" s="57">
        <v>0.572</v>
      </c>
      <c r="I50" s="57">
        <v>0.283</v>
      </c>
      <c r="J50" s="57">
        <v>11.03</v>
      </c>
      <c r="K50" s="33">
        <f>average(1.93,2.02,2.01,2.01)</f>
        <v>1.9925</v>
      </c>
      <c r="L50" s="70">
        <v>44628.0</v>
      </c>
    </row>
    <row r="51">
      <c r="A51" s="57" t="s">
        <v>163</v>
      </c>
      <c r="B51" s="57">
        <v>2006.0</v>
      </c>
      <c r="C51" s="57">
        <v>4.0</v>
      </c>
      <c r="D51" s="57">
        <v>0.0</v>
      </c>
      <c r="F51" s="57">
        <v>0.244</v>
      </c>
      <c r="G51" s="57">
        <v>0.079</v>
      </c>
      <c r="H51" s="57">
        <v>0.043</v>
      </c>
      <c r="I51" s="57">
        <v>0.012</v>
      </c>
      <c r="J51" s="57">
        <v>1.26</v>
      </c>
      <c r="K51" s="57" t="s">
        <v>60</v>
      </c>
      <c r="L51" s="70">
        <v>44628.0</v>
      </c>
    </row>
    <row r="52">
      <c r="A52" s="57" t="s">
        <v>59</v>
      </c>
      <c r="B52" s="57">
        <v>2331.0</v>
      </c>
      <c r="C52" s="57">
        <v>1.0</v>
      </c>
      <c r="D52" s="57">
        <v>1.0</v>
      </c>
      <c r="F52" s="57">
        <v>1.427</v>
      </c>
      <c r="G52" s="57">
        <v>0.844</v>
      </c>
      <c r="H52" s="57">
        <v>0.678</v>
      </c>
      <c r="I52" s="57">
        <v>0.369</v>
      </c>
      <c r="J52" s="57">
        <v>10.76</v>
      </c>
      <c r="K52" s="33">
        <f>average(2.15,2.21,2.19,1.99)</f>
        <v>2.135</v>
      </c>
      <c r="L52" s="70">
        <v>44628.0</v>
      </c>
    </row>
    <row r="53">
      <c r="A53" s="57" t="s">
        <v>163</v>
      </c>
      <c r="B53" s="57">
        <v>2006.0</v>
      </c>
      <c r="C53" s="57">
        <v>2.0</v>
      </c>
      <c r="D53" s="57">
        <v>0.0</v>
      </c>
      <c r="F53" s="57">
        <v>0.26</v>
      </c>
      <c r="G53" s="57">
        <v>0.08</v>
      </c>
      <c r="H53" s="57">
        <v>0.021</v>
      </c>
      <c r="I53" s="57">
        <v>0.006</v>
      </c>
      <c r="J53" s="57">
        <v>0.63</v>
      </c>
      <c r="K53" s="57" t="s">
        <v>60</v>
      </c>
      <c r="L53" s="70">
        <v>44628.0</v>
      </c>
    </row>
    <row r="54">
      <c r="A54" s="57" t="s">
        <v>59</v>
      </c>
      <c r="B54" s="57">
        <v>2377.0</v>
      </c>
      <c r="C54" s="57">
        <v>2.0</v>
      </c>
      <c r="D54" s="57">
        <v>1.0</v>
      </c>
      <c r="F54" s="57">
        <v>1.137</v>
      </c>
      <c r="G54" s="57">
        <v>0.641</v>
      </c>
      <c r="H54" s="57">
        <v>0.621</v>
      </c>
      <c r="I54" s="57">
        <v>0.297</v>
      </c>
      <c r="J54" s="57">
        <v>9.18</v>
      </c>
      <c r="K54" s="33">
        <f>average(2.26,2.39,2.3,2.29)</f>
        <v>2.31</v>
      </c>
      <c r="L54" s="70">
        <v>44628.0</v>
      </c>
    </row>
    <row r="55">
      <c r="A55" s="57" t="s">
        <v>59</v>
      </c>
      <c r="B55" s="57">
        <v>2380.0</v>
      </c>
      <c r="C55" s="57">
        <v>2.0</v>
      </c>
      <c r="D55" s="57">
        <v>1.0</v>
      </c>
      <c r="E55" s="57" t="s">
        <v>165</v>
      </c>
      <c r="F55" s="57">
        <v>1.592</v>
      </c>
      <c r="G55" s="57">
        <v>0.979</v>
      </c>
      <c r="H55" s="57">
        <v>0.224</v>
      </c>
      <c r="I55" s="57">
        <v>0.13</v>
      </c>
      <c r="J55" s="57">
        <v>4.02</v>
      </c>
      <c r="K55" s="33">
        <f>average(1.41,1.43,1.6,1.53)</f>
        <v>1.4925</v>
      </c>
      <c r="L55" s="70">
        <v>44628.0</v>
      </c>
    </row>
    <row r="56">
      <c r="A56" s="57" t="s">
        <v>59</v>
      </c>
      <c r="B56" s="57">
        <v>2301.0</v>
      </c>
      <c r="C56" s="57">
        <v>2.0</v>
      </c>
      <c r="D56" s="57">
        <v>1.0</v>
      </c>
      <c r="F56" s="57">
        <v>0.588</v>
      </c>
      <c r="G56" s="57">
        <v>0.313</v>
      </c>
      <c r="H56" s="57">
        <v>0.997</v>
      </c>
      <c r="I56" s="57">
        <v>0.045</v>
      </c>
      <c r="J56" s="57">
        <v>2.65</v>
      </c>
      <c r="K56" s="33">
        <f>average(1.21,1.09,1.07,1.22)</f>
        <v>1.1475</v>
      </c>
      <c r="L56" s="70">
        <v>44628.0</v>
      </c>
    </row>
    <row r="57">
      <c r="A57" s="57" t="s">
        <v>59</v>
      </c>
      <c r="B57" s="57">
        <v>2331.0</v>
      </c>
      <c r="C57" s="57">
        <v>3.0</v>
      </c>
      <c r="D57" s="57">
        <v>1.0</v>
      </c>
      <c r="F57" s="57">
        <v>1.147</v>
      </c>
      <c r="G57" s="57">
        <v>0.679</v>
      </c>
      <c r="H57" s="57">
        <v>0.33</v>
      </c>
      <c r="I57" s="57">
        <v>0.165</v>
      </c>
      <c r="J57" s="57">
        <v>6.48</v>
      </c>
      <c r="K57" s="33">
        <f>average(1.71,1.68,1.7,1.75)</f>
        <v>1.71</v>
      </c>
      <c r="L57" s="70">
        <v>44628.0</v>
      </c>
    </row>
    <row r="58">
      <c r="A58" s="57" t="s">
        <v>59</v>
      </c>
      <c r="B58" s="57">
        <v>2377.0</v>
      </c>
      <c r="C58" s="57">
        <v>1.0</v>
      </c>
      <c r="D58" s="57">
        <v>1.0</v>
      </c>
      <c r="F58" s="57">
        <v>2.559</v>
      </c>
      <c r="G58" s="57">
        <v>1.405</v>
      </c>
      <c r="H58" s="57">
        <v>0.631</v>
      </c>
      <c r="I58" s="57">
        <v>0.317</v>
      </c>
      <c r="J58" s="57">
        <v>9.61</v>
      </c>
      <c r="K58" s="33">
        <f>average(2.24,2.36,2.16,2.37)</f>
        <v>2.2825</v>
      </c>
      <c r="L58" s="70">
        <v>44628.0</v>
      </c>
    </row>
    <row r="59">
      <c r="A59" s="57" t="s">
        <v>59</v>
      </c>
      <c r="B59" s="57">
        <v>2377.0</v>
      </c>
      <c r="C59" s="57">
        <v>3.0</v>
      </c>
      <c r="D59" s="57">
        <v>1.0</v>
      </c>
      <c r="F59" s="57">
        <v>0.43</v>
      </c>
      <c r="G59" s="57">
        <v>0.253</v>
      </c>
      <c r="H59" s="57">
        <v>0.166</v>
      </c>
      <c r="I59" s="57">
        <v>0.086</v>
      </c>
      <c r="J59" s="57">
        <v>4.26</v>
      </c>
      <c r="K59" s="33">
        <f>average(1.31,1.51,1.36,1.31)</f>
        <v>1.3725</v>
      </c>
      <c r="L59" s="70">
        <v>44628.0</v>
      </c>
    </row>
    <row r="60">
      <c r="A60" s="57" t="s">
        <v>59</v>
      </c>
      <c r="B60" s="57">
        <v>2301.0</v>
      </c>
      <c r="C60" s="57">
        <v>4.0</v>
      </c>
      <c r="D60" s="57">
        <v>1.0</v>
      </c>
      <c r="F60" s="57">
        <v>2.097</v>
      </c>
      <c r="G60" s="57">
        <v>1.164</v>
      </c>
      <c r="H60" s="57">
        <v>0.186</v>
      </c>
      <c r="I60" s="57">
        <v>0.091</v>
      </c>
      <c r="J60" s="57">
        <v>4.99</v>
      </c>
      <c r="K60" s="33">
        <f>average(1.43,1.35,1.25,1.18)</f>
        <v>1.3025</v>
      </c>
      <c r="L60" s="70">
        <v>44628.0</v>
      </c>
    </row>
    <row r="61">
      <c r="A61" s="57" t="s">
        <v>163</v>
      </c>
      <c r="B61" s="57">
        <v>2004.0</v>
      </c>
      <c r="C61" s="57">
        <v>1.0</v>
      </c>
      <c r="D61" s="57">
        <v>0.0</v>
      </c>
      <c r="F61" s="57">
        <v>0.205</v>
      </c>
      <c r="G61" s="57">
        <v>0.065</v>
      </c>
      <c r="H61" s="57">
        <v>0.035</v>
      </c>
      <c r="I61" s="57">
        <v>0.01</v>
      </c>
      <c r="J61" s="57">
        <v>1.47</v>
      </c>
      <c r="K61" s="57" t="s">
        <v>60</v>
      </c>
      <c r="L61" s="70">
        <v>44628.0</v>
      </c>
    </row>
    <row r="62">
      <c r="A62" s="57" t="s">
        <v>59</v>
      </c>
      <c r="B62" s="57">
        <v>2345.0</v>
      </c>
      <c r="C62" s="57">
        <v>5.0</v>
      </c>
      <c r="D62" s="57">
        <v>1.0</v>
      </c>
      <c r="F62" s="57">
        <v>1.742</v>
      </c>
      <c r="G62" s="57">
        <v>0.993</v>
      </c>
      <c r="H62" s="57">
        <v>0.462</v>
      </c>
      <c r="I62" s="57">
        <v>0.216</v>
      </c>
      <c r="J62" s="57">
        <v>7.98</v>
      </c>
      <c r="K62" s="33">
        <f>average(1.62,1.93,1.87,1.53)</f>
        <v>1.7375</v>
      </c>
      <c r="L62" s="70">
        <v>44628.0</v>
      </c>
    </row>
    <row r="63">
      <c r="A63" s="57" t="s">
        <v>59</v>
      </c>
      <c r="B63" s="57">
        <v>2377.0</v>
      </c>
      <c r="C63" s="57">
        <v>5.0</v>
      </c>
      <c r="D63" s="57">
        <v>1.0</v>
      </c>
      <c r="F63" s="57">
        <v>0.735</v>
      </c>
      <c r="G63" s="57">
        <v>0.409</v>
      </c>
      <c r="H63" s="57">
        <v>0.178</v>
      </c>
      <c r="I63" s="57">
        <v>0.089</v>
      </c>
      <c r="J63" s="57">
        <v>5.89</v>
      </c>
      <c r="K63" s="33">
        <f>average(1.57,1.63,1.36,1.44)</f>
        <v>1.5</v>
      </c>
      <c r="L63" s="70">
        <v>44628.0</v>
      </c>
    </row>
    <row r="64">
      <c r="A64" s="57" t="s">
        <v>163</v>
      </c>
      <c r="B64" s="57">
        <v>2005.0</v>
      </c>
      <c r="C64" s="57">
        <v>2.0</v>
      </c>
      <c r="D64" s="57">
        <v>0.0</v>
      </c>
      <c r="F64" s="57">
        <v>1.385</v>
      </c>
      <c r="G64" s="57">
        <v>0.435</v>
      </c>
      <c r="H64" s="57">
        <v>0.144</v>
      </c>
      <c r="I64" s="57">
        <v>0.042</v>
      </c>
      <c r="J64" s="57">
        <v>2.85</v>
      </c>
      <c r="K64" s="57" t="s">
        <v>60</v>
      </c>
      <c r="L64" s="70">
        <v>44628.0</v>
      </c>
    </row>
    <row r="65">
      <c r="A65" s="57" t="s">
        <v>59</v>
      </c>
      <c r="B65" s="57">
        <v>2376.0</v>
      </c>
      <c r="C65" s="57">
        <v>4.0</v>
      </c>
      <c r="D65" s="57">
        <v>1.0</v>
      </c>
      <c r="F65" s="57">
        <v>1.842</v>
      </c>
      <c r="G65" s="57">
        <v>0.388</v>
      </c>
      <c r="H65" s="57">
        <v>0.24</v>
      </c>
      <c r="I65" s="57">
        <v>0.027</v>
      </c>
      <c r="J65" s="57">
        <v>1.41</v>
      </c>
      <c r="K65" s="33">
        <f>average(1.16,1.13,1.14,1.18)</f>
        <v>1.1525</v>
      </c>
      <c r="L65" s="70">
        <v>44628.0</v>
      </c>
    </row>
    <row r="66">
      <c r="A66" s="57" t="s">
        <v>59</v>
      </c>
      <c r="B66" s="57">
        <v>2331.0</v>
      </c>
      <c r="C66" s="57">
        <v>5.0</v>
      </c>
      <c r="D66" s="57">
        <v>1.0</v>
      </c>
      <c r="F66" s="57">
        <v>1.105</v>
      </c>
      <c r="G66" s="57">
        <v>0.584</v>
      </c>
      <c r="H66" s="57">
        <v>0.246</v>
      </c>
      <c r="I66" s="57">
        <v>0.125</v>
      </c>
      <c r="J66" s="57">
        <v>4.23</v>
      </c>
      <c r="K66" s="33">
        <f>average(1.44,1.55,1.66,1.48)</f>
        <v>1.5325</v>
      </c>
      <c r="L66" s="70">
        <v>44628.0</v>
      </c>
    </row>
    <row r="67">
      <c r="A67" s="57" t="s">
        <v>59</v>
      </c>
      <c r="B67" s="57">
        <v>2377.0</v>
      </c>
      <c r="C67" s="57">
        <v>4.0</v>
      </c>
      <c r="D67" s="57">
        <v>0.0</v>
      </c>
      <c r="E67" s="57" t="s">
        <v>165</v>
      </c>
      <c r="F67" s="57">
        <v>0.232</v>
      </c>
      <c r="G67" s="57">
        <v>0.065</v>
      </c>
      <c r="H67" s="57">
        <v>0.032</v>
      </c>
      <c r="I67" s="57">
        <v>0.009</v>
      </c>
      <c r="J67" s="57">
        <v>2.22</v>
      </c>
      <c r="K67" s="33">
        <f>average(0.66,0.69,0.55,0.72)</f>
        <v>0.655</v>
      </c>
      <c r="L67" s="70">
        <v>44628.0</v>
      </c>
    </row>
    <row r="68">
      <c r="A68" s="57" t="s">
        <v>59</v>
      </c>
      <c r="B68" s="57">
        <v>2301.0</v>
      </c>
      <c r="C68" s="57">
        <v>1.0</v>
      </c>
      <c r="D68" s="57">
        <v>1.0</v>
      </c>
      <c r="F68" s="57">
        <v>2.02</v>
      </c>
      <c r="G68" s="57">
        <v>1.133</v>
      </c>
      <c r="H68" s="57">
        <v>0.285</v>
      </c>
      <c r="I68" s="57">
        <v>0.143</v>
      </c>
      <c r="J68" s="57">
        <v>7.49</v>
      </c>
      <c r="K68" s="33">
        <f>average(1.69,1.54,1.5,1.59)</f>
        <v>1.58</v>
      </c>
      <c r="L68" s="70">
        <v>44628.0</v>
      </c>
    </row>
    <row r="69">
      <c r="A69" s="57" t="s">
        <v>59</v>
      </c>
      <c r="B69" s="57">
        <v>2377.0</v>
      </c>
      <c r="C69" s="57">
        <v>4.0</v>
      </c>
      <c r="D69" s="57">
        <v>1.0</v>
      </c>
      <c r="E69" s="57" t="s">
        <v>164</v>
      </c>
      <c r="F69" s="57">
        <v>0.491</v>
      </c>
      <c r="G69" s="57">
        <v>0.307</v>
      </c>
      <c r="H69" s="57">
        <v>0.061</v>
      </c>
      <c r="I69" s="57">
        <v>0.032</v>
      </c>
      <c r="J69" s="57">
        <v>1.95</v>
      </c>
      <c r="K69" s="33">
        <f>average(1.48,1.5,1.48,1.53)</f>
        <v>1.4975</v>
      </c>
      <c r="L69" s="70">
        <v>44628.0</v>
      </c>
    </row>
    <row r="70">
      <c r="A70" s="57" t="s">
        <v>59</v>
      </c>
      <c r="B70" s="57">
        <v>2380.0</v>
      </c>
      <c r="C70" s="57">
        <v>1.0</v>
      </c>
      <c r="D70" s="57">
        <v>1.0</v>
      </c>
      <c r="E70" s="57" t="s">
        <v>165</v>
      </c>
      <c r="F70" s="57">
        <v>1.202</v>
      </c>
      <c r="G70" s="57">
        <v>0.738</v>
      </c>
      <c r="H70" s="57">
        <v>0.453</v>
      </c>
      <c r="I70" s="57">
        <v>0.256</v>
      </c>
      <c r="J70" s="57">
        <v>6.86</v>
      </c>
      <c r="K70" s="33">
        <f>average(1.9,1.81,1.7,2.1)</f>
        <v>1.8775</v>
      </c>
      <c r="L70" s="70">
        <v>44628.0</v>
      </c>
    </row>
    <row r="71">
      <c r="A71" s="57" t="s">
        <v>59</v>
      </c>
      <c r="B71" s="57">
        <v>2377.0</v>
      </c>
      <c r="C71" s="57">
        <v>2.0</v>
      </c>
      <c r="D71" s="57">
        <v>1.0</v>
      </c>
      <c r="F71" s="57">
        <v>0.086</v>
      </c>
      <c r="G71" s="57">
        <v>0.056</v>
      </c>
      <c r="H71" s="57">
        <v>0.13</v>
      </c>
      <c r="I71" s="57">
        <v>0.068</v>
      </c>
      <c r="J71" s="57">
        <v>2.65</v>
      </c>
      <c r="K71" s="33">
        <f>average(2.49,2.5,2.51,2.51)</f>
        <v>2.5025</v>
      </c>
      <c r="L71" s="70">
        <v>44628.0</v>
      </c>
    </row>
    <row r="72">
      <c r="A72" s="57" t="s">
        <v>59</v>
      </c>
      <c r="B72" s="57">
        <v>2354.0</v>
      </c>
      <c r="C72" s="57">
        <v>2.0</v>
      </c>
      <c r="D72" s="57">
        <v>0.0</v>
      </c>
      <c r="F72" s="57">
        <v>0.402</v>
      </c>
      <c r="G72" s="57">
        <v>0.111</v>
      </c>
      <c r="H72" s="57">
        <v>0.035</v>
      </c>
      <c r="I72" s="57">
        <v>0.01</v>
      </c>
      <c r="J72" s="57">
        <v>1.64</v>
      </c>
      <c r="K72" s="33">
        <f>average(0.75,0.54,0.69,0.7)</f>
        <v>0.67</v>
      </c>
      <c r="L72" s="70">
        <v>44628.0</v>
      </c>
    </row>
    <row r="73">
      <c r="A73" s="57" t="s">
        <v>163</v>
      </c>
      <c r="B73" s="57">
        <v>2006.0</v>
      </c>
      <c r="C73" s="57">
        <v>1.0</v>
      </c>
      <c r="D73" s="57">
        <v>0.0</v>
      </c>
      <c r="F73" s="57">
        <v>0.434</v>
      </c>
      <c r="G73" s="57">
        <v>0.137</v>
      </c>
      <c r="H73" s="57">
        <v>0.025</v>
      </c>
      <c r="I73" s="57">
        <v>0.007</v>
      </c>
      <c r="J73" s="57">
        <v>0.68</v>
      </c>
      <c r="K73" s="57" t="s">
        <v>60</v>
      </c>
      <c r="L73" s="70">
        <v>44628.0</v>
      </c>
    </row>
    <row r="74">
      <c r="A74" s="57" t="s">
        <v>163</v>
      </c>
      <c r="B74" s="57">
        <v>2027.0</v>
      </c>
      <c r="C74" s="57">
        <v>1.0</v>
      </c>
      <c r="D74" s="57">
        <v>0.0</v>
      </c>
      <c r="F74" s="57">
        <v>0.751</v>
      </c>
      <c r="G74" s="57">
        <v>0.31</v>
      </c>
      <c r="H74" s="57">
        <v>0.037</v>
      </c>
      <c r="I74" s="57">
        <v>0.014</v>
      </c>
      <c r="J74" s="57">
        <v>0.96</v>
      </c>
      <c r="K74" s="57" t="s">
        <v>60</v>
      </c>
      <c r="L74" s="70">
        <v>44635.0</v>
      </c>
    </row>
    <row r="75">
      <c r="A75" s="57" t="s">
        <v>59</v>
      </c>
      <c r="B75" s="57">
        <v>2089.0</v>
      </c>
      <c r="C75" s="57">
        <v>3.0</v>
      </c>
      <c r="D75" s="57">
        <v>1.0</v>
      </c>
      <c r="F75" s="57">
        <v>0.86</v>
      </c>
      <c r="G75" s="57">
        <v>0.523</v>
      </c>
      <c r="H75" s="57">
        <v>0.205</v>
      </c>
      <c r="I75" s="57">
        <v>0.115</v>
      </c>
      <c r="J75" s="57">
        <v>4.65</v>
      </c>
      <c r="K75" s="33">
        <f>average(1.27,1.37,1.02,1.23)</f>
        <v>1.2225</v>
      </c>
      <c r="L75" s="70">
        <v>44635.0</v>
      </c>
    </row>
    <row r="76">
      <c r="A76" s="57" t="s">
        <v>59</v>
      </c>
      <c r="B76" s="57">
        <v>2026.0</v>
      </c>
      <c r="C76" s="57">
        <v>3.0</v>
      </c>
      <c r="D76" s="57">
        <v>0.0</v>
      </c>
      <c r="F76" s="57">
        <v>0.689</v>
      </c>
      <c r="G76" s="57">
        <v>0.332</v>
      </c>
      <c r="H76" s="57">
        <v>0.104</v>
      </c>
      <c r="I76" s="57">
        <v>0.046</v>
      </c>
      <c r="J76" s="57">
        <v>2.55</v>
      </c>
      <c r="K76" s="33">
        <f>average(1.03,1.14,1.07,0.98)</f>
        <v>1.055</v>
      </c>
      <c r="L76" s="70">
        <v>44635.0</v>
      </c>
    </row>
    <row r="77">
      <c r="A77" s="57" t="s">
        <v>59</v>
      </c>
      <c r="B77" s="57">
        <v>2303.0</v>
      </c>
      <c r="C77" s="57">
        <v>1.0</v>
      </c>
      <c r="D77" s="57">
        <v>0.0</v>
      </c>
      <c r="E77" s="57" t="s">
        <v>164</v>
      </c>
      <c r="F77" s="57">
        <v>1.798</v>
      </c>
      <c r="G77" s="57">
        <v>0.939</v>
      </c>
      <c r="H77" s="57">
        <v>0.146</v>
      </c>
      <c r="I77" s="57">
        <v>0.066</v>
      </c>
      <c r="J77" s="57">
        <v>4.03</v>
      </c>
      <c r="K77" s="33">
        <f>average(1.25,1.22,1.16,1.24)</f>
        <v>1.2175</v>
      </c>
      <c r="L77" s="70">
        <v>44635.0</v>
      </c>
    </row>
    <row r="78">
      <c r="A78" s="57" t="s">
        <v>163</v>
      </c>
      <c r="B78" s="57">
        <v>2379.0</v>
      </c>
      <c r="C78" s="57">
        <v>1.0</v>
      </c>
      <c r="D78" s="57">
        <v>0.0</v>
      </c>
      <c r="F78" s="57">
        <v>0.569</v>
      </c>
      <c r="G78" s="57">
        <v>0.265</v>
      </c>
      <c r="H78" s="57">
        <v>0.021</v>
      </c>
      <c r="I78" s="57">
        <v>0.009</v>
      </c>
      <c r="J78" s="57">
        <v>0.83</v>
      </c>
      <c r="K78" s="57" t="s">
        <v>60</v>
      </c>
      <c r="L78" s="70">
        <v>44635.0</v>
      </c>
    </row>
    <row r="79">
      <c r="A79" s="57" t="s">
        <v>59</v>
      </c>
      <c r="B79" s="57">
        <v>2377.0</v>
      </c>
      <c r="C79" s="57">
        <v>3.0</v>
      </c>
      <c r="D79" s="57">
        <v>1.0</v>
      </c>
      <c r="F79" s="57">
        <v>0.773</v>
      </c>
      <c r="G79" s="57">
        <v>0.472</v>
      </c>
      <c r="H79" s="57">
        <v>0.116</v>
      </c>
      <c r="I79" s="57">
        <v>0.064</v>
      </c>
      <c r="J79" s="57">
        <v>1.91</v>
      </c>
      <c r="K79" s="33">
        <f>average(1.43,1.39,1.35,1.37)</f>
        <v>1.385</v>
      </c>
      <c r="L79" s="70">
        <v>44635.0</v>
      </c>
    </row>
    <row r="80">
      <c r="A80" s="57" t="s">
        <v>59</v>
      </c>
      <c r="B80" s="57" t="s">
        <v>166</v>
      </c>
      <c r="C80" s="57">
        <v>2.0</v>
      </c>
      <c r="D80" s="57">
        <v>0.0</v>
      </c>
      <c r="F80" s="57">
        <v>0.208</v>
      </c>
      <c r="G80" s="57">
        <v>0.058</v>
      </c>
      <c r="H80" s="57">
        <v>0.019</v>
      </c>
      <c r="I80" s="57">
        <v>0.007</v>
      </c>
      <c r="J80" s="57">
        <v>0.93</v>
      </c>
      <c r="K80" s="57" t="s">
        <v>60</v>
      </c>
      <c r="L80" s="70">
        <v>44635.0</v>
      </c>
    </row>
    <row r="81">
      <c r="A81" s="57" t="s">
        <v>59</v>
      </c>
      <c r="B81" s="57">
        <v>2091.0</v>
      </c>
      <c r="C81" s="57">
        <v>1.0</v>
      </c>
      <c r="D81" s="57">
        <v>1.0</v>
      </c>
      <c r="F81" s="57">
        <v>1.59</v>
      </c>
      <c r="G81" s="57">
        <v>0.953</v>
      </c>
      <c r="H81" s="57">
        <v>0.21</v>
      </c>
      <c r="I81" s="57">
        <v>0.114</v>
      </c>
      <c r="J81" s="57">
        <v>3.49</v>
      </c>
      <c r="K81" s="33">
        <f>average(1.69,1.71,1.73,1.95)</f>
        <v>1.77</v>
      </c>
      <c r="L81" s="70">
        <v>44635.0</v>
      </c>
    </row>
    <row r="82">
      <c r="A82" s="57" t="s">
        <v>59</v>
      </c>
      <c r="B82" s="57" t="s">
        <v>167</v>
      </c>
      <c r="C82" s="57">
        <v>1.0</v>
      </c>
      <c r="D82" s="57">
        <v>0.0</v>
      </c>
      <c r="F82" s="57">
        <v>0.142</v>
      </c>
      <c r="G82" s="57">
        <v>0.037</v>
      </c>
      <c r="H82" s="57">
        <v>0.021</v>
      </c>
      <c r="I82" s="57">
        <v>0.005</v>
      </c>
      <c r="J82" s="57">
        <v>1.06</v>
      </c>
      <c r="K82" s="57" t="s">
        <v>60</v>
      </c>
      <c r="L82" s="70">
        <v>44635.0</v>
      </c>
    </row>
    <row r="83">
      <c r="A83" s="57" t="s">
        <v>59</v>
      </c>
      <c r="B83" s="57">
        <v>2022.0</v>
      </c>
      <c r="C83" s="57">
        <v>3.0</v>
      </c>
      <c r="D83" s="57">
        <v>1.0</v>
      </c>
      <c r="F83" s="57">
        <v>0.5</v>
      </c>
      <c r="G83" s="57">
        <v>0.292</v>
      </c>
      <c r="H83" s="57">
        <v>0.147</v>
      </c>
      <c r="I83" s="57">
        <v>0.072</v>
      </c>
      <c r="J83" s="57">
        <v>3.07</v>
      </c>
      <c r="K83" s="33">
        <f>average(1.93,1.43,1.66,1.45)</f>
        <v>1.6175</v>
      </c>
      <c r="L83" s="70">
        <v>44635.0</v>
      </c>
    </row>
    <row r="84">
      <c r="A84" s="57" t="s">
        <v>59</v>
      </c>
      <c r="B84" s="57">
        <v>2380.0</v>
      </c>
      <c r="C84" s="57">
        <v>2.0</v>
      </c>
      <c r="D84" s="57">
        <v>1.0</v>
      </c>
      <c r="F84" s="57">
        <v>0.783</v>
      </c>
      <c r="G84" s="57">
        <v>0.453</v>
      </c>
      <c r="H84" s="57">
        <v>0.052</v>
      </c>
      <c r="I84" s="57">
        <v>0.028</v>
      </c>
      <c r="J84" s="57">
        <v>1.59</v>
      </c>
      <c r="K84" s="33">
        <f>average(1.27,1.37,1.21,1.37)</f>
        <v>1.305</v>
      </c>
      <c r="L84" s="70">
        <v>44635.0</v>
      </c>
    </row>
    <row r="85">
      <c r="A85" s="57" t="s">
        <v>163</v>
      </c>
      <c r="B85" s="57">
        <v>2006.0</v>
      </c>
      <c r="C85" s="57">
        <v>1.0</v>
      </c>
      <c r="D85" s="57">
        <v>0.0</v>
      </c>
      <c r="F85" s="57">
        <v>0.459</v>
      </c>
      <c r="G85" s="57">
        <v>0.165</v>
      </c>
      <c r="H85" s="57">
        <v>0.042</v>
      </c>
      <c r="I85" s="57">
        <v>0.015</v>
      </c>
      <c r="J85" s="57">
        <v>1.3</v>
      </c>
      <c r="K85" s="33">
        <f>average(0.82,0.94,0.82,0.78)</f>
        <v>0.84</v>
      </c>
      <c r="L85" s="70">
        <v>44635.0</v>
      </c>
    </row>
    <row r="86">
      <c r="A86" s="57" t="s">
        <v>59</v>
      </c>
      <c r="B86" s="57">
        <v>2023.0</v>
      </c>
      <c r="C86" s="57">
        <v>4.0</v>
      </c>
      <c r="D86" s="57">
        <v>0.0</v>
      </c>
      <c r="E86" s="57" t="s">
        <v>165</v>
      </c>
      <c r="F86" s="57">
        <v>0.761</v>
      </c>
      <c r="G86" s="57">
        <v>0.371</v>
      </c>
      <c r="H86" s="57">
        <v>0.141</v>
      </c>
      <c r="I86" s="57">
        <v>0.058</v>
      </c>
      <c r="J86" s="57">
        <v>2.88</v>
      </c>
      <c r="K86" s="33">
        <f>average(1.03,1.02,0.99,1.13)</f>
        <v>1.0425</v>
      </c>
      <c r="L86" s="70">
        <v>44635.0</v>
      </c>
    </row>
    <row r="87">
      <c r="A87" s="57" t="s">
        <v>59</v>
      </c>
      <c r="B87" s="57">
        <v>2091.0</v>
      </c>
      <c r="C87" s="57">
        <v>2.0</v>
      </c>
      <c r="D87" s="57">
        <v>1.0</v>
      </c>
      <c r="F87" s="57">
        <v>0.984</v>
      </c>
      <c r="G87" s="57">
        <v>0.609</v>
      </c>
      <c r="H87" s="57">
        <v>0.222</v>
      </c>
      <c r="I87" s="57">
        <v>0.132</v>
      </c>
      <c r="J87" s="57">
        <v>3.66</v>
      </c>
      <c r="K87" s="33">
        <f>average(1.53,1.54,1.57,1.56)</f>
        <v>1.55</v>
      </c>
      <c r="L87" s="70">
        <v>44635.0</v>
      </c>
    </row>
    <row r="88">
      <c r="A88" s="57" t="s">
        <v>59</v>
      </c>
      <c r="B88" s="57">
        <v>2023.0</v>
      </c>
      <c r="C88" s="57">
        <v>4.0</v>
      </c>
      <c r="D88" s="57">
        <v>1.0</v>
      </c>
      <c r="F88" s="57">
        <v>0.193</v>
      </c>
      <c r="G88" s="57">
        <v>0.116</v>
      </c>
      <c r="H88" s="57">
        <v>0.085</v>
      </c>
      <c r="I88" s="57">
        <v>0.044</v>
      </c>
      <c r="J88" s="57">
        <v>1.68</v>
      </c>
      <c r="K88" s="33">
        <f>average(1.48,1.53,1.63,1.45)</f>
        <v>1.5225</v>
      </c>
      <c r="L88" s="70">
        <v>44635.0</v>
      </c>
    </row>
    <row r="89">
      <c r="A89" s="57" t="s">
        <v>59</v>
      </c>
      <c r="B89" s="57">
        <v>2022.0</v>
      </c>
      <c r="C89" s="57">
        <v>1.0</v>
      </c>
      <c r="D89" s="57">
        <v>1.0</v>
      </c>
      <c r="F89" s="57">
        <v>1.051</v>
      </c>
      <c r="G89" s="57">
        <v>0.625</v>
      </c>
      <c r="H89" s="57">
        <v>0.129</v>
      </c>
      <c r="I89" s="57">
        <v>0.07</v>
      </c>
      <c r="J89" s="57">
        <v>2.82</v>
      </c>
      <c r="K89" s="33">
        <f>average(1.39,1.57,1.66,1.49)</f>
        <v>1.5275</v>
      </c>
      <c r="L89" s="70">
        <v>44635.0</v>
      </c>
    </row>
    <row r="90">
      <c r="A90" s="57" t="s">
        <v>163</v>
      </c>
      <c r="B90" s="57">
        <v>2020.0</v>
      </c>
      <c r="C90" s="57">
        <v>1.0</v>
      </c>
      <c r="D90" s="57">
        <v>0.0</v>
      </c>
      <c r="F90" s="57">
        <v>0.557</v>
      </c>
      <c r="G90" s="57">
        <v>0.227</v>
      </c>
      <c r="H90" s="57">
        <v>0.048</v>
      </c>
      <c r="I90" s="57">
        <v>0.018</v>
      </c>
      <c r="J90" s="57">
        <v>1.92</v>
      </c>
      <c r="K90" s="33">
        <f>average(0.82,0.85,0.87,0.82)</f>
        <v>0.84</v>
      </c>
      <c r="L90" s="70">
        <v>44635.0</v>
      </c>
    </row>
    <row r="91">
      <c r="A91" s="57" t="s">
        <v>59</v>
      </c>
      <c r="B91" s="57">
        <v>2023.0</v>
      </c>
      <c r="C91" s="57">
        <v>2.0</v>
      </c>
      <c r="D91" s="57">
        <v>1.0</v>
      </c>
      <c r="E91" s="57" t="s">
        <v>165</v>
      </c>
      <c r="F91" s="57">
        <v>0.13</v>
      </c>
      <c r="G91" s="57">
        <v>0.08</v>
      </c>
      <c r="H91" s="57">
        <v>0.059</v>
      </c>
      <c r="I91" s="57">
        <v>0.031</v>
      </c>
      <c r="J91" s="57">
        <v>1.46</v>
      </c>
      <c r="K91" s="33">
        <f>average(1.22,1.13,1.15,1.21)</f>
        <v>1.1775</v>
      </c>
      <c r="L91" s="70">
        <v>44635.0</v>
      </c>
    </row>
    <row r="92">
      <c r="A92" s="57" t="s">
        <v>163</v>
      </c>
      <c r="B92" s="57">
        <v>2382.0</v>
      </c>
      <c r="C92" s="57">
        <v>2.0</v>
      </c>
      <c r="D92" s="57">
        <v>0.0</v>
      </c>
      <c r="F92" s="57">
        <v>0.914</v>
      </c>
      <c r="G92" s="57">
        <v>0.388</v>
      </c>
      <c r="H92" s="57">
        <v>0.082</v>
      </c>
      <c r="I92" s="57">
        <v>0.032</v>
      </c>
      <c r="J92" s="57">
        <v>2.57</v>
      </c>
      <c r="K92" s="33">
        <f>average(1.11,1.06,1.04,1.03)</f>
        <v>1.06</v>
      </c>
      <c r="L92" s="70">
        <v>44635.0</v>
      </c>
    </row>
    <row r="93">
      <c r="A93" s="57" t="s">
        <v>59</v>
      </c>
      <c r="B93" s="57">
        <v>2352.0</v>
      </c>
      <c r="C93" s="57">
        <v>3.0</v>
      </c>
      <c r="D93" s="57">
        <v>0.0</v>
      </c>
      <c r="F93" s="57">
        <v>0.085</v>
      </c>
      <c r="G93" s="57">
        <v>0.031</v>
      </c>
      <c r="H93" s="57">
        <v>0.012</v>
      </c>
      <c r="I93" s="57">
        <v>0.004</v>
      </c>
      <c r="J93" s="57">
        <v>0.99</v>
      </c>
      <c r="K93" s="57" t="s">
        <v>60</v>
      </c>
      <c r="L93" s="70">
        <v>44635.0</v>
      </c>
    </row>
    <row r="94">
      <c r="A94" s="57" t="s">
        <v>59</v>
      </c>
      <c r="B94" s="57">
        <v>2023.0</v>
      </c>
      <c r="C94" s="57">
        <v>2.0</v>
      </c>
      <c r="D94" s="57">
        <v>0.0</v>
      </c>
      <c r="E94" s="57" t="s">
        <v>164</v>
      </c>
      <c r="F94" s="57">
        <v>0.462</v>
      </c>
      <c r="G94" s="57">
        <v>0.238</v>
      </c>
      <c r="H94" s="57">
        <v>0.013</v>
      </c>
      <c r="I94" s="57">
        <v>0.006</v>
      </c>
      <c r="J94" s="57">
        <v>0.62</v>
      </c>
      <c r="K94" s="33">
        <f>average(1.67,1.35,1.1,1.35)</f>
        <v>1.3675</v>
      </c>
      <c r="L94" s="70">
        <v>44635.0</v>
      </c>
    </row>
    <row r="95">
      <c r="A95" s="57" t="s">
        <v>163</v>
      </c>
      <c r="B95" s="57">
        <v>2025.0</v>
      </c>
      <c r="C95" s="57">
        <v>3.0</v>
      </c>
      <c r="D95" s="57">
        <v>0.0</v>
      </c>
      <c r="F95" s="57">
        <v>0.415</v>
      </c>
      <c r="G95" s="57">
        <v>0.205</v>
      </c>
      <c r="H95" s="57">
        <v>0.052</v>
      </c>
      <c r="I95" s="57">
        <v>0.024</v>
      </c>
      <c r="J95" s="57">
        <v>2.15</v>
      </c>
      <c r="K95" s="33">
        <f>average(1.07,1.02,1.06,0.98)</f>
        <v>1.0325</v>
      </c>
      <c r="L95" s="70">
        <v>44635.0</v>
      </c>
    </row>
    <row r="96">
      <c r="A96" s="57" t="s">
        <v>163</v>
      </c>
      <c r="B96" s="57">
        <v>2378.0</v>
      </c>
      <c r="C96" s="57">
        <v>2.0</v>
      </c>
      <c r="D96" s="57">
        <v>0.0</v>
      </c>
      <c r="F96" s="57">
        <v>1.523</v>
      </c>
      <c r="G96" s="57">
        <v>0.657</v>
      </c>
      <c r="H96" s="57">
        <v>0.288</v>
      </c>
      <c r="I96" s="57">
        <v>0.113</v>
      </c>
      <c r="J96" s="57">
        <v>4.65</v>
      </c>
      <c r="K96" s="33">
        <f>average(1.44,1.38,1.71,1.59)</f>
        <v>1.53</v>
      </c>
      <c r="L96" s="70">
        <v>44635.0</v>
      </c>
    </row>
    <row r="97">
      <c r="A97" s="57" t="s">
        <v>59</v>
      </c>
      <c r="B97" s="57">
        <v>2380.0</v>
      </c>
      <c r="C97" s="57">
        <v>1.0</v>
      </c>
      <c r="D97" s="57">
        <v>1.0</v>
      </c>
      <c r="F97" s="57">
        <v>0.923</v>
      </c>
      <c r="G97" s="57">
        <v>0.514</v>
      </c>
      <c r="H97" s="57">
        <v>0.132</v>
      </c>
      <c r="I97" s="57">
        <v>0.067</v>
      </c>
      <c r="J97" s="57">
        <v>2.77</v>
      </c>
      <c r="K97" s="33">
        <f>average(1.32,1.39,1.26,1.38)</f>
        <v>1.3375</v>
      </c>
      <c r="L97" s="70">
        <v>44635.0</v>
      </c>
    </row>
    <row r="98">
      <c r="A98" s="57" t="s">
        <v>59</v>
      </c>
      <c r="B98" s="57">
        <v>2301.0</v>
      </c>
      <c r="C98" s="57">
        <v>1.0</v>
      </c>
      <c r="D98" s="57">
        <v>1.0</v>
      </c>
      <c r="F98" s="57">
        <v>3.209</v>
      </c>
      <c r="G98" s="57">
        <v>1.805</v>
      </c>
      <c r="H98" s="57">
        <v>0.412</v>
      </c>
      <c r="I98" s="57">
        <v>0.223</v>
      </c>
      <c r="J98" s="57">
        <v>8.52</v>
      </c>
      <c r="K98" s="33">
        <f>average(1.73,1.67,1.66,1.74)</f>
        <v>1.7</v>
      </c>
      <c r="L98" s="70">
        <v>44635.0</v>
      </c>
    </row>
    <row r="99">
      <c r="A99" s="57" t="s">
        <v>59</v>
      </c>
      <c r="B99" s="57">
        <v>2303.0</v>
      </c>
      <c r="C99" s="57">
        <v>1.0</v>
      </c>
      <c r="D99" s="57">
        <v>1.0</v>
      </c>
      <c r="F99" s="57">
        <v>1.227</v>
      </c>
      <c r="G99" s="57">
        <v>0.744</v>
      </c>
      <c r="H99" s="57">
        <v>0.162</v>
      </c>
      <c r="I99" s="57">
        <v>0.082</v>
      </c>
      <c r="J99" s="57">
        <v>1.96</v>
      </c>
      <c r="K99" s="33">
        <f>average(0.89,2.02,2.14,2.08)</f>
        <v>1.7825</v>
      </c>
      <c r="L99" s="70">
        <v>44635.0</v>
      </c>
    </row>
    <row r="100">
      <c r="A100" s="57" t="s">
        <v>163</v>
      </c>
      <c r="B100" s="57">
        <v>2020.0</v>
      </c>
      <c r="C100" s="57">
        <v>2.0</v>
      </c>
      <c r="D100" s="57">
        <v>0.0</v>
      </c>
      <c r="F100" s="57">
        <v>0.489</v>
      </c>
      <c r="G100" s="57">
        <v>0.213</v>
      </c>
      <c r="H100" s="57">
        <v>0.039</v>
      </c>
      <c r="I100" s="57">
        <v>0.015</v>
      </c>
      <c r="J100" s="57">
        <v>1.26</v>
      </c>
      <c r="K100" s="33">
        <f>average(0.94,0.84,0.77,0.86)</f>
        <v>0.8525</v>
      </c>
      <c r="L100" s="70">
        <v>44635.0</v>
      </c>
    </row>
    <row r="101">
      <c r="A101" s="57" t="s">
        <v>59</v>
      </c>
      <c r="B101" s="57">
        <v>2352.0</v>
      </c>
      <c r="C101" s="57">
        <v>1.0</v>
      </c>
      <c r="D101" s="57">
        <v>0.0</v>
      </c>
      <c r="F101" s="57">
        <v>0.614</v>
      </c>
      <c r="G101" s="57">
        <v>0.347</v>
      </c>
      <c r="H101" s="57">
        <v>0.07</v>
      </c>
      <c r="I101" s="57">
        <v>0.034</v>
      </c>
      <c r="J101" s="57">
        <v>2.33</v>
      </c>
      <c r="K101" s="33">
        <f>average(1.11,1.01,0.99,0.94)</f>
        <v>1.0125</v>
      </c>
      <c r="L101" s="70">
        <v>44635.0</v>
      </c>
    </row>
    <row r="102">
      <c r="A102" s="57" t="s">
        <v>163</v>
      </c>
      <c r="B102" s="57">
        <v>2007.0</v>
      </c>
      <c r="C102" s="57">
        <v>1.0</v>
      </c>
      <c r="D102" s="57">
        <v>0.0</v>
      </c>
      <c r="F102" s="57">
        <v>0.523</v>
      </c>
      <c r="G102" s="57">
        <v>0.235</v>
      </c>
      <c r="H102" s="57">
        <v>0.044</v>
      </c>
      <c r="I102" s="57">
        <v>0.017</v>
      </c>
      <c r="J102" s="57">
        <v>1.98</v>
      </c>
      <c r="K102" s="33">
        <f>average(0.75,0.65,0.66,0.77)</f>
        <v>0.7075</v>
      </c>
      <c r="L102" s="70">
        <v>44635.0</v>
      </c>
    </row>
    <row r="103">
      <c r="A103" s="57" t="s">
        <v>59</v>
      </c>
      <c r="B103" s="57">
        <v>2089.0</v>
      </c>
      <c r="C103" s="57">
        <v>2.0</v>
      </c>
      <c r="D103" s="57">
        <v>0.0</v>
      </c>
      <c r="E103" s="57" t="s">
        <v>164</v>
      </c>
      <c r="F103" s="57">
        <v>0.278</v>
      </c>
      <c r="G103" s="57">
        <v>0.156</v>
      </c>
      <c r="H103" s="57">
        <v>0.035</v>
      </c>
      <c r="I103" s="57">
        <v>0.02</v>
      </c>
      <c r="J103" s="57">
        <v>2.01</v>
      </c>
      <c r="K103" s="33">
        <f>average(0.9,0.75,0.8,0.83)</f>
        <v>0.82</v>
      </c>
      <c r="L103" s="70">
        <v>44635.0</v>
      </c>
    </row>
    <row r="104">
      <c r="A104" s="57" t="s">
        <v>59</v>
      </c>
      <c r="B104" s="57">
        <v>2091.0</v>
      </c>
      <c r="C104" s="57">
        <v>3.0</v>
      </c>
      <c r="D104" s="57">
        <v>1.0</v>
      </c>
      <c r="F104" s="57">
        <v>1.166</v>
      </c>
      <c r="G104" s="57">
        <v>0.714</v>
      </c>
      <c r="H104" s="57">
        <v>0.164</v>
      </c>
      <c r="I104" s="57">
        <v>0.095</v>
      </c>
      <c r="J104" s="57">
        <v>3.39</v>
      </c>
      <c r="K104" s="33">
        <f>average(1.59,1.58,1.49,1.56)</f>
        <v>1.555</v>
      </c>
      <c r="L104" s="70">
        <v>44635.0</v>
      </c>
    </row>
    <row r="105">
      <c r="A105" s="57" t="s">
        <v>59</v>
      </c>
      <c r="B105" s="57">
        <v>2026.0</v>
      </c>
      <c r="C105" s="57">
        <v>1.0</v>
      </c>
      <c r="D105" s="57">
        <v>0.0</v>
      </c>
      <c r="F105" s="57">
        <v>0.538</v>
      </c>
      <c r="G105" s="57">
        <v>0.263</v>
      </c>
      <c r="H105" s="57">
        <v>0.097</v>
      </c>
      <c r="I105" s="57">
        <v>0.026</v>
      </c>
      <c r="J105" s="57">
        <v>1.93</v>
      </c>
      <c r="K105" s="33">
        <f>average(0.8,0.75,0.78,0.78)</f>
        <v>0.7775</v>
      </c>
      <c r="L105" s="70">
        <v>44635.0</v>
      </c>
    </row>
    <row r="106">
      <c r="A106" s="57" t="s">
        <v>163</v>
      </c>
      <c r="B106" s="57">
        <v>2005.0</v>
      </c>
      <c r="C106" s="57">
        <v>1.0</v>
      </c>
      <c r="D106" s="57">
        <v>0.0</v>
      </c>
      <c r="F106" s="57">
        <v>1.97</v>
      </c>
      <c r="G106" s="57">
        <v>0.819</v>
      </c>
      <c r="H106" s="57">
        <v>0.194</v>
      </c>
      <c r="I106" s="57">
        <v>0.074</v>
      </c>
      <c r="J106" s="57">
        <v>2.93</v>
      </c>
      <c r="K106" s="33">
        <f>average(1.54,1.41,1.41,1.62)</f>
        <v>1.495</v>
      </c>
      <c r="L106" s="70">
        <v>44635.0</v>
      </c>
    </row>
    <row r="107">
      <c r="A107" s="57" t="s">
        <v>59</v>
      </c>
      <c r="B107" s="57">
        <v>2331.0</v>
      </c>
      <c r="C107" s="57">
        <v>2.0</v>
      </c>
      <c r="D107" s="57">
        <v>0.0</v>
      </c>
      <c r="F107" s="57">
        <v>0.257</v>
      </c>
      <c r="G107" s="57">
        <v>0.078</v>
      </c>
      <c r="H107" s="57">
        <v>0.026</v>
      </c>
      <c r="I107" s="57">
        <v>0.009</v>
      </c>
      <c r="J107" s="57">
        <v>1.22</v>
      </c>
      <c r="K107" s="57" t="s">
        <v>60</v>
      </c>
      <c r="L107" s="70">
        <v>44635.0</v>
      </c>
    </row>
    <row r="108">
      <c r="A108" s="57" t="s">
        <v>59</v>
      </c>
      <c r="B108" s="57">
        <v>2352.0</v>
      </c>
      <c r="C108" s="57">
        <v>3.0</v>
      </c>
      <c r="D108" s="57">
        <v>1.0</v>
      </c>
      <c r="F108" s="57">
        <v>0.194</v>
      </c>
      <c r="G108" s="57">
        <v>0.117</v>
      </c>
      <c r="H108" s="57">
        <v>0.037</v>
      </c>
      <c r="I108" s="57">
        <v>0.02</v>
      </c>
      <c r="J108" s="57">
        <v>1.92</v>
      </c>
      <c r="K108" s="33">
        <f>average(1.01,0.97,0.75,0.86)</f>
        <v>0.8975</v>
      </c>
      <c r="L108" s="70">
        <v>44635.0</v>
      </c>
    </row>
    <row r="109">
      <c r="A109" s="57" t="s">
        <v>163</v>
      </c>
      <c r="B109" s="57">
        <v>2020.0</v>
      </c>
      <c r="C109" s="57">
        <v>3.0</v>
      </c>
      <c r="D109" s="57">
        <v>0.0</v>
      </c>
      <c r="F109" s="57">
        <v>0.477</v>
      </c>
      <c r="G109" s="57">
        <v>0.216</v>
      </c>
      <c r="H109" s="57">
        <v>0.031</v>
      </c>
      <c r="I109" s="57">
        <v>0.012</v>
      </c>
      <c r="J109" s="57">
        <v>1.2</v>
      </c>
      <c r="K109" s="33">
        <f>average(0.81,0.77,0.84,0.99)</f>
        <v>0.8525</v>
      </c>
      <c r="L109" s="70">
        <v>44635.0</v>
      </c>
    </row>
    <row r="110">
      <c r="A110" s="57" t="s">
        <v>59</v>
      </c>
      <c r="B110" s="57">
        <v>2023.0</v>
      </c>
      <c r="C110" s="57">
        <v>3.0</v>
      </c>
      <c r="D110" s="57">
        <v>1.0</v>
      </c>
      <c r="F110" s="57">
        <v>1.359</v>
      </c>
      <c r="G110" s="57">
        <v>0.826</v>
      </c>
      <c r="H110" s="57">
        <v>0.241</v>
      </c>
      <c r="I110" s="57">
        <v>0.127</v>
      </c>
      <c r="J110" s="57">
        <v>4.62</v>
      </c>
      <c r="K110" s="33">
        <f>average(1.8,1.53,1.67,1.74)</f>
        <v>1.685</v>
      </c>
      <c r="L110" s="70">
        <v>44635.0</v>
      </c>
    </row>
    <row r="111">
      <c r="A111" s="57" t="s">
        <v>163</v>
      </c>
      <c r="B111" s="57">
        <v>2379.0</v>
      </c>
      <c r="C111" s="57">
        <v>3.0</v>
      </c>
      <c r="D111" s="57">
        <v>0.0</v>
      </c>
      <c r="F111" s="57">
        <v>0.503</v>
      </c>
      <c r="G111" s="57">
        <v>0.224</v>
      </c>
      <c r="H111" s="57">
        <v>0.041</v>
      </c>
      <c r="I111" s="57">
        <v>0.017</v>
      </c>
      <c r="J111" s="57">
        <v>0.75</v>
      </c>
      <c r="K111" s="57" t="s">
        <v>60</v>
      </c>
      <c r="L111" s="70">
        <v>44635.0</v>
      </c>
    </row>
    <row r="112">
      <c r="A112" s="57" t="s">
        <v>59</v>
      </c>
      <c r="B112" s="57">
        <v>2093.0</v>
      </c>
      <c r="C112" s="57">
        <v>2.0</v>
      </c>
      <c r="D112" s="57">
        <v>1.0</v>
      </c>
      <c r="F112" s="57">
        <v>1.881</v>
      </c>
      <c r="G112" s="57">
        <v>0.124</v>
      </c>
      <c r="H112" s="57">
        <v>0.043</v>
      </c>
      <c r="I112" s="57">
        <v>0.104</v>
      </c>
      <c r="J112" s="57">
        <v>2.69</v>
      </c>
      <c r="K112" s="33">
        <f>average(1.64,1.63,1.64,1.61)</f>
        <v>1.63</v>
      </c>
      <c r="L112" s="70">
        <v>44635.0</v>
      </c>
    </row>
    <row r="113">
      <c r="A113" s="57" t="s">
        <v>163</v>
      </c>
      <c r="B113" s="57">
        <v>2378.0</v>
      </c>
      <c r="C113" s="57">
        <v>1.0</v>
      </c>
      <c r="D113" s="57">
        <v>0.0</v>
      </c>
      <c r="F113" s="57">
        <v>0.615</v>
      </c>
      <c r="G113" s="57">
        <v>0.279</v>
      </c>
      <c r="H113" s="57">
        <v>0.124</v>
      </c>
      <c r="I113" s="57">
        <v>0.05</v>
      </c>
      <c r="J113" s="57">
        <v>2.75</v>
      </c>
      <c r="K113" s="33">
        <f>average(1.05,1.09,0.95,0.97)</f>
        <v>1.015</v>
      </c>
      <c r="L113" s="70">
        <v>44635.0</v>
      </c>
    </row>
    <row r="114">
      <c r="A114" s="57" t="s">
        <v>163</v>
      </c>
      <c r="B114" s="57">
        <v>2006.0</v>
      </c>
      <c r="C114" s="57">
        <v>3.0</v>
      </c>
      <c r="D114" s="57">
        <v>0.0</v>
      </c>
      <c r="F114" s="57">
        <v>0.225</v>
      </c>
      <c r="G114" s="57">
        <v>0.081</v>
      </c>
      <c r="H114" s="57">
        <v>0.026</v>
      </c>
      <c r="I114" s="57">
        <v>0.01</v>
      </c>
      <c r="J114" s="57">
        <v>0.78</v>
      </c>
      <c r="K114" s="57" t="s">
        <v>60</v>
      </c>
      <c r="L114" s="70">
        <v>44635.0</v>
      </c>
    </row>
    <row r="115">
      <c r="A115" s="57" t="s">
        <v>59</v>
      </c>
      <c r="B115" s="57">
        <v>2352.0</v>
      </c>
      <c r="C115" s="57">
        <v>2.0</v>
      </c>
      <c r="D115" s="57">
        <v>1.0</v>
      </c>
      <c r="F115" s="57">
        <v>0.41</v>
      </c>
      <c r="G115" s="57">
        <v>0.242</v>
      </c>
      <c r="H115" s="57">
        <v>0.034</v>
      </c>
      <c r="I115" s="57">
        <v>0.018</v>
      </c>
      <c r="J115" s="57">
        <v>1.37</v>
      </c>
      <c r="K115" s="33">
        <f>average(0.81,0.84,0.96,1.07)</f>
        <v>0.92</v>
      </c>
      <c r="L115" s="70">
        <v>44635.0</v>
      </c>
    </row>
    <row r="116">
      <c r="A116" s="57" t="s">
        <v>163</v>
      </c>
      <c r="B116" s="57">
        <v>2025.0</v>
      </c>
      <c r="C116" s="57">
        <v>2.0</v>
      </c>
      <c r="D116" s="57">
        <v>0.0</v>
      </c>
      <c r="F116" s="57">
        <v>0.943</v>
      </c>
      <c r="G116" s="57">
        <v>0.447</v>
      </c>
      <c r="H116" s="57">
        <v>0.163</v>
      </c>
      <c r="I116" s="57">
        <v>0.069</v>
      </c>
      <c r="J116" s="57">
        <v>4.34</v>
      </c>
      <c r="K116" s="33">
        <f>average(1.55,1.46,1.39,1.19)</f>
        <v>1.3975</v>
      </c>
      <c r="L116" s="70">
        <v>44635.0</v>
      </c>
    </row>
    <row r="117">
      <c r="A117" s="57" t="s">
        <v>163</v>
      </c>
      <c r="B117" s="57">
        <v>2021.0</v>
      </c>
      <c r="C117" s="57">
        <v>1.0</v>
      </c>
      <c r="D117" s="57">
        <v>0.0</v>
      </c>
      <c r="F117" s="57">
        <v>0.404</v>
      </c>
      <c r="G117" s="57">
        <v>0.2</v>
      </c>
      <c r="H117" s="57">
        <v>0.045</v>
      </c>
      <c r="I117" s="57">
        <v>0.018</v>
      </c>
      <c r="J117" s="57">
        <v>1.21</v>
      </c>
      <c r="K117" s="57" t="s">
        <v>60</v>
      </c>
      <c r="L117" s="70">
        <v>44635.0</v>
      </c>
    </row>
    <row r="118">
      <c r="A118" s="57" t="s">
        <v>59</v>
      </c>
      <c r="B118" s="57">
        <v>2352.0</v>
      </c>
      <c r="C118" s="57">
        <v>1.0</v>
      </c>
      <c r="D118" s="57">
        <v>1.0</v>
      </c>
      <c r="F118" s="57">
        <v>0.2</v>
      </c>
      <c r="G118" s="57">
        <v>0.122</v>
      </c>
      <c r="H118" s="57">
        <v>0.2</v>
      </c>
      <c r="I118" s="57">
        <v>0.112</v>
      </c>
      <c r="J118" s="57">
        <v>6.39</v>
      </c>
      <c r="K118" s="33">
        <f>average(1.3,1.29,1.24,1.23)</f>
        <v>1.265</v>
      </c>
      <c r="L118" s="70">
        <v>44635.0</v>
      </c>
    </row>
    <row r="119">
      <c r="A119" s="57" t="s">
        <v>163</v>
      </c>
      <c r="B119" s="57">
        <v>2024.0</v>
      </c>
      <c r="C119" s="57">
        <v>1.0</v>
      </c>
      <c r="D119" s="57">
        <v>0.0</v>
      </c>
      <c r="F119" s="57">
        <v>1.72</v>
      </c>
      <c r="G119" s="57">
        <v>0.714</v>
      </c>
      <c r="H119" s="57">
        <v>0.208</v>
      </c>
      <c r="I119" s="57">
        <v>0.078</v>
      </c>
      <c r="J119" s="57">
        <v>3.63</v>
      </c>
      <c r="K119" s="33">
        <f>average(1.41,1.88,1.78,1.4)</f>
        <v>1.6175</v>
      </c>
      <c r="L119" s="70">
        <v>44635.0</v>
      </c>
    </row>
    <row r="120">
      <c r="A120" s="57" t="s">
        <v>163</v>
      </c>
      <c r="B120" s="57">
        <v>2008.0</v>
      </c>
      <c r="C120" s="57">
        <v>1.0</v>
      </c>
      <c r="D120" s="57">
        <v>0.0</v>
      </c>
      <c r="F120" s="57">
        <v>0.505</v>
      </c>
      <c r="G120" s="57">
        <v>0.173</v>
      </c>
      <c r="H120" s="57">
        <v>0.03</v>
      </c>
      <c r="I120" s="57">
        <v>0.011</v>
      </c>
      <c r="J120" s="57">
        <v>0.9</v>
      </c>
      <c r="K120" s="57" t="s">
        <v>60</v>
      </c>
      <c r="L120" s="70">
        <v>44635.0</v>
      </c>
    </row>
    <row r="121">
      <c r="A121" s="57" t="s">
        <v>59</v>
      </c>
      <c r="B121" s="57">
        <v>2331.0</v>
      </c>
      <c r="C121" s="57">
        <v>2.0</v>
      </c>
      <c r="D121" s="57">
        <v>1.0</v>
      </c>
      <c r="F121" s="57">
        <v>0.563</v>
      </c>
      <c r="G121" s="57">
        <v>0.34</v>
      </c>
      <c r="H121" s="57">
        <v>0.199</v>
      </c>
      <c r="I121" s="57">
        <v>0.109</v>
      </c>
      <c r="J121" s="57">
        <v>4.63</v>
      </c>
      <c r="K121" s="33">
        <f>average(1.58,1.43,1.48,1.52)</f>
        <v>1.5025</v>
      </c>
      <c r="L121" s="70">
        <v>44635.0</v>
      </c>
    </row>
    <row r="122">
      <c r="A122" s="57" t="s">
        <v>163</v>
      </c>
      <c r="B122" s="57">
        <v>2024.0</v>
      </c>
      <c r="C122" s="57">
        <v>4.0</v>
      </c>
      <c r="D122" s="57">
        <v>0.0</v>
      </c>
      <c r="F122" s="57">
        <v>0.939</v>
      </c>
      <c r="G122" s="57">
        <v>0.35</v>
      </c>
      <c r="H122" s="57">
        <v>0.203</v>
      </c>
      <c r="I122" s="57">
        <v>0.074</v>
      </c>
      <c r="J122" s="57">
        <v>4.82</v>
      </c>
      <c r="K122" s="33">
        <f>average(1.43,1.63,1.79,1.75)</f>
        <v>1.65</v>
      </c>
      <c r="L122" s="70">
        <v>44635.0</v>
      </c>
    </row>
    <row r="123">
      <c r="A123" s="57" t="s">
        <v>163</v>
      </c>
      <c r="B123" s="57">
        <v>2025.0</v>
      </c>
      <c r="C123" s="57">
        <v>4.0</v>
      </c>
      <c r="D123" s="57">
        <v>0.0</v>
      </c>
      <c r="F123" s="57">
        <v>0.657</v>
      </c>
      <c r="G123" s="57">
        <v>0.322</v>
      </c>
      <c r="H123" s="57">
        <v>0.098</v>
      </c>
      <c r="I123" s="57">
        <v>0.043</v>
      </c>
      <c r="J123" s="57">
        <v>3.21</v>
      </c>
      <c r="K123" s="33">
        <f>average(1.37,1.18,1.22,1.22)</f>
        <v>1.2475</v>
      </c>
      <c r="L123" s="70">
        <v>44635.0</v>
      </c>
    </row>
    <row r="124">
      <c r="A124" s="57" t="s">
        <v>59</v>
      </c>
      <c r="B124" s="57">
        <v>2023.0</v>
      </c>
      <c r="C124" s="57">
        <v>2.0</v>
      </c>
      <c r="D124" s="57">
        <v>0.0</v>
      </c>
      <c r="E124" s="57" t="s">
        <v>165</v>
      </c>
      <c r="F124" s="57">
        <v>1.305</v>
      </c>
      <c r="G124" s="57">
        <v>0.65</v>
      </c>
      <c r="H124" s="57">
        <v>0.104</v>
      </c>
      <c r="I124" s="57">
        <v>0.046</v>
      </c>
      <c r="J124" s="57">
        <v>3.43</v>
      </c>
      <c r="K124" s="33">
        <f>average(0.91,1.16,1.02,0.99)</f>
        <v>1.02</v>
      </c>
      <c r="L124" s="70">
        <v>44635.0</v>
      </c>
    </row>
    <row r="125">
      <c r="A125" s="57" t="s">
        <v>59</v>
      </c>
      <c r="B125" s="57">
        <v>2345.0</v>
      </c>
      <c r="C125" s="57">
        <v>3.0</v>
      </c>
      <c r="D125" s="57">
        <v>1.0</v>
      </c>
      <c r="F125" s="57">
        <v>2.065</v>
      </c>
      <c r="G125" s="57">
        <v>1.212</v>
      </c>
      <c r="H125" s="57">
        <v>0.319</v>
      </c>
      <c r="I125" s="57">
        <v>0.177</v>
      </c>
      <c r="J125" s="57">
        <v>5.41</v>
      </c>
      <c r="K125" s="33">
        <f>average(1.74,1.77,1.75,1.78)</f>
        <v>1.76</v>
      </c>
      <c r="L125" s="70">
        <v>44635.0</v>
      </c>
    </row>
    <row r="126">
      <c r="A126" s="57" t="s">
        <v>59</v>
      </c>
      <c r="B126" s="57">
        <v>2023.0</v>
      </c>
      <c r="C126" s="57">
        <v>4.0</v>
      </c>
      <c r="D126" s="57">
        <v>0.0</v>
      </c>
      <c r="E126" s="57" t="s">
        <v>164</v>
      </c>
      <c r="F126" s="57">
        <v>1.513</v>
      </c>
      <c r="G126" s="57">
        <v>0.742</v>
      </c>
      <c r="H126" s="57">
        <v>0.176</v>
      </c>
      <c r="I126" s="57">
        <v>0.076</v>
      </c>
      <c r="J126" s="57">
        <v>5.03</v>
      </c>
      <c r="K126" s="33">
        <f>average(1.28,1.31,1.22,1.33)</f>
        <v>1.285</v>
      </c>
      <c r="L126" s="70">
        <v>44635.0</v>
      </c>
    </row>
    <row r="127">
      <c r="A127" s="57" t="s">
        <v>59</v>
      </c>
      <c r="B127" s="57" t="s">
        <v>167</v>
      </c>
      <c r="C127" s="57">
        <v>1.0</v>
      </c>
      <c r="D127" s="57">
        <v>1.0</v>
      </c>
      <c r="F127" s="57">
        <v>2.549</v>
      </c>
      <c r="G127" s="57">
        <v>1.486</v>
      </c>
      <c r="H127" s="57">
        <v>0.28</v>
      </c>
      <c r="I127" s="57">
        <v>0.147</v>
      </c>
      <c r="J127" s="57">
        <v>4.39</v>
      </c>
      <c r="K127" s="33">
        <f>average(2.03,2.05,1.89,1.13)</f>
        <v>1.775</v>
      </c>
      <c r="L127" s="70">
        <v>44635.0</v>
      </c>
    </row>
    <row r="128">
      <c r="A128" s="57" t="s">
        <v>59</v>
      </c>
      <c r="B128" s="57">
        <v>2089.0</v>
      </c>
      <c r="C128" s="57">
        <v>2.0</v>
      </c>
      <c r="D128" s="57">
        <v>1.0</v>
      </c>
      <c r="F128" s="57">
        <v>1.062</v>
      </c>
      <c r="G128" s="57">
        <v>0.622</v>
      </c>
      <c r="H128" s="57">
        <v>0.278</v>
      </c>
      <c r="I128" s="57">
        <v>0.157</v>
      </c>
      <c r="J128" s="57">
        <v>6.85</v>
      </c>
      <c r="K128" s="33">
        <f>average(1.65,1.53,1.5,1.57)</f>
        <v>1.5625</v>
      </c>
      <c r="L128" s="70">
        <v>44635.0</v>
      </c>
    </row>
    <row r="129">
      <c r="A129" s="57" t="s">
        <v>163</v>
      </c>
      <c r="B129" s="57">
        <v>2008.0</v>
      </c>
      <c r="C129" s="57">
        <v>3.0</v>
      </c>
      <c r="D129" s="57">
        <v>0.0</v>
      </c>
      <c r="F129" s="57">
        <v>0.913</v>
      </c>
      <c r="G129" s="57">
        <v>0.317</v>
      </c>
      <c r="H129" s="57">
        <v>0.06</v>
      </c>
      <c r="I129" s="57">
        <v>0.021</v>
      </c>
      <c r="J129" s="57">
        <v>1.5</v>
      </c>
      <c r="K129" s="57" t="s">
        <v>60</v>
      </c>
      <c r="L129" s="70">
        <v>44635.0</v>
      </c>
    </row>
    <row r="130">
      <c r="A130" s="57" t="s">
        <v>163</v>
      </c>
      <c r="B130" s="57">
        <v>2381.0</v>
      </c>
      <c r="C130" s="57">
        <v>1.0</v>
      </c>
      <c r="D130" s="57">
        <v>0.0</v>
      </c>
      <c r="F130" s="57">
        <v>0.594</v>
      </c>
      <c r="G130" s="57">
        <v>0.226</v>
      </c>
      <c r="H130" s="57">
        <v>0.056</v>
      </c>
      <c r="I130" s="57">
        <v>0.02</v>
      </c>
      <c r="J130" s="57">
        <v>0.96</v>
      </c>
      <c r="K130" s="57" t="s">
        <v>60</v>
      </c>
      <c r="L130" s="70">
        <v>44635.0</v>
      </c>
    </row>
    <row r="131">
      <c r="A131" s="57" t="s">
        <v>163</v>
      </c>
      <c r="B131" s="57">
        <v>2004.0</v>
      </c>
      <c r="C131" s="57">
        <v>2.0</v>
      </c>
      <c r="D131" s="57">
        <v>0.0</v>
      </c>
      <c r="F131" s="57">
        <v>0.512</v>
      </c>
      <c r="G131" s="57">
        <v>0.189</v>
      </c>
      <c r="H131" s="57">
        <v>0.09</v>
      </c>
      <c r="I131" s="57">
        <v>0.032</v>
      </c>
      <c r="J131" s="57">
        <v>2.2</v>
      </c>
      <c r="K131" s="33">
        <f>average(1.15,1.22,1.21,1.14)</f>
        <v>1.18</v>
      </c>
      <c r="L131" s="70">
        <v>44635.0</v>
      </c>
    </row>
    <row r="132">
      <c r="A132" s="57" t="s">
        <v>59</v>
      </c>
      <c r="B132" s="57">
        <v>2301.0</v>
      </c>
      <c r="C132" s="57">
        <v>3.0</v>
      </c>
      <c r="D132" s="57">
        <v>1.0</v>
      </c>
      <c r="F132" s="57">
        <v>1.95</v>
      </c>
      <c r="G132" s="57">
        <v>1.1</v>
      </c>
      <c r="H132" s="57">
        <v>0.282</v>
      </c>
      <c r="I132" s="57">
        <v>0.148</v>
      </c>
      <c r="J132" s="57">
        <v>7.56</v>
      </c>
      <c r="K132" s="33">
        <f>average(1.39,1.47,1.23,1.52)</f>
        <v>1.4025</v>
      </c>
      <c r="L132" s="70">
        <v>44635.0</v>
      </c>
    </row>
    <row r="133">
      <c r="A133" s="57" t="s">
        <v>59</v>
      </c>
      <c r="B133" s="57">
        <v>2092.0</v>
      </c>
      <c r="C133" s="57">
        <v>1.0</v>
      </c>
      <c r="D133" s="57">
        <v>1.0</v>
      </c>
      <c r="F133" s="57">
        <v>0.379</v>
      </c>
      <c r="G133" s="57">
        <v>0.233</v>
      </c>
      <c r="H133" s="57">
        <v>0.081</v>
      </c>
      <c r="I133" s="57">
        <v>0.043</v>
      </c>
      <c r="J133" s="57">
        <v>2.04</v>
      </c>
      <c r="K133" s="33">
        <f>average(1.44,1.47,1.42,1.38)</f>
        <v>1.4275</v>
      </c>
      <c r="L133" s="70">
        <v>44635.0</v>
      </c>
    </row>
    <row r="134">
      <c r="A134" s="57" t="s">
        <v>59</v>
      </c>
      <c r="B134" s="57">
        <v>2023.0</v>
      </c>
      <c r="C134" s="57">
        <v>3.0</v>
      </c>
      <c r="D134" s="57">
        <v>0.0</v>
      </c>
      <c r="F134" s="57">
        <v>1.058</v>
      </c>
      <c r="G134" s="57">
        <v>0.548</v>
      </c>
      <c r="H134" s="57">
        <v>0.088</v>
      </c>
      <c r="I134" s="57">
        <v>0.041</v>
      </c>
      <c r="J134" s="57">
        <v>1.84</v>
      </c>
      <c r="K134" s="33">
        <f>average(1.1,1.35,1.48,1.24)</f>
        <v>1.2925</v>
      </c>
      <c r="L134" s="70">
        <v>44635.0</v>
      </c>
    </row>
    <row r="135">
      <c r="A135" s="57" t="s">
        <v>59</v>
      </c>
      <c r="B135" s="57">
        <v>2023.0</v>
      </c>
      <c r="C135" s="57">
        <v>2.0</v>
      </c>
      <c r="D135" s="57">
        <v>0.0</v>
      </c>
      <c r="E135" s="57" t="s">
        <v>168</v>
      </c>
      <c r="F135" s="57">
        <v>1.026</v>
      </c>
      <c r="G135" s="57">
        <v>0.52</v>
      </c>
      <c r="H135" s="57">
        <v>0.112</v>
      </c>
      <c r="I135" s="57">
        <v>0.05</v>
      </c>
      <c r="J135" s="57">
        <v>4.41</v>
      </c>
      <c r="K135" s="33">
        <f>average(1,0.98,1.11,0.94)</f>
        <v>1.0075</v>
      </c>
      <c r="L135" s="70">
        <v>44635.0</v>
      </c>
    </row>
    <row r="136">
      <c r="A136" s="57" t="s">
        <v>59</v>
      </c>
      <c r="B136" s="57">
        <v>2345.0</v>
      </c>
      <c r="C136" s="57">
        <v>1.0</v>
      </c>
      <c r="D136" s="57">
        <v>1.0</v>
      </c>
      <c r="F136" s="57">
        <v>2.401</v>
      </c>
      <c r="G136" s="57">
        <v>1.412</v>
      </c>
      <c r="H136" s="57">
        <v>0.418</v>
      </c>
      <c r="I136" s="57">
        <v>0.227</v>
      </c>
      <c r="J136" s="57">
        <v>7.02</v>
      </c>
      <c r="K136" s="33">
        <f>average(2.05,1.95,2.07,2.04)</f>
        <v>2.0275</v>
      </c>
      <c r="L136" s="70">
        <v>44635.0</v>
      </c>
    </row>
    <row r="137">
      <c r="A137" s="57" t="s">
        <v>59</v>
      </c>
      <c r="B137" s="57">
        <v>2023.0</v>
      </c>
      <c r="C137" s="57">
        <v>2.0</v>
      </c>
      <c r="D137" s="57">
        <v>1.0</v>
      </c>
      <c r="E137" s="57" t="s">
        <v>164</v>
      </c>
      <c r="F137" s="57">
        <v>0.438</v>
      </c>
      <c r="G137" s="57">
        <v>0.269</v>
      </c>
      <c r="H137" s="57">
        <v>0.165</v>
      </c>
      <c r="I137" s="57">
        <v>0.086</v>
      </c>
      <c r="J137" s="57">
        <v>3.57</v>
      </c>
      <c r="K137" s="33">
        <f>average(1.19,1.43,1.33,1.46)</f>
        <v>1.3525</v>
      </c>
      <c r="L137" s="70">
        <v>44635.0</v>
      </c>
    </row>
    <row r="138">
      <c r="A138" s="57" t="s">
        <v>163</v>
      </c>
      <c r="B138" s="57">
        <v>2027.0</v>
      </c>
      <c r="C138" s="57">
        <v>2.0</v>
      </c>
      <c r="D138" s="57">
        <v>0.0</v>
      </c>
      <c r="F138" s="57">
        <v>1.026</v>
      </c>
      <c r="G138" s="57">
        <v>0.402</v>
      </c>
      <c r="H138" s="57">
        <v>0.042</v>
      </c>
      <c r="I138" s="57">
        <v>0.016</v>
      </c>
      <c r="J138" s="57">
        <v>1.05</v>
      </c>
      <c r="K138" s="57" t="s">
        <v>60</v>
      </c>
      <c r="L138" s="70">
        <v>44635.0</v>
      </c>
    </row>
    <row r="139">
      <c r="A139" s="57" t="s">
        <v>163</v>
      </c>
      <c r="B139" s="57">
        <v>2379.0</v>
      </c>
      <c r="C139" s="57">
        <v>2.0</v>
      </c>
      <c r="D139" s="57">
        <v>0.0</v>
      </c>
      <c r="F139" s="57">
        <v>0.589</v>
      </c>
      <c r="G139" s="57">
        <v>0.27</v>
      </c>
      <c r="H139" s="57">
        <v>0.03</v>
      </c>
      <c r="I139" s="57">
        <v>0.013</v>
      </c>
      <c r="J139" s="57">
        <v>0.8</v>
      </c>
      <c r="K139" s="33">
        <f>average(0.72,0.64,0.98,0.77)</f>
        <v>0.7775</v>
      </c>
      <c r="L139" s="70">
        <v>44635.0</v>
      </c>
    </row>
    <row r="140">
      <c r="A140" s="57" t="s">
        <v>59</v>
      </c>
      <c r="B140" s="57">
        <v>2301.0</v>
      </c>
      <c r="C140" s="57">
        <v>2.0</v>
      </c>
      <c r="D140" s="57">
        <v>1.0</v>
      </c>
      <c r="F140" s="57">
        <v>2.328</v>
      </c>
      <c r="G140" s="57">
        <v>1.344</v>
      </c>
      <c r="H140" s="57">
        <v>0.399</v>
      </c>
      <c r="I140" s="57">
        <v>0.213</v>
      </c>
      <c r="J140" s="57">
        <v>9.51</v>
      </c>
      <c r="K140" s="33">
        <f>average(1.4,1.43,1.34,1.53)</f>
        <v>1.425</v>
      </c>
      <c r="L140" s="70">
        <v>44635.0</v>
      </c>
    </row>
    <row r="141">
      <c r="A141" s="57" t="s">
        <v>59</v>
      </c>
      <c r="B141" s="57">
        <v>2345.0</v>
      </c>
      <c r="C141" s="57">
        <v>2.0</v>
      </c>
      <c r="D141" s="57">
        <v>1.0</v>
      </c>
      <c r="F141" s="57">
        <v>1.66</v>
      </c>
      <c r="G141" s="57">
        <v>0.977</v>
      </c>
      <c r="H141" s="57">
        <v>0.309</v>
      </c>
      <c r="I141" s="57">
        <v>0.173</v>
      </c>
      <c r="J141" s="57">
        <v>5.59</v>
      </c>
      <c r="K141" s="33">
        <f>average(1.64,1.62,1.64,1.65)</f>
        <v>1.6375</v>
      </c>
      <c r="L141" s="70">
        <v>44635.0</v>
      </c>
    </row>
    <row r="142">
      <c r="A142" s="57" t="s">
        <v>59</v>
      </c>
      <c r="B142" s="57">
        <v>2089.0</v>
      </c>
      <c r="C142" s="57">
        <v>1.0</v>
      </c>
      <c r="D142" s="57">
        <v>1.0</v>
      </c>
      <c r="F142" s="57">
        <v>2.377</v>
      </c>
      <c r="G142" s="57">
        <v>1.421</v>
      </c>
      <c r="H142" s="57" t="s">
        <v>60</v>
      </c>
      <c r="I142" s="57">
        <v>0.267</v>
      </c>
      <c r="J142" s="57">
        <v>8.55</v>
      </c>
      <c r="K142" s="33">
        <f>average(1.89,1.99,2.03,1.98)</f>
        <v>1.9725</v>
      </c>
      <c r="L142" s="70">
        <v>44635.0</v>
      </c>
    </row>
    <row r="143">
      <c r="A143" s="57" t="s">
        <v>59</v>
      </c>
      <c r="B143" s="57">
        <v>2023.0</v>
      </c>
      <c r="C143" s="57">
        <v>1.0</v>
      </c>
      <c r="D143" s="57">
        <v>0.0</v>
      </c>
      <c r="E143" s="57" t="s">
        <v>168</v>
      </c>
      <c r="F143" s="57">
        <v>0.257</v>
      </c>
      <c r="G143" s="57">
        <v>0.133</v>
      </c>
      <c r="H143" s="57">
        <v>0.025</v>
      </c>
      <c r="I143" s="57">
        <v>0.013</v>
      </c>
      <c r="J143" s="57">
        <v>0.86</v>
      </c>
      <c r="K143" s="33">
        <f>average(1.2,0.98,1.1,1.22)</f>
        <v>1.125</v>
      </c>
      <c r="L143" s="70">
        <v>44635.0</v>
      </c>
    </row>
    <row r="144">
      <c r="A144" s="57" t="s">
        <v>163</v>
      </c>
      <c r="B144" s="57">
        <v>2382.0</v>
      </c>
      <c r="C144" s="57">
        <v>3.0</v>
      </c>
      <c r="D144" s="57">
        <v>0.0</v>
      </c>
      <c r="F144" s="57">
        <v>1.123</v>
      </c>
      <c r="G144" s="57">
        <v>0.485</v>
      </c>
      <c r="H144" s="57">
        <v>0.082</v>
      </c>
      <c r="I144" s="57">
        <v>0.032</v>
      </c>
      <c r="J144" s="57">
        <v>2.19</v>
      </c>
      <c r="K144" s="33">
        <f>average(0.88,1.12,1.22,1.38)</f>
        <v>1.15</v>
      </c>
      <c r="L144" s="70">
        <v>44635.0</v>
      </c>
    </row>
    <row r="145">
      <c r="A145" s="57" t="s">
        <v>59</v>
      </c>
      <c r="B145" s="57">
        <v>2089.0</v>
      </c>
      <c r="C145" s="57">
        <v>4.0</v>
      </c>
      <c r="D145" s="57">
        <v>0.0</v>
      </c>
      <c r="F145" s="57">
        <v>0.752</v>
      </c>
      <c r="G145" s="57">
        <v>0.438</v>
      </c>
      <c r="H145" s="57">
        <v>0.098</v>
      </c>
      <c r="I145" s="57">
        <v>0.051</v>
      </c>
      <c r="J145" s="57">
        <v>3.17</v>
      </c>
      <c r="K145" s="33">
        <f>average(1.21,1.38,1.45,1.31)</f>
        <v>1.3375</v>
      </c>
      <c r="L145" s="70">
        <v>44635.0</v>
      </c>
    </row>
    <row r="146">
      <c r="A146" s="57" t="s">
        <v>59</v>
      </c>
      <c r="B146" s="57">
        <v>2377.0</v>
      </c>
      <c r="C146" s="57">
        <v>1.0</v>
      </c>
      <c r="D146" s="57">
        <v>1.0</v>
      </c>
      <c r="F146" s="57">
        <v>2.038</v>
      </c>
      <c r="G146" s="57">
        <v>1.258</v>
      </c>
      <c r="H146" s="57">
        <v>0.466</v>
      </c>
      <c r="I146" s="57">
        <v>0.259</v>
      </c>
      <c r="J146" s="57">
        <v>7.75</v>
      </c>
      <c r="K146" s="33">
        <f>average(1.19,2.16,2.22,2.05)</f>
        <v>1.905</v>
      </c>
      <c r="L146" s="70">
        <v>44635.0</v>
      </c>
    </row>
    <row r="147">
      <c r="A147" s="57" t="s">
        <v>163</v>
      </c>
      <c r="B147" s="57">
        <v>2006.0</v>
      </c>
      <c r="C147" s="57">
        <v>2.0</v>
      </c>
      <c r="D147" s="57">
        <v>0.0</v>
      </c>
      <c r="F147" s="57">
        <v>0.916</v>
      </c>
      <c r="G147" s="57">
        <v>0.326</v>
      </c>
      <c r="H147" s="57">
        <v>0.053</v>
      </c>
      <c r="I147" s="57">
        <v>0.02</v>
      </c>
      <c r="J147" s="57">
        <v>1.38</v>
      </c>
      <c r="K147" s="33">
        <f>average(1.74,1.69,1.78,1.38)</f>
        <v>1.6475</v>
      </c>
      <c r="L147" s="70">
        <v>44635.0</v>
      </c>
    </row>
    <row r="148">
      <c r="A148" s="57" t="s">
        <v>163</v>
      </c>
      <c r="B148" s="57">
        <v>2384.0</v>
      </c>
      <c r="C148" s="57">
        <v>3.0</v>
      </c>
      <c r="D148" s="57">
        <v>0.0</v>
      </c>
      <c r="F148" s="57">
        <v>0.247</v>
      </c>
      <c r="G148" s="57">
        <v>0.106</v>
      </c>
      <c r="H148" s="57">
        <v>0.011</v>
      </c>
      <c r="I148" s="57">
        <v>0.004</v>
      </c>
      <c r="J148" s="57">
        <v>0.61</v>
      </c>
      <c r="K148" s="57" t="s">
        <v>60</v>
      </c>
      <c r="L148" s="70">
        <v>44635.0</v>
      </c>
    </row>
    <row r="149">
      <c r="A149" s="57" t="s">
        <v>163</v>
      </c>
      <c r="B149" s="57">
        <v>2378.0</v>
      </c>
      <c r="C149" s="57">
        <v>4.0</v>
      </c>
      <c r="D149" s="57">
        <v>0.0</v>
      </c>
      <c r="F149" s="57">
        <v>0.452</v>
      </c>
      <c r="G149" s="57">
        <v>0.208</v>
      </c>
      <c r="H149" s="57">
        <v>0.086</v>
      </c>
      <c r="I149" s="57">
        <v>0.035</v>
      </c>
      <c r="J149" s="57">
        <v>2.21</v>
      </c>
      <c r="K149" s="33">
        <f>average(0.9,0.88,1.05,1.13)</f>
        <v>0.99</v>
      </c>
      <c r="L149" s="70">
        <v>44635.0</v>
      </c>
    </row>
    <row r="150">
      <c r="A150" s="57" t="s">
        <v>163</v>
      </c>
      <c r="B150" s="57">
        <v>2378.0</v>
      </c>
      <c r="C150" s="57">
        <v>3.0</v>
      </c>
      <c r="D150" s="57">
        <v>0.0</v>
      </c>
      <c r="F150" s="57">
        <v>0.827</v>
      </c>
      <c r="G150" s="57">
        <v>0.376</v>
      </c>
      <c r="H150" s="57">
        <v>0.161</v>
      </c>
      <c r="I150" s="57">
        <v>0.065</v>
      </c>
      <c r="J150" s="57">
        <v>4.02</v>
      </c>
      <c r="K150" s="33">
        <f>average(1.32,1.24,1.34,1.48)</f>
        <v>1.345</v>
      </c>
      <c r="L150" s="70">
        <v>44635.0</v>
      </c>
    </row>
    <row r="151">
      <c r="A151" s="57" t="s">
        <v>163</v>
      </c>
      <c r="B151" s="57">
        <v>2020.0</v>
      </c>
      <c r="C151" s="57">
        <v>4.0</v>
      </c>
      <c r="D151" s="57">
        <v>0.0</v>
      </c>
      <c r="F151" s="57">
        <v>0.277</v>
      </c>
      <c r="G151" s="57">
        <v>0.124</v>
      </c>
      <c r="H151" s="57">
        <v>0.018</v>
      </c>
      <c r="I151" s="57">
        <v>0.007</v>
      </c>
      <c r="J151" s="57">
        <v>0.7</v>
      </c>
      <c r="K151" s="33">
        <f>average(0.85,0.76,0.67,0.56)</f>
        <v>0.71</v>
      </c>
      <c r="L151" s="70">
        <v>44635.0</v>
      </c>
    </row>
    <row r="152">
      <c r="A152" s="57" t="s">
        <v>59</v>
      </c>
      <c r="B152" s="57">
        <v>2022.0</v>
      </c>
      <c r="C152" s="57">
        <v>3.0</v>
      </c>
      <c r="D152" s="57">
        <v>0.0</v>
      </c>
      <c r="F152" s="57">
        <v>3.288</v>
      </c>
      <c r="G152" s="57">
        <v>1.546</v>
      </c>
      <c r="H152" s="57">
        <v>0.237</v>
      </c>
      <c r="I152" s="57">
        <v>0.089</v>
      </c>
      <c r="J152" s="57">
        <v>3.42</v>
      </c>
      <c r="K152" s="33">
        <f>average(1.65,1.5,1.53,1.6)</f>
        <v>1.57</v>
      </c>
      <c r="L152" s="70">
        <v>44635.0</v>
      </c>
    </row>
    <row r="153">
      <c r="A153" s="57" t="s">
        <v>163</v>
      </c>
      <c r="B153" s="57">
        <v>2007.0</v>
      </c>
      <c r="C153" s="57">
        <v>3.0</v>
      </c>
      <c r="D153" s="57">
        <v>0.0</v>
      </c>
      <c r="F153" s="57">
        <v>0.29</v>
      </c>
      <c r="G153" s="57">
        <v>0.133</v>
      </c>
      <c r="H153" s="57" t="s">
        <v>60</v>
      </c>
      <c r="I153" s="57">
        <v>0.009</v>
      </c>
      <c r="J153" s="57">
        <v>1.09</v>
      </c>
      <c r="K153" s="57" t="s">
        <v>60</v>
      </c>
      <c r="L153" s="70">
        <v>44635.0</v>
      </c>
    </row>
    <row r="154">
      <c r="A154" s="57" t="s">
        <v>59</v>
      </c>
      <c r="B154" s="57">
        <v>2092.0</v>
      </c>
      <c r="C154" s="57">
        <v>3.0</v>
      </c>
      <c r="D154" s="57">
        <v>1.0</v>
      </c>
      <c r="F154" s="57">
        <v>0.764</v>
      </c>
      <c r="G154" s="57">
        <v>0.445</v>
      </c>
      <c r="H154" s="57">
        <v>0.121</v>
      </c>
      <c r="I154" s="57">
        <v>0.066</v>
      </c>
      <c r="J154" s="57">
        <v>3.5</v>
      </c>
      <c r="K154" s="33">
        <f>average(1.34,1.39,1.36,1.32)</f>
        <v>1.3525</v>
      </c>
      <c r="L154" s="70">
        <v>44635.0</v>
      </c>
    </row>
    <row r="155">
      <c r="A155" s="57" t="s">
        <v>59</v>
      </c>
      <c r="B155" s="57">
        <v>2022.0</v>
      </c>
      <c r="C155" s="57">
        <v>2.0</v>
      </c>
      <c r="D155" s="57">
        <v>0.0</v>
      </c>
      <c r="F155" s="57">
        <v>1.921</v>
      </c>
      <c r="G155" s="57">
        <v>0.934</v>
      </c>
      <c r="H155" s="57">
        <v>0.253</v>
      </c>
      <c r="I155" s="57">
        <v>0.093</v>
      </c>
      <c r="J155" s="57">
        <v>2.5</v>
      </c>
      <c r="K155" s="33">
        <f>average(1.5,1.47,1.4,1.45)</f>
        <v>1.455</v>
      </c>
      <c r="L155" s="70">
        <v>44635.0</v>
      </c>
    </row>
    <row r="156">
      <c r="A156" s="57" t="s">
        <v>59</v>
      </c>
      <c r="B156" s="57">
        <v>2331.0</v>
      </c>
      <c r="C156" s="57">
        <v>1.0</v>
      </c>
      <c r="D156" s="57">
        <v>1.0</v>
      </c>
      <c r="F156" s="57">
        <v>2.041</v>
      </c>
      <c r="G156" s="57">
        <v>1.282</v>
      </c>
      <c r="H156" s="57">
        <v>0.414</v>
      </c>
      <c r="I156" s="57">
        <v>0.245</v>
      </c>
      <c r="J156" s="57">
        <v>7.13</v>
      </c>
      <c r="K156" s="33">
        <f>average(2.01,1.92,1.96,1.94)</f>
        <v>1.9575</v>
      </c>
      <c r="L156" s="70">
        <v>44635.0</v>
      </c>
    </row>
    <row r="157">
      <c r="A157" s="57" t="s">
        <v>59</v>
      </c>
      <c r="B157" s="57" t="s">
        <v>166</v>
      </c>
      <c r="C157" s="57">
        <v>1.0</v>
      </c>
      <c r="D157" s="57">
        <v>1.0</v>
      </c>
      <c r="F157" s="57">
        <v>1.386</v>
      </c>
      <c r="G157" s="57">
        <v>0.824</v>
      </c>
      <c r="H157" s="57" t="s">
        <v>60</v>
      </c>
      <c r="I157" s="57">
        <v>0.089</v>
      </c>
      <c r="J157" s="57">
        <v>4.83</v>
      </c>
      <c r="K157" s="33">
        <f>average(1.36,1.31,1.36,1.35)</f>
        <v>1.345</v>
      </c>
      <c r="L157" s="70">
        <v>44635.0</v>
      </c>
    </row>
    <row r="158">
      <c r="A158" s="57" t="s">
        <v>163</v>
      </c>
      <c r="B158" s="57">
        <v>2384.0</v>
      </c>
      <c r="C158" s="57">
        <v>2.0</v>
      </c>
      <c r="D158" s="57">
        <v>0.0</v>
      </c>
      <c r="F158" s="57">
        <v>0.305</v>
      </c>
      <c r="G158" s="57">
        <v>0.131</v>
      </c>
      <c r="H158" s="57">
        <v>0.027</v>
      </c>
      <c r="I158" s="57">
        <v>0.011</v>
      </c>
      <c r="J158" s="57">
        <v>0.86</v>
      </c>
      <c r="K158" s="57" t="s">
        <v>60</v>
      </c>
      <c r="L158" s="70">
        <v>44635.0</v>
      </c>
    </row>
    <row r="159">
      <c r="A159" s="57" t="s">
        <v>59</v>
      </c>
      <c r="B159" s="57">
        <v>2089.0</v>
      </c>
      <c r="C159" s="57">
        <v>3.0</v>
      </c>
      <c r="D159" s="57">
        <v>0.0</v>
      </c>
      <c r="F159" s="57">
        <v>0.756</v>
      </c>
      <c r="G159" s="57">
        <v>0.453</v>
      </c>
      <c r="H159" s="57">
        <v>0.075</v>
      </c>
      <c r="I159" s="57">
        <v>0.044</v>
      </c>
      <c r="J159" s="57">
        <v>3.22</v>
      </c>
      <c r="K159" s="33">
        <f>average(1,1.25,1.23,1.01)</f>
        <v>1.1225</v>
      </c>
      <c r="L159" s="70">
        <v>44635.0</v>
      </c>
    </row>
    <row r="160">
      <c r="A160" s="57" t="s">
        <v>163</v>
      </c>
      <c r="B160" s="57">
        <v>2027.0</v>
      </c>
      <c r="C160" s="57">
        <v>3.0</v>
      </c>
      <c r="D160" s="57">
        <v>0.0</v>
      </c>
      <c r="F160" s="57">
        <v>0.315</v>
      </c>
      <c r="G160" s="57">
        <v>0.135</v>
      </c>
      <c r="H160" s="57">
        <v>0.012</v>
      </c>
      <c r="I160" s="57">
        <v>0.005</v>
      </c>
      <c r="J160" s="57">
        <v>0.5</v>
      </c>
      <c r="K160" s="57" t="s">
        <v>60</v>
      </c>
      <c r="L160" s="70">
        <v>44635.0</v>
      </c>
    </row>
    <row r="161">
      <c r="A161" s="57" t="s">
        <v>59</v>
      </c>
      <c r="B161" s="57">
        <v>2023.0</v>
      </c>
      <c r="C161" s="57">
        <v>1.0</v>
      </c>
      <c r="D161" s="57">
        <v>0.0</v>
      </c>
      <c r="E161" s="57" t="s">
        <v>165</v>
      </c>
      <c r="F161" s="57">
        <v>2.408</v>
      </c>
      <c r="G161" s="57">
        <v>1.259</v>
      </c>
      <c r="H161" s="57">
        <v>0.213</v>
      </c>
      <c r="I161" s="57">
        <v>0.097</v>
      </c>
      <c r="J161" s="57">
        <v>5.29</v>
      </c>
      <c r="K161" s="33">
        <f>average(1.37,1.55,1.69,1.44)</f>
        <v>1.5125</v>
      </c>
      <c r="L161" s="70">
        <v>44635.0</v>
      </c>
    </row>
    <row r="162">
      <c r="A162" s="57" t="s">
        <v>163</v>
      </c>
      <c r="B162" s="57">
        <v>2381.0</v>
      </c>
      <c r="C162" s="57">
        <v>2.0</v>
      </c>
      <c r="D162" s="57">
        <v>0.0</v>
      </c>
      <c r="F162" s="57">
        <v>0.482</v>
      </c>
      <c r="G162" s="57">
        <v>0.191</v>
      </c>
      <c r="H162" s="57">
        <v>0.028</v>
      </c>
      <c r="I162" s="57">
        <v>0.011</v>
      </c>
      <c r="J162" s="57">
        <v>0.8</v>
      </c>
      <c r="K162" s="57" t="s">
        <v>60</v>
      </c>
      <c r="L162" s="70">
        <v>44635.0</v>
      </c>
    </row>
    <row r="163">
      <c r="A163" s="57" t="s">
        <v>163</v>
      </c>
      <c r="B163" s="57">
        <v>2025.0</v>
      </c>
      <c r="C163" s="57">
        <v>1.0</v>
      </c>
      <c r="D163" s="57">
        <v>0.0</v>
      </c>
      <c r="F163" s="57">
        <v>0.854</v>
      </c>
      <c r="G163" s="57">
        <v>0.393</v>
      </c>
      <c r="H163" s="57">
        <v>0.133</v>
      </c>
      <c r="I163" s="57">
        <v>0.055</v>
      </c>
      <c r="J163" s="57">
        <v>3.41</v>
      </c>
      <c r="K163" s="33">
        <f>average(1.41,1.13,1.24,1.44)</f>
        <v>1.305</v>
      </c>
      <c r="L163" s="70">
        <v>44635.0</v>
      </c>
    </row>
    <row r="164">
      <c r="A164" s="57" t="s">
        <v>59</v>
      </c>
      <c r="B164" s="57" t="s">
        <v>166</v>
      </c>
      <c r="C164" s="57">
        <v>3.0</v>
      </c>
      <c r="D164" s="57">
        <v>1.0</v>
      </c>
      <c r="F164" s="57">
        <v>1.713</v>
      </c>
      <c r="G164" s="57">
        <v>1.066</v>
      </c>
      <c r="H164" s="57">
        <v>0.164</v>
      </c>
      <c r="I164" s="57">
        <v>0.098</v>
      </c>
      <c r="J164" s="57">
        <v>4.43</v>
      </c>
      <c r="K164" s="33">
        <f>average(1.55,1.85,1.94,1.69)</f>
        <v>1.7575</v>
      </c>
      <c r="L164" s="70">
        <v>44635.0</v>
      </c>
    </row>
    <row r="165">
      <c r="A165" s="57" t="s">
        <v>59</v>
      </c>
      <c r="B165" s="57" t="s">
        <v>166</v>
      </c>
      <c r="C165" s="57">
        <v>1.0</v>
      </c>
      <c r="D165" s="57">
        <v>0.0</v>
      </c>
      <c r="F165" s="57">
        <v>0.237</v>
      </c>
      <c r="G165" s="57">
        <v>0.131</v>
      </c>
      <c r="H165" s="57">
        <v>0.033</v>
      </c>
      <c r="I165" s="57">
        <v>0.017</v>
      </c>
      <c r="J165" s="57">
        <v>1.23</v>
      </c>
      <c r="K165" s="33">
        <f>average(1.06,0.91,1.11,0.8)</f>
        <v>0.97</v>
      </c>
      <c r="L165" s="70">
        <v>44635.0</v>
      </c>
    </row>
    <row r="166">
      <c r="A166" s="57" t="s">
        <v>59</v>
      </c>
      <c r="B166" s="57">
        <v>2022.0</v>
      </c>
      <c r="C166" s="57">
        <v>2.0</v>
      </c>
      <c r="D166" s="57">
        <v>1.0</v>
      </c>
      <c r="F166" s="57">
        <v>0.622</v>
      </c>
      <c r="G166" s="57">
        <v>0.361</v>
      </c>
      <c r="H166" s="57">
        <v>0.057</v>
      </c>
      <c r="I166" s="57">
        <v>0.098</v>
      </c>
      <c r="J166" s="57">
        <v>3.61</v>
      </c>
      <c r="K166" s="33">
        <f>average(1.71,1.94,1.52,1.64)</f>
        <v>1.7025</v>
      </c>
      <c r="L166" s="70">
        <v>44635.0</v>
      </c>
    </row>
    <row r="167">
      <c r="A167" s="57" t="s">
        <v>59</v>
      </c>
      <c r="B167" s="57">
        <v>2026.0</v>
      </c>
      <c r="C167" s="57">
        <v>2.0</v>
      </c>
      <c r="D167" s="57">
        <v>0.0</v>
      </c>
      <c r="F167" s="57">
        <v>0.24</v>
      </c>
      <c r="G167" s="57">
        <v>0.114</v>
      </c>
      <c r="H167" s="57">
        <v>0.03</v>
      </c>
      <c r="I167" s="57">
        <v>0.013</v>
      </c>
      <c r="J167" s="57">
        <v>1.48</v>
      </c>
      <c r="K167" s="33">
        <f>average(0.74,0.68,0.71,0.64)</f>
        <v>0.6925</v>
      </c>
      <c r="L167" s="70">
        <v>44635.0</v>
      </c>
    </row>
    <row r="168">
      <c r="A168" s="57" t="s">
        <v>59</v>
      </c>
      <c r="B168" s="57">
        <v>2022.0</v>
      </c>
      <c r="C168" s="57">
        <v>1.0</v>
      </c>
      <c r="D168" s="57">
        <v>0.0</v>
      </c>
      <c r="F168" s="57">
        <v>1.172</v>
      </c>
      <c r="G168" s="57">
        <v>0.567</v>
      </c>
      <c r="H168" s="57">
        <v>0.108</v>
      </c>
      <c r="I168" s="57">
        <v>0.046</v>
      </c>
      <c r="J168" s="57">
        <v>2.01</v>
      </c>
      <c r="K168" s="33">
        <f>average(1.4,1.22,1.17,1.33)</f>
        <v>1.28</v>
      </c>
      <c r="L168" s="70">
        <v>44635.0</v>
      </c>
    </row>
    <row r="169">
      <c r="A169" s="57" t="s">
        <v>163</v>
      </c>
      <c r="B169" s="57">
        <v>2005.0</v>
      </c>
      <c r="C169" s="57">
        <v>3.0</v>
      </c>
      <c r="D169" s="57">
        <v>0.0</v>
      </c>
      <c r="F169" s="57">
        <v>1.485</v>
      </c>
      <c r="G169" s="57">
        <v>0.624</v>
      </c>
      <c r="H169" s="57">
        <v>0.184</v>
      </c>
      <c r="I169" s="57">
        <v>0.072</v>
      </c>
      <c r="J169" s="57">
        <v>3.75</v>
      </c>
      <c r="K169" s="33">
        <f>average(1.24,1.38,1.52,1.34)</f>
        <v>1.37</v>
      </c>
      <c r="L169" s="70">
        <v>44635.0</v>
      </c>
    </row>
    <row r="170">
      <c r="A170" s="57" t="s">
        <v>59</v>
      </c>
      <c r="B170" s="57" t="s">
        <v>167</v>
      </c>
      <c r="C170" s="57">
        <v>3.0</v>
      </c>
      <c r="D170" s="57">
        <v>1.0</v>
      </c>
      <c r="F170" s="57">
        <v>1.755</v>
      </c>
      <c r="G170" s="57">
        <v>1.052</v>
      </c>
      <c r="H170" s="57">
        <v>0.32</v>
      </c>
      <c r="I170" s="57">
        <v>0.182</v>
      </c>
      <c r="J170" s="57">
        <v>7.55</v>
      </c>
      <c r="K170" s="33">
        <f>average(2.02,2.13,2.08,2.06)</f>
        <v>2.0725</v>
      </c>
      <c r="L170" s="70">
        <v>44635.0</v>
      </c>
    </row>
    <row r="171">
      <c r="A171" s="57" t="s">
        <v>59</v>
      </c>
      <c r="B171" s="57">
        <v>2093.0</v>
      </c>
      <c r="C171" s="57">
        <v>1.0</v>
      </c>
      <c r="D171" s="57">
        <v>1.0</v>
      </c>
      <c r="F171" s="57">
        <v>1.357</v>
      </c>
      <c r="G171" s="57">
        <v>0.806</v>
      </c>
      <c r="H171" s="57">
        <v>0.174</v>
      </c>
      <c r="I171" s="57">
        <v>0.093</v>
      </c>
      <c r="J171" s="57">
        <v>3.24</v>
      </c>
      <c r="K171" s="33">
        <f>average(1.74,1.51,1.45,1.63)</f>
        <v>1.5825</v>
      </c>
      <c r="L171" s="70">
        <v>44635.0</v>
      </c>
    </row>
    <row r="172">
      <c r="A172" s="57" t="s">
        <v>163</v>
      </c>
      <c r="B172" s="57">
        <v>2004.0</v>
      </c>
      <c r="C172" s="57">
        <v>1.0</v>
      </c>
      <c r="D172" s="57">
        <v>0.0</v>
      </c>
      <c r="F172" s="57">
        <v>0.656</v>
      </c>
      <c r="G172" s="57">
        <v>0.238</v>
      </c>
      <c r="H172" s="57">
        <v>0.129</v>
      </c>
      <c r="I172" s="57">
        <v>0.043</v>
      </c>
      <c r="J172" s="57">
        <v>3.55</v>
      </c>
      <c r="K172" s="33">
        <f>average(1.37,1.19,1.04,1.24)</f>
        <v>1.21</v>
      </c>
      <c r="L172" s="70">
        <v>44635.0</v>
      </c>
    </row>
    <row r="173">
      <c r="A173" s="57" t="s">
        <v>59</v>
      </c>
      <c r="B173" s="57" t="s">
        <v>167</v>
      </c>
      <c r="C173" s="57">
        <v>2.0</v>
      </c>
      <c r="D173" s="57">
        <v>1.0</v>
      </c>
      <c r="F173" s="57">
        <v>1.252</v>
      </c>
      <c r="G173" s="57">
        <v>0.763</v>
      </c>
      <c r="H173" s="57">
        <v>0.153</v>
      </c>
      <c r="I173" s="57">
        <v>0.088</v>
      </c>
      <c r="J173" s="57">
        <v>5.39</v>
      </c>
      <c r="K173" s="33">
        <f>average(1.56,1.52,1.73,1.57)</f>
        <v>1.595</v>
      </c>
      <c r="L173" s="70">
        <v>44635.0</v>
      </c>
    </row>
    <row r="174">
      <c r="A174" s="57" t="s">
        <v>163</v>
      </c>
      <c r="B174" s="57">
        <v>2381.0</v>
      </c>
      <c r="C174" s="57">
        <v>3.0</v>
      </c>
      <c r="D174" s="57">
        <v>0.0</v>
      </c>
      <c r="F174" s="57">
        <v>0.905</v>
      </c>
      <c r="G174" s="57">
        <v>0.365</v>
      </c>
      <c r="H174" s="57">
        <v>0.041</v>
      </c>
      <c r="I174" s="57">
        <v>0.015</v>
      </c>
      <c r="J174" s="57">
        <v>0.85</v>
      </c>
      <c r="K174" s="57" t="s">
        <v>60</v>
      </c>
      <c r="L174" s="70">
        <v>44635.0</v>
      </c>
    </row>
    <row r="175">
      <c r="A175" s="57" t="s">
        <v>163</v>
      </c>
      <c r="B175" s="57">
        <v>2021.0</v>
      </c>
      <c r="C175" s="57">
        <v>3.0</v>
      </c>
      <c r="D175" s="57">
        <v>0.0</v>
      </c>
      <c r="F175" s="57">
        <v>0.793</v>
      </c>
      <c r="G175" s="57">
        <v>0.377</v>
      </c>
      <c r="H175" s="57">
        <v>0.061</v>
      </c>
      <c r="I175" s="57">
        <v>0.025</v>
      </c>
      <c r="J175" s="57">
        <v>1.48</v>
      </c>
      <c r="K175" s="57" t="s">
        <v>60</v>
      </c>
      <c r="L175" s="70">
        <v>44635.0</v>
      </c>
    </row>
    <row r="176">
      <c r="A176" s="57" t="s">
        <v>163</v>
      </c>
      <c r="B176" s="57">
        <v>2021.0</v>
      </c>
      <c r="C176" s="57">
        <v>3.0</v>
      </c>
      <c r="D176" s="57">
        <v>0.0</v>
      </c>
      <c r="F176" s="57">
        <v>0.793</v>
      </c>
      <c r="G176" s="57">
        <v>0.377</v>
      </c>
      <c r="H176" s="57">
        <v>0.061</v>
      </c>
      <c r="I176" s="57">
        <v>0.025</v>
      </c>
      <c r="J176" s="57">
        <v>1.48</v>
      </c>
      <c r="K176" s="57" t="s">
        <v>60</v>
      </c>
      <c r="L176" s="70">
        <v>44635.0</v>
      </c>
    </row>
    <row r="177">
      <c r="A177" s="57" t="s">
        <v>163</v>
      </c>
      <c r="B177" s="57">
        <v>2384.0</v>
      </c>
      <c r="C177" s="57">
        <v>1.0</v>
      </c>
      <c r="D177" s="57">
        <v>0.0</v>
      </c>
      <c r="F177" s="57">
        <v>0.129</v>
      </c>
      <c r="G177" s="57">
        <v>0.114</v>
      </c>
      <c r="H177" s="57">
        <v>0.019</v>
      </c>
      <c r="I177" s="57">
        <v>0.007</v>
      </c>
      <c r="J177" s="57">
        <v>0.77</v>
      </c>
      <c r="K177" s="57" t="s">
        <v>60</v>
      </c>
      <c r="L177" s="70">
        <v>44635.0</v>
      </c>
    </row>
    <row r="178">
      <c r="A178" s="57" t="s">
        <v>163</v>
      </c>
      <c r="B178" s="57">
        <v>2007.0</v>
      </c>
      <c r="C178" s="57">
        <v>2.0</v>
      </c>
      <c r="D178" s="57">
        <v>0.0</v>
      </c>
      <c r="F178" s="57">
        <v>0.529</v>
      </c>
      <c r="G178" s="57">
        <v>0.245</v>
      </c>
      <c r="H178" s="57">
        <v>0.027</v>
      </c>
      <c r="I178" s="57">
        <v>0.011</v>
      </c>
      <c r="J178" s="57">
        <v>0.99</v>
      </c>
      <c r="K178" s="33">
        <f>average(0.59,0.68,0.55,0.6)</f>
        <v>0.605</v>
      </c>
      <c r="L178" s="70">
        <v>44635.0</v>
      </c>
    </row>
    <row r="179">
      <c r="A179" s="57" t="s">
        <v>59</v>
      </c>
      <c r="B179" s="57">
        <v>2092.0</v>
      </c>
      <c r="C179" s="57">
        <v>2.0</v>
      </c>
      <c r="D179" s="57">
        <v>1.0</v>
      </c>
      <c r="F179" s="57">
        <v>0.447</v>
      </c>
      <c r="G179" s="57">
        <v>0.272</v>
      </c>
      <c r="H179" s="57">
        <v>0.049</v>
      </c>
      <c r="I179" s="57">
        <v>0.027</v>
      </c>
      <c r="J179" s="57">
        <v>1.6</v>
      </c>
      <c r="K179" s="33">
        <f>average(2.22,1.19,1.19,1.25)</f>
        <v>1.4625</v>
      </c>
      <c r="L179" s="70">
        <v>44635.0</v>
      </c>
    </row>
    <row r="180">
      <c r="A180" s="57" t="s">
        <v>163</v>
      </c>
      <c r="B180" s="57">
        <v>2005.0</v>
      </c>
      <c r="C180" s="57">
        <v>2.0</v>
      </c>
      <c r="D180" s="57">
        <v>0.0</v>
      </c>
      <c r="F180" s="57">
        <v>2.143</v>
      </c>
      <c r="G180" s="57">
        <v>0.893</v>
      </c>
      <c r="H180" s="57">
        <v>0.275</v>
      </c>
      <c r="I180" s="57">
        <v>0.104</v>
      </c>
      <c r="J180" s="57">
        <v>4.21</v>
      </c>
      <c r="K180" s="33">
        <f>average(1.57,1.81,1.6,1.75)</f>
        <v>1.6825</v>
      </c>
      <c r="L180" s="70">
        <v>44635.0</v>
      </c>
    </row>
    <row r="181">
      <c r="A181" s="57" t="s">
        <v>59</v>
      </c>
      <c r="B181" s="57">
        <v>2089.0</v>
      </c>
      <c r="C181" s="57">
        <v>2.0</v>
      </c>
      <c r="D181" s="57">
        <v>0.0</v>
      </c>
      <c r="E181" s="57" t="s">
        <v>165</v>
      </c>
      <c r="F181" s="57">
        <v>0.561</v>
      </c>
      <c r="G181" s="57">
        <v>0.325</v>
      </c>
      <c r="H181" s="57">
        <v>0.056</v>
      </c>
      <c r="I181" s="57">
        <v>0.031</v>
      </c>
      <c r="J181" s="57">
        <v>2.82</v>
      </c>
      <c r="K181" s="33">
        <f>average(1.02,1.23,1.29,1.21)</f>
        <v>1.1875</v>
      </c>
      <c r="L181" s="70">
        <v>44635.0</v>
      </c>
    </row>
    <row r="182">
      <c r="A182" s="57" t="s">
        <v>59</v>
      </c>
      <c r="B182" s="57">
        <v>2377.0</v>
      </c>
      <c r="C182" s="57">
        <v>2.0</v>
      </c>
      <c r="D182" s="57">
        <v>1.0</v>
      </c>
      <c r="F182" s="57">
        <v>1.646</v>
      </c>
      <c r="G182" s="57">
        <v>1.005</v>
      </c>
      <c r="H182" s="57">
        <v>0.274</v>
      </c>
      <c r="I182" s="57">
        <v>0.152</v>
      </c>
      <c r="J182" s="57">
        <v>5.83</v>
      </c>
      <c r="K182" s="33">
        <f>average(1.85,1.96,1.9,1.98)</f>
        <v>1.9225</v>
      </c>
      <c r="L182" s="70">
        <v>44635.0</v>
      </c>
    </row>
    <row r="183">
      <c r="A183" s="57" t="s">
        <v>59</v>
      </c>
      <c r="B183" s="57" t="s">
        <v>166</v>
      </c>
      <c r="C183" s="57">
        <v>2.0</v>
      </c>
      <c r="D183" s="57">
        <v>1.0</v>
      </c>
      <c r="F183" s="57">
        <v>1.605</v>
      </c>
      <c r="G183" s="57">
        <v>0.989</v>
      </c>
      <c r="H183" s="57">
        <v>0.121</v>
      </c>
      <c r="I183" s="57">
        <v>0.066</v>
      </c>
      <c r="J183" s="57">
        <v>3.33</v>
      </c>
      <c r="K183" s="33">
        <f>average(1.46,1.53,1.6,1.49)</f>
        <v>1.52</v>
      </c>
      <c r="L183" s="70">
        <v>44635.0</v>
      </c>
    </row>
    <row r="184">
      <c r="A184" s="57" t="s">
        <v>163</v>
      </c>
      <c r="B184" s="57">
        <v>2024.0</v>
      </c>
      <c r="C184" s="57">
        <v>2.0</v>
      </c>
      <c r="D184" s="57">
        <v>0.0</v>
      </c>
      <c r="F184" s="57">
        <v>1.602</v>
      </c>
      <c r="G184" s="57">
        <v>0.653</v>
      </c>
      <c r="H184" s="57">
        <v>0.146</v>
      </c>
      <c r="I184" s="57">
        <v>0.057</v>
      </c>
      <c r="J184" s="57">
        <v>2.87</v>
      </c>
      <c r="K184" s="33">
        <f>average(1.15,1.31,1.43,1.47)</f>
        <v>1.34</v>
      </c>
      <c r="L184" s="70">
        <v>44635.0</v>
      </c>
    </row>
    <row r="185">
      <c r="A185" s="57" t="s">
        <v>163</v>
      </c>
      <c r="B185" s="57">
        <v>2382.0</v>
      </c>
      <c r="C185" s="57">
        <v>1.0</v>
      </c>
      <c r="D185" s="57">
        <v>0.0</v>
      </c>
      <c r="F185" s="57">
        <v>1.272</v>
      </c>
      <c r="G185" s="57">
        <v>0.562</v>
      </c>
      <c r="H185" s="57">
        <v>0.279</v>
      </c>
      <c r="I185" s="57">
        <v>0.106</v>
      </c>
      <c r="J185" s="57">
        <v>6.41</v>
      </c>
      <c r="K185" s="33">
        <f>average(1.23,1.24,1.42,1.33)</f>
        <v>1.305</v>
      </c>
      <c r="L185" s="70">
        <v>44635.0</v>
      </c>
    </row>
    <row r="186">
      <c r="A186" s="57" t="s">
        <v>59</v>
      </c>
      <c r="B186" s="57">
        <v>2380.0</v>
      </c>
      <c r="C186" s="57">
        <v>3.0</v>
      </c>
      <c r="D186" s="57">
        <v>1.0</v>
      </c>
      <c r="F186" s="57">
        <v>0.668</v>
      </c>
      <c r="G186" s="57">
        <v>0.407</v>
      </c>
      <c r="H186" s="57">
        <v>0.076</v>
      </c>
      <c r="I186" s="57">
        <v>0.043</v>
      </c>
      <c r="J186" s="57">
        <v>1.82</v>
      </c>
      <c r="K186" s="33">
        <f>average(1.07,1.08,1.23,1.07)</f>
        <v>1.1125</v>
      </c>
      <c r="L186" s="70">
        <v>44635.0</v>
      </c>
    </row>
    <row r="187">
      <c r="A187" s="57" t="s">
        <v>163</v>
      </c>
      <c r="B187" s="57">
        <v>2021.0</v>
      </c>
      <c r="C187" s="57">
        <v>2.0</v>
      </c>
      <c r="D187" s="57">
        <v>0.0</v>
      </c>
      <c r="F187" s="57">
        <v>0.82</v>
      </c>
      <c r="G187" s="57">
        <v>0.398</v>
      </c>
      <c r="H187" s="57">
        <v>0.089</v>
      </c>
      <c r="I187" s="57">
        <v>0.038</v>
      </c>
      <c r="J187" s="57">
        <v>2.05</v>
      </c>
      <c r="K187" s="57" t="s">
        <v>60</v>
      </c>
      <c r="L187" s="70">
        <v>44635.0</v>
      </c>
    </row>
    <row r="188">
      <c r="A188" s="57" t="s">
        <v>163</v>
      </c>
      <c r="B188" s="57">
        <v>2004.0</v>
      </c>
      <c r="C188" s="57">
        <v>3.0</v>
      </c>
      <c r="D188" s="57">
        <v>0.0</v>
      </c>
      <c r="F188" s="57">
        <v>0.507</v>
      </c>
      <c r="G188" s="57">
        <v>0.193</v>
      </c>
      <c r="H188" s="57">
        <v>0.059</v>
      </c>
      <c r="I188" s="57">
        <v>0.022</v>
      </c>
      <c r="J188" s="57">
        <v>1.67</v>
      </c>
      <c r="K188" s="33">
        <f>average(1.14,1.02,1.1,0.94)</f>
        <v>1.05</v>
      </c>
      <c r="L188" s="70">
        <v>44635.0</v>
      </c>
    </row>
    <row r="189">
      <c r="A189" s="57" t="s">
        <v>59</v>
      </c>
      <c r="B189" s="57">
        <v>2331.0</v>
      </c>
      <c r="C189" s="57">
        <v>3.0</v>
      </c>
      <c r="D189" s="57">
        <v>0.0</v>
      </c>
      <c r="F189" s="57">
        <v>0.485</v>
      </c>
      <c r="G189" s="57">
        <v>0.193</v>
      </c>
      <c r="H189" s="57">
        <v>0.102</v>
      </c>
      <c r="I189" s="57">
        <v>0.037</v>
      </c>
      <c r="J189" s="57">
        <v>3.6</v>
      </c>
      <c r="K189" s="33">
        <f>average(1.13,1.03,0.83,0.86)</f>
        <v>0.9625</v>
      </c>
      <c r="L189" s="70">
        <v>44635.0</v>
      </c>
    </row>
    <row r="190">
      <c r="A190" s="57" t="s">
        <v>59</v>
      </c>
      <c r="B190" s="57">
        <v>2089.0</v>
      </c>
      <c r="C190" s="57">
        <v>4.0</v>
      </c>
      <c r="D190" s="57">
        <v>1.0</v>
      </c>
      <c r="F190" s="57">
        <v>1.152</v>
      </c>
      <c r="G190" s="57">
        <v>0.701</v>
      </c>
      <c r="H190" s="57">
        <v>0.271</v>
      </c>
      <c r="I190" s="57">
        <v>0.156</v>
      </c>
      <c r="J190" s="57">
        <v>6.52</v>
      </c>
      <c r="K190" s="33">
        <f>average(1.71,1.77,1.72,1.7)</f>
        <v>1.725</v>
      </c>
      <c r="L190" s="70">
        <v>44635.0</v>
      </c>
    </row>
    <row r="191">
      <c r="A191" s="57" t="s">
        <v>163</v>
      </c>
      <c r="B191" s="57">
        <v>2008.0</v>
      </c>
      <c r="C191" s="57">
        <v>2.0</v>
      </c>
      <c r="D191" s="57">
        <v>0.0</v>
      </c>
      <c r="F191" s="57">
        <v>0.802</v>
      </c>
      <c r="G191" s="57">
        <v>0.291</v>
      </c>
      <c r="H191" s="57">
        <v>0.033</v>
      </c>
      <c r="I191" s="57">
        <v>0.012</v>
      </c>
      <c r="J191" s="57">
        <v>1.16</v>
      </c>
      <c r="K191" s="57" t="s">
        <v>60</v>
      </c>
      <c r="L191" s="70">
        <v>44635.0</v>
      </c>
    </row>
    <row r="192">
      <c r="A192" s="57" t="s">
        <v>59</v>
      </c>
      <c r="B192" s="57">
        <v>2331.0</v>
      </c>
      <c r="C192" s="57">
        <v>3.0</v>
      </c>
      <c r="D192" s="57">
        <v>1.0</v>
      </c>
      <c r="F192" s="57">
        <v>1.048</v>
      </c>
      <c r="G192" s="57">
        <v>0.642</v>
      </c>
      <c r="H192" s="57">
        <v>0.206</v>
      </c>
      <c r="I192" s="57">
        <v>0.111</v>
      </c>
      <c r="J192" s="57">
        <v>4.83</v>
      </c>
      <c r="K192" s="33">
        <f>average(1.39,1.45,1.51,1.48)</f>
        <v>1.4575</v>
      </c>
      <c r="L192" s="70">
        <v>44635.0</v>
      </c>
    </row>
    <row r="193">
      <c r="A193" s="57" t="s">
        <v>163</v>
      </c>
      <c r="B193" s="57">
        <v>2024.0</v>
      </c>
      <c r="C193" s="57">
        <v>3.0</v>
      </c>
      <c r="D193" s="57">
        <v>0.0</v>
      </c>
      <c r="F193" s="57">
        <v>1.128</v>
      </c>
      <c r="G193" s="57">
        <v>0.43</v>
      </c>
      <c r="H193" s="57">
        <v>0.26</v>
      </c>
      <c r="I193" s="57">
        <v>0.094</v>
      </c>
      <c r="J193" s="57">
        <v>5.23</v>
      </c>
      <c r="K193" s="33">
        <f>average(1.25,1.88,1.62,1.54)</f>
        <v>1.5725</v>
      </c>
      <c r="L193" s="70">
        <v>44635.0</v>
      </c>
    </row>
    <row r="194">
      <c r="A194" s="57" t="s">
        <v>59</v>
      </c>
      <c r="B194" s="57">
        <v>2093.0</v>
      </c>
      <c r="C194" s="57">
        <v>3.0</v>
      </c>
      <c r="D194" s="57">
        <v>1.0</v>
      </c>
      <c r="F194" s="57">
        <v>1.384</v>
      </c>
      <c r="G194" s="57">
        <v>0.822</v>
      </c>
      <c r="H194" s="57">
        <v>0.12</v>
      </c>
      <c r="I194" s="57">
        <v>0.067</v>
      </c>
      <c r="J194" s="57">
        <v>2.58</v>
      </c>
      <c r="K194" s="33">
        <f>average(1.43,1.45,1.38,1.41)</f>
        <v>1.4175</v>
      </c>
      <c r="L194" s="70">
        <v>44635.0</v>
      </c>
    </row>
    <row r="195">
      <c r="A195" s="57" t="s">
        <v>59</v>
      </c>
      <c r="B195" s="57">
        <v>2376.0</v>
      </c>
      <c r="C195" s="57">
        <v>3.0</v>
      </c>
      <c r="D195" s="57">
        <v>1.0</v>
      </c>
      <c r="F195" s="57">
        <v>2.062</v>
      </c>
      <c r="G195" s="57">
        <v>1.192</v>
      </c>
      <c r="H195" s="57">
        <v>0.254</v>
      </c>
      <c r="I195" s="57">
        <v>0.14</v>
      </c>
      <c r="J195" s="57">
        <v>15.29</v>
      </c>
      <c r="K195" s="33">
        <f>average(1.5,1.52,1.6,1.72)</f>
        <v>1.585</v>
      </c>
      <c r="L195" s="70">
        <v>44650.0</v>
      </c>
    </row>
    <row r="196">
      <c r="A196" s="57" t="s">
        <v>59</v>
      </c>
      <c r="B196" s="57">
        <v>2377.0</v>
      </c>
      <c r="C196" s="57">
        <v>2.0</v>
      </c>
      <c r="D196" s="57">
        <v>1.0</v>
      </c>
      <c r="F196" s="57">
        <v>1.456</v>
      </c>
      <c r="G196" s="57">
        <v>0.855</v>
      </c>
      <c r="H196" s="57">
        <v>0.825</v>
      </c>
      <c r="I196" s="57">
        <v>0.372</v>
      </c>
      <c r="J196" s="57">
        <v>8.84</v>
      </c>
      <c r="K196" s="33">
        <f>AVERAGE(2.13,2.14,2.39,2.13)</f>
        <v>2.1975</v>
      </c>
      <c r="L196" s="70">
        <v>44650.0</v>
      </c>
    </row>
    <row r="197">
      <c r="A197" s="57" t="s">
        <v>163</v>
      </c>
      <c r="B197" s="57">
        <v>2009.0</v>
      </c>
      <c r="C197" s="57">
        <v>6.0</v>
      </c>
      <c r="D197" s="57">
        <v>0.0</v>
      </c>
      <c r="F197" s="57">
        <v>0.409</v>
      </c>
      <c r="G197" s="57">
        <v>0.097</v>
      </c>
      <c r="H197" s="57">
        <v>0.04</v>
      </c>
      <c r="I197" s="57">
        <v>0.013</v>
      </c>
      <c r="J197" s="57">
        <v>1.06</v>
      </c>
      <c r="K197" s="33">
        <f>AVERAGE(0.75,0.86,0.7,0.68)</f>
        <v>0.7475</v>
      </c>
      <c r="L197" s="70">
        <v>44650.0</v>
      </c>
    </row>
    <row r="198">
      <c r="A198" s="57" t="s">
        <v>163</v>
      </c>
      <c r="B198" s="57">
        <v>2372.0</v>
      </c>
      <c r="C198" s="57">
        <v>1.0</v>
      </c>
      <c r="D198" s="57">
        <v>0.0</v>
      </c>
      <c r="F198" s="57">
        <v>0.585</v>
      </c>
      <c r="G198" s="57">
        <v>0.174</v>
      </c>
      <c r="H198" s="57">
        <v>0.059</v>
      </c>
      <c r="I198" s="57">
        <v>0.019</v>
      </c>
      <c r="J198" s="57">
        <v>1.31</v>
      </c>
      <c r="K198" s="57" t="s">
        <v>60</v>
      </c>
      <c r="L198" s="70">
        <v>44650.0</v>
      </c>
    </row>
    <row r="199">
      <c r="A199" s="57" t="s">
        <v>163</v>
      </c>
      <c r="B199" s="57">
        <v>2371.0</v>
      </c>
      <c r="C199" s="57">
        <v>3.0</v>
      </c>
      <c r="D199" s="57">
        <v>0.0</v>
      </c>
      <c r="F199" s="57">
        <v>0.389</v>
      </c>
      <c r="G199" s="57">
        <v>0.111</v>
      </c>
      <c r="H199" s="57">
        <v>0.037</v>
      </c>
      <c r="I199" s="57">
        <v>0.012</v>
      </c>
      <c r="J199" s="57">
        <v>1.52</v>
      </c>
      <c r="K199" s="33">
        <f>AVERAGE(0.6,0.73,0.71,0.76)</f>
        <v>0.7</v>
      </c>
      <c r="L199" s="70">
        <v>44650.0</v>
      </c>
    </row>
    <row r="200">
      <c r="A200" s="57" t="s">
        <v>163</v>
      </c>
      <c r="B200" s="57">
        <v>2382.0</v>
      </c>
      <c r="C200" s="57">
        <v>1.0</v>
      </c>
      <c r="D200" s="57">
        <v>0.0</v>
      </c>
      <c r="F200" s="57">
        <v>1.004</v>
      </c>
      <c r="G200" s="57">
        <v>0.499</v>
      </c>
      <c r="H200" s="57">
        <v>0.167</v>
      </c>
      <c r="I200" s="57">
        <v>0.075</v>
      </c>
      <c r="J200" s="57">
        <v>4.24</v>
      </c>
      <c r="K200" s="33">
        <f>AVERAGE(1.18,1.18,0.96,1.11)</f>
        <v>1.1075</v>
      </c>
      <c r="L200" s="70">
        <v>44650.0</v>
      </c>
    </row>
    <row r="201">
      <c r="A201" s="57" t="s">
        <v>163</v>
      </c>
      <c r="B201" s="57">
        <v>2020.0</v>
      </c>
      <c r="C201" s="57">
        <v>2.0</v>
      </c>
      <c r="D201" s="57">
        <v>0.0</v>
      </c>
      <c r="F201" s="57">
        <v>1.515</v>
      </c>
      <c r="G201" s="57">
        <v>0.69</v>
      </c>
      <c r="H201" s="57">
        <v>0.281</v>
      </c>
      <c r="I201" s="57">
        <v>0.104</v>
      </c>
      <c r="J201" s="57">
        <v>3.19</v>
      </c>
      <c r="K201" s="33">
        <f>AVERAGE(1.76,1.65,1.63,1.61)</f>
        <v>1.6625</v>
      </c>
      <c r="L201" s="70">
        <v>44650.0</v>
      </c>
    </row>
    <row r="202">
      <c r="A202" s="57" t="s">
        <v>59</v>
      </c>
      <c r="B202" s="57">
        <v>2331.0</v>
      </c>
      <c r="C202" s="57">
        <v>1.0</v>
      </c>
      <c r="D202" s="57">
        <v>1.0</v>
      </c>
      <c r="F202" s="57">
        <v>1.168</v>
      </c>
      <c r="G202" s="57">
        <v>0.977</v>
      </c>
      <c r="H202" s="57">
        <v>0.296</v>
      </c>
      <c r="I202" s="57">
        <v>0.168</v>
      </c>
      <c r="J202" s="57">
        <v>7.75</v>
      </c>
      <c r="K202" s="33">
        <f>AVERAGE(1.72,1.53,1.73,1.76)</f>
        <v>1.685</v>
      </c>
      <c r="L202" s="70">
        <v>44650.0</v>
      </c>
    </row>
    <row r="203">
      <c r="A203" s="57" t="s">
        <v>163</v>
      </c>
      <c r="B203" s="57">
        <v>2379.0</v>
      </c>
      <c r="C203" s="57">
        <v>3.0</v>
      </c>
      <c r="D203" s="57">
        <v>0.0</v>
      </c>
      <c r="F203" s="57">
        <v>0.362</v>
      </c>
      <c r="G203" s="57">
        <v>0.182</v>
      </c>
      <c r="H203" s="57">
        <v>0.02</v>
      </c>
      <c r="I203" s="57">
        <v>0.008</v>
      </c>
      <c r="J203" s="57">
        <v>0.78</v>
      </c>
      <c r="K203" s="57" t="s">
        <v>60</v>
      </c>
      <c r="L203" s="70">
        <v>44650.0</v>
      </c>
    </row>
    <row r="204">
      <c r="A204" s="57" t="s">
        <v>163</v>
      </c>
      <c r="B204" s="57">
        <v>2360.0</v>
      </c>
      <c r="C204" s="57">
        <v>3.0</v>
      </c>
      <c r="D204" s="57">
        <v>0.0</v>
      </c>
      <c r="F204" s="57">
        <v>1.023</v>
      </c>
      <c r="G204" s="57">
        <v>0.445</v>
      </c>
      <c r="H204" s="57">
        <v>0.085</v>
      </c>
      <c r="I204" s="57">
        <v>0.034</v>
      </c>
      <c r="J204" s="57">
        <v>2.08</v>
      </c>
      <c r="K204" s="33">
        <f>AVERAGE(1.23,0.97,1.13,1.22)</f>
        <v>1.1375</v>
      </c>
      <c r="L204" s="70">
        <v>44650.0</v>
      </c>
    </row>
    <row r="205">
      <c r="A205" s="57" t="s">
        <v>163</v>
      </c>
      <c r="B205" s="57">
        <v>2384.0</v>
      </c>
      <c r="C205" s="57">
        <v>3.0</v>
      </c>
      <c r="D205" s="57">
        <v>0.0</v>
      </c>
      <c r="F205" s="57">
        <v>0.392</v>
      </c>
      <c r="G205" s="57">
        <v>0.184</v>
      </c>
      <c r="H205" s="57">
        <v>0.023</v>
      </c>
      <c r="I205" s="57">
        <v>0.009</v>
      </c>
      <c r="J205" s="57">
        <v>0.87</v>
      </c>
      <c r="K205" s="57" t="s">
        <v>60</v>
      </c>
      <c r="L205" s="70">
        <v>44650.0</v>
      </c>
    </row>
    <row r="206">
      <c r="A206" s="57" t="s">
        <v>59</v>
      </c>
      <c r="B206" s="57">
        <v>2380.0</v>
      </c>
      <c r="C206" s="57">
        <v>2.0</v>
      </c>
      <c r="D206" s="57">
        <v>0.0</v>
      </c>
      <c r="F206" s="57">
        <v>1.289</v>
      </c>
      <c r="G206" s="57">
        <v>0.603</v>
      </c>
      <c r="H206" s="57">
        <v>0.052</v>
      </c>
      <c r="I206" s="57">
        <v>0.02</v>
      </c>
      <c r="J206" s="57">
        <v>1.42</v>
      </c>
      <c r="K206" s="33">
        <f>AVERAGE(0.75,0.67,0.6,0.57)</f>
        <v>0.6475</v>
      </c>
      <c r="L206" s="70">
        <v>44650.0</v>
      </c>
    </row>
    <row r="207">
      <c r="A207" s="57" t="s">
        <v>59</v>
      </c>
      <c r="B207" s="57">
        <v>2377.0</v>
      </c>
      <c r="C207" s="57">
        <v>3.0</v>
      </c>
      <c r="D207" s="57">
        <v>1.0</v>
      </c>
      <c r="F207" s="57">
        <v>2.578</v>
      </c>
      <c r="G207" s="57">
        <v>1.468</v>
      </c>
      <c r="H207" s="57">
        <v>0.619</v>
      </c>
      <c r="I207" s="57">
        <v>0.334</v>
      </c>
      <c r="J207" s="57">
        <v>9.49</v>
      </c>
      <c r="K207" s="33">
        <f>AVERAGE(2.32,1.99,2.16,2.32)</f>
        <v>2.1975</v>
      </c>
      <c r="L207" s="70">
        <v>44650.0</v>
      </c>
    </row>
    <row r="208">
      <c r="A208" s="57" t="s">
        <v>163</v>
      </c>
      <c r="B208" s="57">
        <v>2373.0</v>
      </c>
      <c r="C208" s="57">
        <v>2.0</v>
      </c>
      <c r="D208" s="57">
        <v>0.0</v>
      </c>
      <c r="F208" s="57">
        <v>0.654</v>
      </c>
      <c r="G208" s="57">
        <v>0.177</v>
      </c>
      <c r="H208" s="57">
        <v>0.051</v>
      </c>
      <c r="I208" s="57">
        <v>0.014</v>
      </c>
      <c r="J208" s="57">
        <v>1.08</v>
      </c>
      <c r="K208" s="33">
        <f>AVERAGE(0.89,0.82,1.02,1.27)</f>
        <v>1</v>
      </c>
      <c r="L208" s="70">
        <v>44650.0</v>
      </c>
    </row>
    <row r="209">
      <c r="A209" s="57" t="s">
        <v>163</v>
      </c>
      <c r="B209" s="57">
        <v>2383.0</v>
      </c>
      <c r="C209" s="57">
        <v>1.0</v>
      </c>
      <c r="D209" s="57">
        <v>0.0</v>
      </c>
      <c r="F209" s="57">
        <v>0.488</v>
      </c>
      <c r="G209" s="57">
        <v>0.239</v>
      </c>
      <c r="H209" s="57">
        <v>0.038</v>
      </c>
      <c r="I209" s="57">
        <v>0.017</v>
      </c>
      <c r="J209" s="57">
        <v>0.9</v>
      </c>
      <c r="K209" s="33">
        <f>AVERAGE(1.04,1.04,0.96,1.02)</f>
        <v>1.015</v>
      </c>
      <c r="L209" s="70">
        <v>44650.0</v>
      </c>
    </row>
    <row r="210">
      <c r="A210" s="57" t="s">
        <v>59</v>
      </c>
      <c r="B210" s="57">
        <v>2301.0</v>
      </c>
      <c r="C210" s="57">
        <v>3.0</v>
      </c>
      <c r="D210" s="57">
        <v>1.0</v>
      </c>
      <c r="F210" s="57">
        <v>0.772</v>
      </c>
      <c r="G210" s="57">
        <v>0.462</v>
      </c>
      <c r="H210" s="57">
        <v>0.267</v>
      </c>
      <c r="I210" s="57">
        <v>0.151</v>
      </c>
      <c r="J210" s="57">
        <v>6.64</v>
      </c>
      <c r="K210" s="33">
        <f>AVERAGE(1.41,1.42,1.43,1.51)</f>
        <v>1.4425</v>
      </c>
      <c r="L210" s="70">
        <v>44650.0</v>
      </c>
    </row>
    <row r="211">
      <c r="A211" s="57" t="s">
        <v>59</v>
      </c>
      <c r="B211" s="57">
        <v>2376.0</v>
      </c>
      <c r="C211" s="57">
        <v>1.0</v>
      </c>
      <c r="D211" s="57">
        <v>1.0</v>
      </c>
      <c r="F211" s="57">
        <v>4.579</v>
      </c>
      <c r="G211" s="57">
        <v>2.427</v>
      </c>
      <c r="H211" s="57">
        <v>0.699</v>
      </c>
      <c r="I211" s="57">
        <v>0.37</v>
      </c>
      <c r="J211" s="57">
        <v>7.68</v>
      </c>
      <c r="K211" s="33">
        <f>AVERAGE(2.47,2.49,2.47,2.42)</f>
        <v>2.4625</v>
      </c>
      <c r="L211" s="70">
        <v>44650.0</v>
      </c>
    </row>
    <row r="212">
      <c r="A212" s="57" t="s">
        <v>163</v>
      </c>
      <c r="B212" s="57">
        <v>2371.0</v>
      </c>
      <c r="C212" s="57">
        <v>1.0</v>
      </c>
      <c r="D212" s="57">
        <v>0.0</v>
      </c>
      <c r="F212" s="57">
        <v>0.449</v>
      </c>
      <c r="G212" s="57">
        <v>0.126</v>
      </c>
      <c r="H212" s="57">
        <v>0.029</v>
      </c>
      <c r="I212" s="57">
        <v>0.009</v>
      </c>
      <c r="J212" s="57">
        <v>1.24</v>
      </c>
      <c r="K212" s="33">
        <f>AVERAGE(0.49,0.51,0.46,0.59)</f>
        <v>0.5125</v>
      </c>
      <c r="L212" s="70">
        <v>44650.0</v>
      </c>
    </row>
    <row r="213">
      <c r="A213" s="57" t="s">
        <v>59</v>
      </c>
      <c r="B213" s="57">
        <v>2377.0</v>
      </c>
      <c r="C213" s="57">
        <v>1.0</v>
      </c>
      <c r="D213" s="57">
        <v>0.0</v>
      </c>
      <c r="F213" s="57">
        <v>2.633</v>
      </c>
      <c r="G213" s="57">
        <v>0.86</v>
      </c>
      <c r="H213" s="57">
        <v>0.469</v>
      </c>
      <c r="I213" s="57">
        <v>0.143</v>
      </c>
      <c r="J213" s="57">
        <v>9.37</v>
      </c>
      <c r="K213" s="33">
        <f>AVERAGE(1.52,1.41,1.81,1.62)</f>
        <v>1.59</v>
      </c>
      <c r="L213" s="70">
        <v>44650.0</v>
      </c>
    </row>
    <row r="214">
      <c r="A214" s="57" t="s">
        <v>59</v>
      </c>
      <c r="B214" s="57">
        <v>2331.0</v>
      </c>
      <c r="C214" s="57">
        <v>3.0</v>
      </c>
      <c r="D214" s="57">
        <v>1.0</v>
      </c>
      <c r="F214" s="57">
        <v>1.136</v>
      </c>
      <c r="G214" s="57">
        <v>0.659</v>
      </c>
      <c r="H214" s="57">
        <v>0.156</v>
      </c>
      <c r="I214" s="57">
        <v>0.088</v>
      </c>
      <c r="J214" s="57">
        <v>4.87</v>
      </c>
      <c r="K214" s="33">
        <f>AVERAGE(1.21,1.25,1.35,1.1)</f>
        <v>1.2275</v>
      </c>
      <c r="L214" s="70">
        <v>44650.0</v>
      </c>
    </row>
    <row r="215">
      <c r="A215" s="57" t="s">
        <v>59</v>
      </c>
      <c r="B215" s="57">
        <v>2301.0</v>
      </c>
      <c r="C215" s="57">
        <v>2.0</v>
      </c>
      <c r="D215" s="57">
        <v>1.0</v>
      </c>
      <c r="F215" s="57">
        <v>1.453</v>
      </c>
      <c r="G215" s="57">
        <v>0.867</v>
      </c>
      <c r="H215" s="57">
        <v>0.123</v>
      </c>
      <c r="I215" s="57">
        <v>0.065</v>
      </c>
      <c r="J215" s="57">
        <v>3.35</v>
      </c>
      <c r="K215" s="33">
        <f>AVERAGE(1.1,1.07,1.21,1.3)</f>
        <v>1.17</v>
      </c>
      <c r="L215" s="70">
        <v>44650.0</v>
      </c>
    </row>
    <row r="216">
      <c r="A216" s="57" t="s">
        <v>59</v>
      </c>
      <c r="B216" s="57">
        <v>2354.0</v>
      </c>
      <c r="C216" s="57">
        <v>1.0</v>
      </c>
      <c r="D216" s="57">
        <v>1.0</v>
      </c>
      <c r="F216" s="57">
        <v>2.28</v>
      </c>
      <c r="G216" s="57">
        <v>1.209</v>
      </c>
      <c r="H216" s="57">
        <v>0.488</v>
      </c>
      <c r="I216" s="57">
        <v>0.257</v>
      </c>
      <c r="J216" s="57">
        <v>9.22</v>
      </c>
      <c r="K216" s="33">
        <f>AVERAGE(2.33,2.36,2.24,2.43)</f>
        <v>2.34</v>
      </c>
      <c r="L216" s="70">
        <v>44650.0</v>
      </c>
    </row>
    <row r="217">
      <c r="A217" s="57" t="s">
        <v>59</v>
      </c>
      <c r="B217" s="57">
        <v>2377.0</v>
      </c>
      <c r="C217" s="57">
        <v>1.0</v>
      </c>
      <c r="D217" s="57">
        <v>1.0</v>
      </c>
      <c r="F217" s="57">
        <v>1.398</v>
      </c>
      <c r="G217" s="57">
        <v>0.792</v>
      </c>
      <c r="H217" s="57">
        <v>0.91</v>
      </c>
      <c r="I217" s="57">
        <v>0.4</v>
      </c>
      <c r="J217" s="57">
        <v>7.78</v>
      </c>
      <c r="K217" s="33">
        <f>AVERAGE(2.25,2.23,2.21,2.3)</f>
        <v>2.2475</v>
      </c>
      <c r="L217" s="70">
        <v>44650.0</v>
      </c>
    </row>
    <row r="218">
      <c r="A218" s="57" t="s">
        <v>59</v>
      </c>
      <c r="B218" s="57">
        <v>2380.0</v>
      </c>
      <c r="C218" s="57">
        <v>3.0</v>
      </c>
      <c r="D218" s="57">
        <v>1.0</v>
      </c>
      <c r="F218" s="57">
        <v>0.656</v>
      </c>
      <c r="G218" s="57">
        <v>0.374</v>
      </c>
      <c r="H218" s="57">
        <v>0.067</v>
      </c>
      <c r="I218" s="57">
        <v>0.034</v>
      </c>
      <c r="J218" s="57">
        <v>1.7</v>
      </c>
      <c r="K218" s="33">
        <f>AVERAGE(1.08,1,0.94,1.21)</f>
        <v>1.0575</v>
      </c>
      <c r="L218" s="70">
        <v>44650.0</v>
      </c>
    </row>
    <row r="219">
      <c r="A219" s="57" t="s">
        <v>59</v>
      </c>
      <c r="B219" s="57">
        <v>2301.0</v>
      </c>
      <c r="C219" s="57">
        <v>1.0</v>
      </c>
      <c r="D219" s="57">
        <v>1.0</v>
      </c>
      <c r="F219" s="57">
        <v>3.336</v>
      </c>
      <c r="G219" s="57">
        <v>1.967</v>
      </c>
      <c r="H219" s="57">
        <v>0.218</v>
      </c>
      <c r="I219" s="57">
        <v>0.128</v>
      </c>
      <c r="J219" s="57">
        <v>4.83</v>
      </c>
      <c r="K219" s="33">
        <f>AVERAGE(1.81,1.86,1.61,1.59)</f>
        <v>1.7175</v>
      </c>
      <c r="L219" s="70">
        <v>44650.0</v>
      </c>
    </row>
    <row r="220">
      <c r="A220" s="57" t="s">
        <v>59</v>
      </c>
      <c r="B220" s="57">
        <v>2377.0</v>
      </c>
      <c r="C220" s="57">
        <v>2.0</v>
      </c>
      <c r="D220" s="57">
        <v>0.0</v>
      </c>
      <c r="F220" s="57">
        <v>2.961</v>
      </c>
      <c r="G220" s="57">
        <v>1.044</v>
      </c>
      <c r="H220" s="57">
        <v>0.489</v>
      </c>
      <c r="I220" s="57">
        <v>0.16</v>
      </c>
      <c r="J220" s="57">
        <v>9.55</v>
      </c>
      <c r="K220" s="33">
        <f>AVERAGE(1.46,1.58,1.61,1.42)</f>
        <v>1.5175</v>
      </c>
      <c r="L220" s="70">
        <v>44650.0</v>
      </c>
    </row>
    <row r="221">
      <c r="A221" s="57" t="s">
        <v>163</v>
      </c>
      <c r="B221" s="57">
        <v>2378.0</v>
      </c>
      <c r="C221" s="57">
        <v>3.0</v>
      </c>
      <c r="D221" s="57">
        <v>0.0</v>
      </c>
      <c r="F221" s="57">
        <v>1.254</v>
      </c>
      <c r="G221" s="57">
        <v>0.581</v>
      </c>
      <c r="H221" s="57">
        <v>0.17</v>
      </c>
      <c r="I221" s="57">
        <v>0.073</v>
      </c>
      <c r="J221" s="57">
        <v>2.33</v>
      </c>
      <c r="K221" s="33">
        <f>AVERAGE(1.12,1.1,1.13,0.99)</f>
        <v>1.085</v>
      </c>
      <c r="L221" s="70">
        <v>44650.0</v>
      </c>
    </row>
    <row r="222">
      <c r="A222" s="57" t="s">
        <v>163</v>
      </c>
      <c r="B222" s="57">
        <v>2379.0</v>
      </c>
      <c r="C222" s="57">
        <v>2.0</v>
      </c>
      <c r="D222" s="57">
        <v>0.0</v>
      </c>
      <c r="F222" s="57">
        <v>0.416</v>
      </c>
      <c r="G222" s="57">
        <v>0.211</v>
      </c>
      <c r="H222" s="57">
        <v>0.046</v>
      </c>
      <c r="I222" s="57">
        <v>0.022</v>
      </c>
      <c r="J222" s="57">
        <v>1.05</v>
      </c>
      <c r="K222" s="57" t="s">
        <v>60</v>
      </c>
      <c r="L222" s="70">
        <v>44650.0</v>
      </c>
    </row>
    <row r="223">
      <c r="A223" s="57" t="s">
        <v>59</v>
      </c>
      <c r="B223" s="57">
        <v>2345.0</v>
      </c>
      <c r="C223" s="57">
        <v>1.0</v>
      </c>
      <c r="D223" s="57">
        <v>1.0</v>
      </c>
      <c r="F223" s="57">
        <v>1.696</v>
      </c>
      <c r="G223" s="57">
        <v>0.943</v>
      </c>
      <c r="H223" s="57">
        <v>0.418</v>
      </c>
      <c r="I223" s="57">
        <v>0.209</v>
      </c>
      <c r="J223" s="57">
        <v>6.84</v>
      </c>
      <c r="K223" s="33">
        <f>AVERAGE(1.83,1.89,1.73,1.88)</f>
        <v>1.8325</v>
      </c>
      <c r="L223" s="70">
        <v>44650.0</v>
      </c>
    </row>
    <row r="224">
      <c r="A224" s="57" t="s">
        <v>163</v>
      </c>
      <c r="B224" s="57">
        <v>2347.0</v>
      </c>
      <c r="C224" s="57">
        <v>2.0</v>
      </c>
      <c r="D224" s="57">
        <v>0.0</v>
      </c>
      <c r="F224" s="57">
        <v>0.434</v>
      </c>
      <c r="G224" s="57">
        <v>0.152</v>
      </c>
      <c r="H224" s="57">
        <v>0.062</v>
      </c>
      <c r="I224" s="57">
        <v>0.018</v>
      </c>
      <c r="J224" s="57">
        <v>1.09</v>
      </c>
      <c r="K224" s="33">
        <f>AVERAGE(0.77,0.82,0.86,0.82)</f>
        <v>0.8175</v>
      </c>
      <c r="L224" s="70">
        <v>44650.0</v>
      </c>
    </row>
    <row r="225">
      <c r="A225" s="57" t="s">
        <v>163</v>
      </c>
      <c r="B225" s="57">
        <v>2009.0</v>
      </c>
      <c r="C225" s="57">
        <v>5.0</v>
      </c>
      <c r="D225" s="57">
        <v>0.0</v>
      </c>
      <c r="F225" s="57">
        <v>0.527</v>
      </c>
      <c r="G225" s="57">
        <v>0.167</v>
      </c>
      <c r="H225" s="57">
        <v>0.045</v>
      </c>
      <c r="I225" s="57">
        <v>0.014</v>
      </c>
      <c r="J225" s="57">
        <v>1.38</v>
      </c>
      <c r="K225" s="33">
        <f>AVERAGE(1.26,1.4,1.55,1.32)</f>
        <v>1.3825</v>
      </c>
      <c r="L225" s="70">
        <v>44650.0</v>
      </c>
    </row>
    <row r="226">
      <c r="A226" s="57" t="s">
        <v>163</v>
      </c>
      <c r="B226" s="57">
        <v>2343.0</v>
      </c>
      <c r="C226" s="57">
        <v>2.0</v>
      </c>
      <c r="D226" s="57">
        <v>0.0</v>
      </c>
      <c r="F226" s="57">
        <v>0.751</v>
      </c>
      <c r="G226" s="57">
        <v>0.262</v>
      </c>
      <c r="H226" s="57">
        <v>0.123</v>
      </c>
      <c r="I226" s="57">
        <v>0.039</v>
      </c>
      <c r="J226" s="57">
        <v>2.64</v>
      </c>
      <c r="K226" s="33">
        <f>AVERAGE(1.27,1.21,1.12,1.25)</f>
        <v>1.2125</v>
      </c>
      <c r="L226" s="70">
        <v>44650.0</v>
      </c>
    </row>
    <row r="227">
      <c r="A227" s="57" t="s">
        <v>59</v>
      </c>
      <c r="B227" s="57">
        <v>2380.0</v>
      </c>
      <c r="C227" s="57">
        <v>2.0</v>
      </c>
      <c r="D227" s="57">
        <v>1.0</v>
      </c>
      <c r="F227" s="57">
        <v>1.276</v>
      </c>
      <c r="G227" s="57">
        <v>0.694</v>
      </c>
      <c r="H227" s="57">
        <v>0.279</v>
      </c>
      <c r="I227" s="57">
        <v>0.145</v>
      </c>
      <c r="J227" s="57">
        <v>5.87</v>
      </c>
      <c r="K227" s="33">
        <f>AVERAGE(1.6,1.6,1.6,1.58)</f>
        <v>1.595</v>
      </c>
      <c r="L227" s="70">
        <v>44650.0</v>
      </c>
    </row>
    <row r="228">
      <c r="A228" s="57" t="s">
        <v>59</v>
      </c>
      <c r="B228" s="57">
        <v>2380.0</v>
      </c>
      <c r="C228" s="57">
        <v>1.0</v>
      </c>
      <c r="D228" s="57">
        <v>0.0</v>
      </c>
      <c r="F228" s="57">
        <v>0.379</v>
      </c>
      <c r="G228" s="57">
        <v>0.101</v>
      </c>
      <c r="H228" s="57">
        <v>0.033</v>
      </c>
      <c r="I228" s="57">
        <v>0.01</v>
      </c>
      <c r="J228" s="57">
        <v>1.32</v>
      </c>
      <c r="K228" s="57" t="s">
        <v>60</v>
      </c>
      <c r="L228" s="70">
        <v>44650.0</v>
      </c>
    </row>
    <row r="229">
      <c r="A229" s="57" t="s">
        <v>59</v>
      </c>
      <c r="B229" s="57">
        <v>2345.0</v>
      </c>
      <c r="C229" s="57">
        <v>3.0</v>
      </c>
      <c r="D229" s="57">
        <v>1.0</v>
      </c>
      <c r="F229" s="57">
        <v>2.008</v>
      </c>
      <c r="G229" s="57">
        <v>1.122</v>
      </c>
      <c r="H229" s="57">
        <v>0.618</v>
      </c>
      <c r="I229" s="57">
        <v>0.33</v>
      </c>
      <c r="J229" s="57">
        <v>10.37</v>
      </c>
      <c r="K229" s="33">
        <f>AVERAGE(1.99,1.92,1.93,1.94)</f>
        <v>1.945</v>
      </c>
      <c r="L229" s="70">
        <v>44650.0</v>
      </c>
    </row>
    <row r="230">
      <c r="A230" s="57" t="s">
        <v>163</v>
      </c>
      <c r="B230" s="57">
        <v>2009.0</v>
      </c>
      <c r="C230" s="57">
        <v>3.0</v>
      </c>
      <c r="D230" s="57">
        <v>0.0</v>
      </c>
      <c r="F230" s="57">
        <v>0.617</v>
      </c>
      <c r="G230" s="57">
        <v>0.249</v>
      </c>
      <c r="H230" s="57">
        <v>0.059</v>
      </c>
      <c r="I230" s="57">
        <v>0.024</v>
      </c>
      <c r="J230" s="57">
        <v>1.41</v>
      </c>
      <c r="K230" s="33">
        <f>AVERAGE(0.96,1.12,1.02,1.14)</f>
        <v>1.06</v>
      </c>
      <c r="L230" s="70">
        <v>44650.0</v>
      </c>
    </row>
    <row r="231">
      <c r="A231" s="57" t="s">
        <v>163</v>
      </c>
      <c r="B231" s="57">
        <v>2346.0</v>
      </c>
      <c r="C231" s="57">
        <v>2.0</v>
      </c>
      <c r="D231" s="57">
        <v>0.0</v>
      </c>
      <c r="F231" s="57">
        <v>0.742</v>
      </c>
      <c r="G231" s="57">
        <v>0.326</v>
      </c>
      <c r="H231" s="57">
        <v>0.093</v>
      </c>
      <c r="I231" s="57">
        <v>0.038</v>
      </c>
      <c r="J231" s="57">
        <v>2.52</v>
      </c>
      <c r="K231" s="33">
        <f>AVERAGE(0.91,0.93,1.04,1.12)</f>
        <v>1</v>
      </c>
      <c r="L231" s="70">
        <v>44650.0</v>
      </c>
    </row>
    <row r="232">
      <c r="A232" s="57" t="s">
        <v>163</v>
      </c>
      <c r="B232" s="57">
        <v>2373.0</v>
      </c>
      <c r="C232" s="57">
        <v>1.0</v>
      </c>
      <c r="D232" s="57">
        <v>0.0</v>
      </c>
      <c r="F232" s="57">
        <v>0.452</v>
      </c>
      <c r="G232" s="57">
        <v>0.125</v>
      </c>
      <c r="H232" s="57">
        <v>0.047</v>
      </c>
      <c r="I232" s="57">
        <v>0.014</v>
      </c>
      <c r="J232" s="57">
        <v>1.36</v>
      </c>
      <c r="K232" s="33">
        <f>AVERAGE(0.94,0.98,0.78,0.78)</f>
        <v>0.87</v>
      </c>
      <c r="L232" s="70">
        <v>44650.0</v>
      </c>
    </row>
    <row r="233">
      <c r="A233" s="57" t="s">
        <v>163</v>
      </c>
      <c r="B233" s="57">
        <v>2382.0</v>
      </c>
      <c r="C233" s="57">
        <v>2.0</v>
      </c>
      <c r="D233" s="57">
        <v>0.0</v>
      </c>
      <c r="F233" s="57">
        <v>0.812</v>
      </c>
      <c r="G233" s="57">
        <v>0.411</v>
      </c>
      <c r="H233" s="57">
        <v>0.15</v>
      </c>
      <c r="I233" s="57">
        <v>0.069</v>
      </c>
      <c r="J233" s="57">
        <v>3.37</v>
      </c>
      <c r="K233" s="33">
        <f>AVERAGE(0.96,1.06,1.04,0.92)</f>
        <v>0.995</v>
      </c>
      <c r="L233" s="70">
        <v>44650.0</v>
      </c>
    </row>
    <row r="234">
      <c r="A234" s="57" t="s">
        <v>59</v>
      </c>
      <c r="B234" s="57">
        <v>2376.0</v>
      </c>
      <c r="C234" s="57">
        <v>2.0</v>
      </c>
      <c r="D234" s="57">
        <v>1.0</v>
      </c>
      <c r="F234" s="57">
        <v>2.119</v>
      </c>
      <c r="G234" s="57">
        <v>1.161</v>
      </c>
      <c r="H234" s="57">
        <v>0.293</v>
      </c>
      <c r="I234" s="57">
        <v>0.158</v>
      </c>
      <c r="J234" s="57">
        <v>5.71</v>
      </c>
      <c r="K234" s="33">
        <f>AVERAGE(1.58,1.6,1.71,1.59)</f>
        <v>1.62</v>
      </c>
      <c r="L234" s="70">
        <v>44650.0</v>
      </c>
    </row>
    <row r="235">
      <c r="A235" s="57" t="s">
        <v>59</v>
      </c>
      <c r="B235" s="57">
        <v>2380.0</v>
      </c>
      <c r="C235" s="57">
        <v>1.0</v>
      </c>
      <c r="D235" s="57">
        <v>1.0</v>
      </c>
      <c r="F235" s="57">
        <v>0.534</v>
      </c>
      <c r="G235" s="57">
        <v>0.287</v>
      </c>
      <c r="H235" s="57">
        <v>0.073</v>
      </c>
      <c r="I235" s="57">
        <v>0.034</v>
      </c>
      <c r="J235" s="57">
        <v>1.9</v>
      </c>
      <c r="K235" s="33">
        <f>AVERAGE(0.84,0.86,0.93,0.82)</f>
        <v>0.8625</v>
      </c>
      <c r="L235" s="70">
        <v>44650.0</v>
      </c>
    </row>
    <row r="236">
      <c r="A236" s="57" t="s">
        <v>59</v>
      </c>
      <c r="B236" s="57">
        <v>2352.0</v>
      </c>
      <c r="C236" s="57">
        <v>1.0</v>
      </c>
      <c r="D236" s="57">
        <v>0.0</v>
      </c>
      <c r="F236" s="57">
        <v>0.606</v>
      </c>
      <c r="G236" s="57">
        <v>0.27</v>
      </c>
      <c r="H236" s="57">
        <v>0.032</v>
      </c>
      <c r="I236" s="57">
        <v>0.013</v>
      </c>
      <c r="J236" s="57">
        <v>1.86</v>
      </c>
      <c r="K236" s="57" t="s">
        <v>60</v>
      </c>
      <c r="L236" s="70">
        <v>44650.0</v>
      </c>
    </row>
    <row r="237">
      <c r="A237" s="57" t="s">
        <v>163</v>
      </c>
      <c r="B237" s="57">
        <v>2370.0</v>
      </c>
      <c r="C237" s="57">
        <v>3.0</v>
      </c>
      <c r="D237" s="57">
        <v>0.0</v>
      </c>
      <c r="F237" s="57">
        <v>0.218</v>
      </c>
      <c r="G237" s="57">
        <v>0.065</v>
      </c>
      <c r="H237" s="57">
        <v>0.02</v>
      </c>
      <c r="I237" s="57">
        <v>0.007</v>
      </c>
      <c r="J237" s="57">
        <v>0.84</v>
      </c>
      <c r="K237" s="57" t="s">
        <v>60</v>
      </c>
      <c r="L237" s="70">
        <v>44650.0</v>
      </c>
    </row>
    <row r="238">
      <c r="A238" s="57" t="s">
        <v>59</v>
      </c>
      <c r="B238" s="57">
        <v>2354.0</v>
      </c>
      <c r="C238" s="57">
        <v>2.0</v>
      </c>
      <c r="D238" s="57">
        <v>1.0</v>
      </c>
      <c r="F238" s="57">
        <v>2.269</v>
      </c>
      <c r="G238" s="57">
        <v>1.259</v>
      </c>
      <c r="H238" s="57">
        <v>0.313</v>
      </c>
      <c r="I238" s="57">
        <v>0.17</v>
      </c>
      <c r="J238" s="57">
        <v>7.09</v>
      </c>
      <c r="K238" s="33">
        <f>AVERAGE(1.81,1.84,1.72,1.88)</f>
        <v>1.8125</v>
      </c>
      <c r="L238" s="70">
        <v>44650.0</v>
      </c>
    </row>
    <row r="239">
      <c r="A239" s="57" t="s">
        <v>163</v>
      </c>
      <c r="B239" s="57">
        <v>2378.0</v>
      </c>
      <c r="C239" s="57">
        <v>2.0</v>
      </c>
      <c r="D239" s="57">
        <v>0.0</v>
      </c>
      <c r="F239" s="57">
        <v>1.068</v>
      </c>
      <c r="G239" s="57">
        <v>0.506</v>
      </c>
      <c r="H239" s="57">
        <v>0.294</v>
      </c>
      <c r="I239" s="57">
        <v>0.125</v>
      </c>
      <c r="J239" s="57">
        <v>4.11</v>
      </c>
      <c r="K239" s="33">
        <f>AVERAGE(1.4,1.46,1.63,1.81)</f>
        <v>1.575</v>
      </c>
      <c r="L239" s="70">
        <v>44650.0</v>
      </c>
    </row>
    <row r="240">
      <c r="A240" s="57" t="s">
        <v>163</v>
      </c>
      <c r="B240" s="57">
        <v>2382.0</v>
      </c>
      <c r="C240" s="57">
        <v>3.0</v>
      </c>
      <c r="D240" s="57">
        <v>0.0</v>
      </c>
      <c r="F240" s="57">
        <v>0.876</v>
      </c>
      <c r="G240" s="57">
        <v>0.432</v>
      </c>
      <c r="H240" s="57">
        <v>0.05</v>
      </c>
      <c r="I240" s="57">
        <v>0.021</v>
      </c>
      <c r="J240" s="57">
        <v>1.24</v>
      </c>
      <c r="K240" s="33">
        <f>AVERAGE(0.96,1.1,1.24,1.05)</f>
        <v>1.0875</v>
      </c>
      <c r="L240" s="70">
        <v>44650.0</v>
      </c>
    </row>
    <row r="241">
      <c r="A241" s="57" t="s">
        <v>163</v>
      </c>
      <c r="B241" s="57">
        <v>2381.0</v>
      </c>
      <c r="C241" s="57">
        <v>1.0</v>
      </c>
      <c r="D241" s="57">
        <v>0.0</v>
      </c>
      <c r="F241" s="57">
        <v>0.826</v>
      </c>
      <c r="G241" s="57">
        <v>0.387</v>
      </c>
      <c r="H241" s="57">
        <v>0.092</v>
      </c>
      <c r="I241" s="57">
        <v>0.037</v>
      </c>
      <c r="J241" s="57">
        <v>1.49</v>
      </c>
      <c r="K241" s="33">
        <f>AVERAGE(1.26,1.19,1.19,1.49)</f>
        <v>1.2825</v>
      </c>
      <c r="L241" s="70">
        <v>44650.0</v>
      </c>
    </row>
    <row r="242">
      <c r="A242" s="57" t="s">
        <v>59</v>
      </c>
      <c r="B242" s="57">
        <v>2352.0</v>
      </c>
      <c r="C242" s="57">
        <v>2.0</v>
      </c>
      <c r="D242" s="57">
        <v>0.0</v>
      </c>
      <c r="F242" s="57">
        <v>0.294</v>
      </c>
      <c r="G242" s="57">
        <v>0.131</v>
      </c>
      <c r="H242" s="57">
        <v>0.039</v>
      </c>
      <c r="I242" s="57">
        <v>0.015</v>
      </c>
      <c r="J242" s="57">
        <v>2.18</v>
      </c>
      <c r="K242" s="57" t="s">
        <v>60</v>
      </c>
      <c r="L242" s="70">
        <v>44650.0</v>
      </c>
    </row>
    <row r="243">
      <c r="A243" s="57" t="s">
        <v>163</v>
      </c>
      <c r="B243" s="57">
        <v>2347.0</v>
      </c>
      <c r="C243" s="57">
        <v>1.0</v>
      </c>
      <c r="D243" s="57">
        <v>0.0</v>
      </c>
      <c r="F243" s="57">
        <v>1.027</v>
      </c>
      <c r="G243" s="57">
        <v>0.357</v>
      </c>
      <c r="H243" s="57">
        <v>0.094</v>
      </c>
      <c r="I243" s="57">
        <v>0.028</v>
      </c>
      <c r="J243" s="57">
        <v>1.29</v>
      </c>
      <c r="K243" s="57" t="s">
        <v>60</v>
      </c>
      <c r="L243" s="70">
        <v>44650.0</v>
      </c>
    </row>
    <row r="244">
      <c r="A244" s="57" t="s">
        <v>163</v>
      </c>
      <c r="B244" s="57">
        <v>2370.0</v>
      </c>
      <c r="C244" s="57">
        <v>2.0</v>
      </c>
      <c r="D244" s="57">
        <v>0.0</v>
      </c>
      <c r="F244" s="57">
        <v>0.249</v>
      </c>
      <c r="G244" s="57">
        <v>0.073</v>
      </c>
      <c r="H244" s="57">
        <v>0.014</v>
      </c>
      <c r="I244" s="57">
        <v>0.003</v>
      </c>
      <c r="J244" s="57">
        <v>0.75</v>
      </c>
      <c r="K244" s="57" t="s">
        <v>60</v>
      </c>
      <c r="L244" s="70">
        <v>44650.0</v>
      </c>
    </row>
    <row r="245">
      <c r="A245" s="57" t="s">
        <v>59</v>
      </c>
      <c r="B245" s="57">
        <v>2354.0</v>
      </c>
      <c r="C245" s="57">
        <v>3.0</v>
      </c>
      <c r="D245" s="57">
        <v>0.0</v>
      </c>
      <c r="F245" s="57">
        <v>0.215</v>
      </c>
      <c r="G245" s="57">
        <v>0.057</v>
      </c>
      <c r="H245" s="57">
        <v>0.035</v>
      </c>
      <c r="I245" s="57">
        <v>0.01</v>
      </c>
      <c r="J245" s="57">
        <v>1.35</v>
      </c>
      <c r="K245" s="57" t="s">
        <v>60</v>
      </c>
      <c r="L245" s="70">
        <v>44650.0</v>
      </c>
    </row>
    <row r="246">
      <c r="A246" s="57" t="s">
        <v>59</v>
      </c>
      <c r="B246" s="57">
        <v>2352.0</v>
      </c>
      <c r="C246" s="57">
        <v>2.0</v>
      </c>
      <c r="D246" s="57">
        <v>1.0</v>
      </c>
      <c r="F246" s="57">
        <v>0.782</v>
      </c>
      <c r="G246" s="57">
        <v>0.486</v>
      </c>
      <c r="H246" s="57">
        <v>0.242</v>
      </c>
      <c r="I246" s="57">
        <v>0.131</v>
      </c>
      <c r="J246" s="57">
        <v>6.0</v>
      </c>
      <c r="K246" s="33">
        <f>AVERAGE(1.45,1.51,1.51,1.44)</f>
        <v>1.4775</v>
      </c>
      <c r="L246" s="70">
        <v>44650.0</v>
      </c>
    </row>
    <row r="247">
      <c r="A247" s="57" t="s">
        <v>163</v>
      </c>
      <c r="B247" s="57">
        <v>2360.0</v>
      </c>
      <c r="C247" s="57">
        <v>2.0</v>
      </c>
      <c r="D247" s="57">
        <v>0.0</v>
      </c>
      <c r="F247" s="57">
        <v>0.764</v>
      </c>
      <c r="G247" s="57">
        <v>0.327</v>
      </c>
      <c r="H247" s="57">
        <v>0.049</v>
      </c>
      <c r="I247" s="57">
        <v>0.016</v>
      </c>
      <c r="J247" s="57">
        <v>1.2</v>
      </c>
      <c r="K247" s="57" t="s">
        <v>60</v>
      </c>
      <c r="L247" s="70">
        <v>44650.0</v>
      </c>
    </row>
    <row r="248">
      <c r="A248" s="57" t="s">
        <v>163</v>
      </c>
      <c r="B248" s="57">
        <v>2020.0</v>
      </c>
      <c r="C248" s="57">
        <v>1.0</v>
      </c>
      <c r="D248" s="57">
        <v>0.0</v>
      </c>
      <c r="F248" s="57">
        <v>0.803</v>
      </c>
      <c r="G248" s="57">
        <v>0.361</v>
      </c>
      <c r="H248" s="57">
        <v>0.104</v>
      </c>
      <c r="I248" s="57">
        <v>0.041</v>
      </c>
      <c r="J248" s="57">
        <v>1.6</v>
      </c>
      <c r="K248" s="33">
        <f>AVERAGE(1.27,1.02,1.22,1.48)</f>
        <v>1.2475</v>
      </c>
      <c r="L248" s="70">
        <v>44650.0</v>
      </c>
    </row>
    <row r="249">
      <c r="A249" s="57" t="s">
        <v>163</v>
      </c>
      <c r="B249" s="57">
        <v>2381.0</v>
      </c>
      <c r="C249" s="57">
        <v>2.0</v>
      </c>
      <c r="D249" s="57">
        <v>0.0</v>
      </c>
      <c r="F249" s="57">
        <v>1.067</v>
      </c>
      <c r="G249" s="57">
        <v>0.496</v>
      </c>
      <c r="H249" s="57">
        <v>0.106</v>
      </c>
      <c r="I249" s="57">
        <v>0.044</v>
      </c>
      <c r="J249" s="57">
        <v>2.03</v>
      </c>
      <c r="K249" s="33">
        <f>AVERAGE(1.32,1.21,1.24,1.3)</f>
        <v>1.2675</v>
      </c>
      <c r="L249" s="70">
        <v>44650.0</v>
      </c>
    </row>
    <row r="250">
      <c r="A250" s="57" t="s">
        <v>163</v>
      </c>
      <c r="B250" s="57">
        <v>2384.0</v>
      </c>
      <c r="C250" s="57">
        <v>1.0</v>
      </c>
      <c r="D250" s="57">
        <v>0.0</v>
      </c>
      <c r="F250" s="57">
        <v>0.388</v>
      </c>
      <c r="G250" s="57">
        <v>0.182</v>
      </c>
      <c r="H250" s="57">
        <v>0.022</v>
      </c>
      <c r="I250" s="57">
        <v>0.008</v>
      </c>
      <c r="J250" s="57">
        <v>0.77</v>
      </c>
      <c r="K250" s="57" t="s">
        <v>60</v>
      </c>
      <c r="L250" s="70">
        <v>44650.0</v>
      </c>
    </row>
    <row r="251">
      <c r="A251" s="57" t="s">
        <v>163</v>
      </c>
      <c r="B251" s="57">
        <v>2343.0</v>
      </c>
      <c r="C251" s="57">
        <v>1.0</v>
      </c>
      <c r="D251" s="57">
        <v>0.0</v>
      </c>
      <c r="F251" s="57">
        <v>0.812</v>
      </c>
      <c r="G251" s="57">
        <v>0.291</v>
      </c>
      <c r="H251" s="57">
        <v>0.107</v>
      </c>
      <c r="I251" s="57">
        <v>0.035</v>
      </c>
      <c r="J251" s="57">
        <v>2.18</v>
      </c>
      <c r="K251" s="57" t="s">
        <v>60</v>
      </c>
      <c r="L251" s="70">
        <v>44650.0</v>
      </c>
    </row>
    <row r="252">
      <c r="A252" s="57" t="s">
        <v>59</v>
      </c>
      <c r="B252" s="57">
        <v>2352.0</v>
      </c>
      <c r="C252" s="57">
        <v>3.0</v>
      </c>
      <c r="D252" s="57">
        <v>1.0</v>
      </c>
      <c r="F252" s="57">
        <v>0.955</v>
      </c>
      <c r="G252" s="57">
        <v>0.605</v>
      </c>
      <c r="H252" s="57">
        <v>0.246</v>
      </c>
      <c r="I252" s="57">
        <v>0.147</v>
      </c>
      <c r="J252" s="57">
        <v>6.51</v>
      </c>
      <c r="K252" s="33">
        <f>AVERAGE(1.36,1.34,1.38,1.32)</f>
        <v>1.35</v>
      </c>
      <c r="L252" s="70">
        <v>44650.0</v>
      </c>
    </row>
    <row r="253">
      <c r="A253" s="57" t="s">
        <v>163</v>
      </c>
      <c r="B253" s="57">
        <v>2346.0</v>
      </c>
      <c r="C253" s="57">
        <v>3.0</v>
      </c>
      <c r="D253" s="57">
        <v>0.0</v>
      </c>
      <c r="F253" s="57">
        <v>0.637</v>
      </c>
      <c r="G253" s="57">
        <v>0.295</v>
      </c>
      <c r="H253" s="57">
        <v>0.146</v>
      </c>
      <c r="I253" s="57">
        <v>0.058</v>
      </c>
      <c r="J253" s="57">
        <v>2.83</v>
      </c>
      <c r="K253" s="33">
        <f>AVERAGE(0.99,1,1.02,1)</f>
        <v>1.0025</v>
      </c>
      <c r="L253" s="70">
        <v>44650.0</v>
      </c>
    </row>
    <row r="254">
      <c r="A254" s="57" t="s">
        <v>163</v>
      </c>
      <c r="B254" s="57">
        <v>2009.0</v>
      </c>
      <c r="C254" s="57">
        <v>2.0</v>
      </c>
      <c r="D254" s="57">
        <v>0.0</v>
      </c>
      <c r="F254" s="57">
        <v>0.674</v>
      </c>
      <c r="G254" s="57">
        <v>0.271</v>
      </c>
      <c r="H254" s="57">
        <v>0.08</v>
      </c>
      <c r="I254" s="57">
        <v>0.032</v>
      </c>
      <c r="J254" s="57">
        <v>1.33</v>
      </c>
      <c r="K254" s="33">
        <f>AVERAGE(0.7,0.76,0.84,0.99)</f>
        <v>0.8225</v>
      </c>
      <c r="L254" s="70">
        <v>44650.0</v>
      </c>
    </row>
    <row r="255">
      <c r="A255" s="57" t="s">
        <v>59</v>
      </c>
      <c r="B255" s="57">
        <v>2345.0</v>
      </c>
      <c r="C255" s="57">
        <v>2.0</v>
      </c>
      <c r="D255" s="57">
        <v>1.0</v>
      </c>
      <c r="F255" s="57">
        <v>2.153</v>
      </c>
      <c r="G255" s="57">
        <v>1.148</v>
      </c>
      <c r="H255" s="57">
        <v>0.625</v>
      </c>
      <c r="I255" s="57">
        <v>0.339</v>
      </c>
      <c r="J255" s="57">
        <v>10.37</v>
      </c>
      <c r="K255" s="33">
        <f>AVERAGE(1.98,2.01,1.91,1.98)</f>
        <v>1.97</v>
      </c>
      <c r="L255" s="70">
        <v>44650.0</v>
      </c>
    </row>
    <row r="256">
      <c r="A256" s="57" t="s">
        <v>163</v>
      </c>
      <c r="B256" s="57">
        <v>2383.0</v>
      </c>
      <c r="C256" s="57">
        <v>2.0</v>
      </c>
      <c r="D256" s="57">
        <v>0.0</v>
      </c>
      <c r="F256" s="57">
        <v>0.55</v>
      </c>
      <c r="G256" s="57">
        <v>0.276</v>
      </c>
      <c r="H256" s="57">
        <v>0.031</v>
      </c>
      <c r="I256" s="57">
        <v>0.012</v>
      </c>
      <c r="J256" s="57">
        <v>0.84</v>
      </c>
      <c r="K256" s="33">
        <f>AVERAGE(0.93,0.97,1.1,0.98)</f>
        <v>0.995</v>
      </c>
      <c r="L256" s="70">
        <v>44650.0</v>
      </c>
    </row>
    <row r="257">
      <c r="A257" s="57" t="s">
        <v>59</v>
      </c>
      <c r="B257" s="57">
        <v>2354.0</v>
      </c>
      <c r="C257" s="57">
        <v>3.0</v>
      </c>
      <c r="D257" s="57">
        <v>1.0</v>
      </c>
      <c r="F257" s="57">
        <v>3.496</v>
      </c>
      <c r="G257" s="57">
        <v>1.903</v>
      </c>
      <c r="H257" s="57">
        <v>0.522</v>
      </c>
      <c r="I257" s="57">
        <v>0.273</v>
      </c>
      <c r="J257" s="57">
        <v>7.98</v>
      </c>
      <c r="K257" s="33">
        <f>AVERAGE(2.34,2.12,2.25,2.2)</f>
        <v>2.2275</v>
      </c>
      <c r="L257" s="70">
        <v>44650.0</v>
      </c>
    </row>
    <row r="258">
      <c r="A258" s="57" t="s">
        <v>59</v>
      </c>
      <c r="B258" s="57">
        <v>2331.0</v>
      </c>
      <c r="C258" s="57">
        <v>2.0</v>
      </c>
      <c r="D258" s="57">
        <v>1.0</v>
      </c>
      <c r="F258" s="57">
        <v>1.453</v>
      </c>
      <c r="G258" s="57">
        <v>0.815</v>
      </c>
      <c r="H258" s="57">
        <v>0.304</v>
      </c>
      <c r="I258" s="57">
        <v>0.167</v>
      </c>
      <c r="J258" s="57">
        <v>8.12</v>
      </c>
      <c r="K258" s="33">
        <f>AVERAGE(1.39,1.57,1.37,1.43)</f>
        <v>1.44</v>
      </c>
      <c r="L258" s="70">
        <v>44650.0</v>
      </c>
    </row>
    <row r="259">
      <c r="A259" s="57" t="s">
        <v>163</v>
      </c>
      <c r="B259" s="57">
        <v>2009.0</v>
      </c>
      <c r="C259" s="57">
        <v>4.0</v>
      </c>
      <c r="D259" s="57">
        <v>0.0</v>
      </c>
      <c r="F259" s="57">
        <v>0.892</v>
      </c>
      <c r="G259" s="57">
        <v>0.334</v>
      </c>
      <c r="H259" s="57">
        <v>0.066</v>
      </c>
      <c r="I259" s="57">
        <v>0.023</v>
      </c>
      <c r="J259" s="57">
        <v>1.25</v>
      </c>
      <c r="K259" s="33">
        <f>AVERAGE(1.4,1.15,1.26,1.23)</f>
        <v>1.26</v>
      </c>
      <c r="L259" s="70">
        <v>44650.0</v>
      </c>
    </row>
    <row r="260">
      <c r="A260" s="57" t="s">
        <v>163</v>
      </c>
      <c r="B260" s="57">
        <v>2347.0</v>
      </c>
      <c r="C260" s="57">
        <v>3.0</v>
      </c>
      <c r="D260" s="57">
        <v>0.0</v>
      </c>
      <c r="F260" s="57">
        <v>0.627</v>
      </c>
      <c r="G260" s="57">
        <v>0.22</v>
      </c>
      <c r="H260" s="57">
        <v>0.088</v>
      </c>
      <c r="I260" s="57">
        <v>0.027</v>
      </c>
      <c r="J260" s="57">
        <v>1.08</v>
      </c>
      <c r="K260" s="57" t="s">
        <v>60</v>
      </c>
      <c r="L260" s="70">
        <v>44650.0</v>
      </c>
    </row>
    <row r="261">
      <c r="A261" s="57" t="s">
        <v>163</v>
      </c>
      <c r="B261" s="57">
        <v>2372.0</v>
      </c>
      <c r="C261" s="57">
        <v>2.0</v>
      </c>
      <c r="D261" s="57">
        <v>0.0</v>
      </c>
      <c r="F261" s="57">
        <v>0.325</v>
      </c>
      <c r="G261" s="57">
        <v>0.099</v>
      </c>
      <c r="H261" s="57">
        <v>0.03</v>
      </c>
      <c r="I261" s="57">
        <v>0.007</v>
      </c>
      <c r="J261" s="57">
        <v>0.88</v>
      </c>
      <c r="K261" s="57" t="s">
        <v>60</v>
      </c>
      <c r="L261" s="70">
        <v>44650.0</v>
      </c>
    </row>
    <row r="262">
      <c r="A262" s="57" t="s">
        <v>163</v>
      </c>
      <c r="B262" s="57">
        <v>2372.0</v>
      </c>
      <c r="C262" s="57">
        <v>3.0</v>
      </c>
      <c r="D262" s="57">
        <v>0.0</v>
      </c>
      <c r="F262" s="57">
        <v>0.876</v>
      </c>
      <c r="G262" s="57">
        <v>0.258</v>
      </c>
      <c r="H262" s="57">
        <v>0.058</v>
      </c>
      <c r="I262" s="57">
        <v>0.016</v>
      </c>
      <c r="J262" s="57">
        <v>1.26</v>
      </c>
      <c r="K262" s="57" t="s">
        <v>60</v>
      </c>
      <c r="L262" s="70">
        <v>44650.0</v>
      </c>
    </row>
    <row r="263">
      <c r="A263" s="57" t="s">
        <v>163</v>
      </c>
      <c r="B263" s="57">
        <v>2009.0</v>
      </c>
      <c r="C263" s="57">
        <v>1.0</v>
      </c>
      <c r="D263" s="57">
        <v>0.0</v>
      </c>
      <c r="F263" s="57">
        <v>0.502</v>
      </c>
      <c r="G263" s="57">
        <v>0.195</v>
      </c>
      <c r="H263" s="57">
        <v>0.049</v>
      </c>
      <c r="I263" s="57">
        <v>0.019</v>
      </c>
      <c r="J263" s="57">
        <v>1.28</v>
      </c>
      <c r="K263" s="33">
        <f>AVERAGE(0.77,0.86,0.93,0.9)</f>
        <v>0.865</v>
      </c>
      <c r="L263" s="70">
        <v>44650.0</v>
      </c>
    </row>
    <row r="264">
      <c r="A264" s="57" t="s">
        <v>163</v>
      </c>
      <c r="B264" s="57">
        <v>2370.0</v>
      </c>
      <c r="C264" s="57">
        <v>1.0</v>
      </c>
      <c r="D264" s="57">
        <v>0.0</v>
      </c>
      <c r="F264" s="57">
        <v>0.304</v>
      </c>
      <c r="G264" s="57">
        <v>0.088</v>
      </c>
      <c r="H264" s="57">
        <v>0.016</v>
      </c>
      <c r="I264" s="57">
        <v>0.005</v>
      </c>
      <c r="J264" s="57">
        <v>0.65</v>
      </c>
      <c r="K264" s="57" t="s">
        <v>60</v>
      </c>
      <c r="L264" s="70">
        <v>44650.0</v>
      </c>
    </row>
    <row r="265">
      <c r="A265" s="57" t="s">
        <v>163</v>
      </c>
      <c r="B265" s="57">
        <v>2346.0</v>
      </c>
      <c r="C265" s="57">
        <v>1.0</v>
      </c>
      <c r="D265" s="57">
        <v>0.0</v>
      </c>
      <c r="F265" s="57">
        <v>0.51</v>
      </c>
      <c r="G265" s="57">
        <v>0.232</v>
      </c>
      <c r="H265" s="57">
        <v>0.051</v>
      </c>
      <c r="I265" s="57">
        <v>0.02</v>
      </c>
      <c r="J265" s="57">
        <v>1.64</v>
      </c>
      <c r="K265" s="33">
        <f>AVERAGE(0.95,0.94,1.05,1.02)</f>
        <v>0.99</v>
      </c>
      <c r="L265" s="70">
        <v>44650.0</v>
      </c>
    </row>
    <row r="266">
      <c r="A266" s="57" t="s">
        <v>163</v>
      </c>
      <c r="B266" s="57">
        <v>2378.0</v>
      </c>
      <c r="C266" s="57">
        <v>1.0</v>
      </c>
      <c r="D266" s="57">
        <v>0.0</v>
      </c>
      <c r="F266" s="57">
        <v>1.182</v>
      </c>
      <c r="G266" s="57">
        <v>0.526</v>
      </c>
      <c r="H266" s="57">
        <v>0.167</v>
      </c>
      <c r="I266" s="57">
        <v>0.07</v>
      </c>
      <c r="J266" s="57">
        <v>3.38</v>
      </c>
      <c r="K266" s="33">
        <f>AVERAGE(1.15,1.25,1.4,1.37)</f>
        <v>1.2925</v>
      </c>
      <c r="L266" s="70">
        <v>44650.0</v>
      </c>
    </row>
    <row r="267">
      <c r="A267" s="57" t="s">
        <v>163</v>
      </c>
      <c r="B267" s="57">
        <v>2384.0</v>
      </c>
      <c r="C267" s="57">
        <v>2.0</v>
      </c>
      <c r="D267" s="57">
        <v>0.0</v>
      </c>
      <c r="F267" s="57">
        <v>0.587</v>
      </c>
      <c r="G267" s="57">
        <v>0.277</v>
      </c>
      <c r="H267" s="57">
        <v>0.035</v>
      </c>
      <c r="I267" s="57">
        <v>0.015</v>
      </c>
      <c r="J267" s="57">
        <v>0.98</v>
      </c>
      <c r="K267" s="33">
        <f>AVERAGE(1.01,1.05,1.07,0.97)</f>
        <v>1.025</v>
      </c>
      <c r="L267" s="70">
        <v>44650.0</v>
      </c>
    </row>
    <row r="268">
      <c r="A268" s="57" t="s">
        <v>163</v>
      </c>
      <c r="B268" s="57">
        <v>2381.0</v>
      </c>
      <c r="C268" s="57">
        <v>3.0</v>
      </c>
      <c r="D268" s="57">
        <v>0.0</v>
      </c>
      <c r="F268" s="57">
        <v>1.043</v>
      </c>
      <c r="G268" s="57">
        <v>0.468</v>
      </c>
      <c r="H268" s="57">
        <v>0.124</v>
      </c>
      <c r="I268" s="57">
        <v>0.051</v>
      </c>
      <c r="J268" s="57">
        <v>2.17</v>
      </c>
      <c r="K268" s="33">
        <f>AVERAGE(1.3,1.31,1.41,1.19)</f>
        <v>1.3025</v>
      </c>
      <c r="L268" s="70">
        <v>44650.0</v>
      </c>
    </row>
    <row r="269">
      <c r="A269" s="57" t="s">
        <v>163</v>
      </c>
      <c r="B269" s="57">
        <v>2343.0</v>
      </c>
      <c r="C269" s="57">
        <v>3.0</v>
      </c>
      <c r="D269" s="57">
        <v>0.0</v>
      </c>
      <c r="F269" s="57">
        <v>0.782</v>
      </c>
      <c r="G269" s="57">
        <v>0.277</v>
      </c>
      <c r="H269" s="57">
        <v>0.071</v>
      </c>
      <c r="I269" s="57">
        <v>0.022</v>
      </c>
      <c r="J269" s="57">
        <v>1.99</v>
      </c>
      <c r="K269" s="33">
        <f>AVERAGE(1.03,1.12,1.23,1.2)</f>
        <v>1.145</v>
      </c>
      <c r="L269" s="70">
        <v>44650.0</v>
      </c>
    </row>
    <row r="270">
      <c r="A270" s="57" t="s">
        <v>163</v>
      </c>
      <c r="B270" s="57">
        <v>2379.0</v>
      </c>
      <c r="C270" s="57">
        <v>1.0</v>
      </c>
      <c r="D270" s="57">
        <v>0.0</v>
      </c>
      <c r="F270" s="57">
        <v>1.024</v>
      </c>
      <c r="G270" s="57">
        <v>0.515</v>
      </c>
      <c r="H270" s="57">
        <v>0.094</v>
      </c>
      <c r="I270" s="57">
        <v>0.045</v>
      </c>
      <c r="J270" s="57">
        <v>1.47</v>
      </c>
      <c r="K270" s="33">
        <f>AVERAGE(1.15,1.14,1.39,1.41)</f>
        <v>1.2725</v>
      </c>
      <c r="L270" s="70">
        <v>44650.0</v>
      </c>
    </row>
    <row r="271">
      <c r="A271" s="57" t="s">
        <v>163</v>
      </c>
      <c r="B271" s="57">
        <v>2373.0</v>
      </c>
      <c r="C271" s="57">
        <v>3.0</v>
      </c>
      <c r="D271" s="57">
        <v>0.0</v>
      </c>
      <c r="F271" s="57">
        <v>0.37</v>
      </c>
      <c r="G271" s="57">
        <v>0.108</v>
      </c>
      <c r="H271" s="57">
        <v>0.064</v>
      </c>
      <c r="I271" s="57">
        <v>0.019</v>
      </c>
      <c r="J271" s="57">
        <v>1.3</v>
      </c>
      <c r="K271" s="57" t="s">
        <v>60</v>
      </c>
      <c r="L271" s="70">
        <v>44650.0</v>
      </c>
    </row>
    <row r="272">
      <c r="A272" s="57" t="s">
        <v>163</v>
      </c>
      <c r="B272" s="57">
        <v>2360.0</v>
      </c>
      <c r="C272" s="57">
        <v>1.0</v>
      </c>
      <c r="D272" s="57">
        <v>0.0</v>
      </c>
      <c r="F272" s="57">
        <v>0.412</v>
      </c>
      <c r="G272" s="57">
        <v>0.18</v>
      </c>
      <c r="H272" s="57">
        <v>0.026</v>
      </c>
      <c r="I272" s="57">
        <v>0.008</v>
      </c>
      <c r="J272" s="57">
        <v>0.83</v>
      </c>
      <c r="K272" s="57" t="s">
        <v>60</v>
      </c>
      <c r="L272" s="70">
        <v>44650.0</v>
      </c>
    </row>
    <row r="273">
      <c r="A273" s="57" t="s">
        <v>59</v>
      </c>
      <c r="B273" s="57">
        <v>2301.0</v>
      </c>
      <c r="C273" s="57">
        <v>3.0</v>
      </c>
      <c r="D273" s="57">
        <v>0.0</v>
      </c>
      <c r="F273" s="57">
        <v>0.234</v>
      </c>
      <c r="G273" s="57">
        <v>0.139</v>
      </c>
      <c r="H273" s="57">
        <v>0.042</v>
      </c>
      <c r="I273" s="57">
        <v>0.022</v>
      </c>
      <c r="J273" s="57">
        <v>1.02</v>
      </c>
      <c r="K273" s="57" t="s">
        <v>60</v>
      </c>
      <c r="L273" s="70">
        <v>44650.0</v>
      </c>
    </row>
    <row r="274">
      <c r="A274" s="57" t="s">
        <v>163</v>
      </c>
      <c r="B274" s="57">
        <v>2383.0</v>
      </c>
      <c r="C274" s="57">
        <v>3.0</v>
      </c>
      <c r="D274" s="57">
        <v>0.0</v>
      </c>
      <c r="F274" s="57">
        <v>0.751</v>
      </c>
      <c r="G274" s="57">
        <v>0.269</v>
      </c>
      <c r="H274" s="57">
        <v>0.075</v>
      </c>
      <c r="I274" s="57">
        <v>0.032</v>
      </c>
      <c r="J274" s="57">
        <v>1.44</v>
      </c>
      <c r="K274" s="33">
        <f>AVERAGE(1.14,1.13,1.23,1.14)</f>
        <v>1.16</v>
      </c>
      <c r="L274" s="70">
        <v>44650.0</v>
      </c>
    </row>
    <row r="275">
      <c r="A275" s="57" t="s">
        <v>163</v>
      </c>
      <c r="B275" s="57">
        <v>2020.0</v>
      </c>
      <c r="C275" s="57">
        <v>3.0</v>
      </c>
      <c r="D275" s="57">
        <v>0.0</v>
      </c>
      <c r="F275" s="57">
        <v>1.223</v>
      </c>
      <c r="G275" s="57">
        <v>0.539</v>
      </c>
      <c r="H275" s="57">
        <v>0.192</v>
      </c>
      <c r="I275" s="57">
        <v>0.07</v>
      </c>
      <c r="J275" s="57">
        <v>2.07</v>
      </c>
      <c r="K275" s="33">
        <f>AVERAGE(1.35,1.27,1.7,1.47)</f>
        <v>1.4475</v>
      </c>
      <c r="L275" s="70">
        <v>44650.0</v>
      </c>
    </row>
    <row r="276">
      <c r="A276" s="57" t="s">
        <v>163</v>
      </c>
      <c r="B276" s="57">
        <v>2371.0</v>
      </c>
      <c r="C276" s="57">
        <v>2.0</v>
      </c>
      <c r="D276" s="57">
        <v>0.0</v>
      </c>
      <c r="F276" s="57">
        <v>0.53</v>
      </c>
      <c r="G276" s="57">
        <v>0.152</v>
      </c>
      <c r="H276" s="57">
        <v>0.039</v>
      </c>
      <c r="I276" s="57">
        <v>0.012</v>
      </c>
      <c r="J276" s="57">
        <v>1.05</v>
      </c>
      <c r="K276" s="57" t="s">
        <v>60</v>
      </c>
      <c r="L276" s="70">
        <v>44650.0</v>
      </c>
    </row>
    <row r="277">
      <c r="A277" s="57" t="s">
        <v>163</v>
      </c>
      <c r="B277" s="57">
        <v>2007.0</v>
      </c>
      <c r="C277" s="57">
        <v>2.0</v>
      </c>
      <c r="D277" s="57">
        <v>0.0</v>
      </c>
      <c r="F277" s="57">
        <v>0.37</v>
      </c>
      <c r="G277" s="57">
        <v>0.194</v>
      </c>
      <c r="H277" s="57">
        <v>0.051</v>
      </c>
      <c r="I277" s="57">
        <v>0.022</v>
      </c>
      <c r="J277" s="57">
        <v>1.27</v>
      </c>
      <c r="K277" s="33">
        <f>AVERAGE(0.6,0.64,0.62,0.54)</f>
        <v>0.6</v>
      </c>
      <c r="L277" s="70">
        <v>44655.0</v>
      </c>
    </row>
    <row r="278">
      <c r="A278" s="57" t="s">
        <v>163</v>
      </c>
      <c r="B278" s="57">
        <v>2012.0</v>
      </c>
      <c r="C278" s="57">
        <v>2.0</v>
      </c>
      <c r="D278" s="57">
        <v>0.0</v>
      </c>
      <c r="F278" s="57">
        <v>0.342</v>
      </c>
      <c r="G278" s="57">
        <v>0.126</v>
      </c>
      <c r="H278" s="57">
        <v>0.036</v>
      </c>
      <c r="I278" s="57">
        <v>0.013</v>
      </c>
      <c r="J278" s="57">
        <v>1.3</v>
      </c>
      <c r="K278" s="33">
        <f>AVERAGE(0.74,0.69,0.6,0.6)</f>
        <v>0.6575</v>
      </c>
      <c r="L278" s="70">
        <v>44655.0</v>
      </c>
    </row>
    <row r="279">
      <c r="A279" s="57" t="s">
        <v>163</v>
      </c>
      <c r="B279" s="57">
        <v>1478.0</v>
      </c>
      <c r="C279" s="57">
        <v>3.0</v>
      </c>
      <c r="D279" s="57">
        <v>0.0</v>
      </c>
      <c r="F279" s="57">
        <v>0.596</v>
      </c>
      <c r="G279" s="57">
        <v>0.223</v>
      </c>
      <c r="H279" s="57">
        <v>0.112</v>
      </c>
      <c r="I279" s="57">
        <v>0.036</v>
      </c>
      <c r="J279" s="57">
        <v>2.98</v>
      </c>
      <c r="K279" s="33">
        <f>AVERAGE(0.97,1.55,1.21,0.99)</f>
        <v>1.18</v>
      </c>
      <c r="L279" s="70">
        <v>44655.0</v>
      </c>
    </row>
    <row r="280">
      <c r="A280" s="57" t="s">
        <v>163</v>
      </c>
      <c r="B280" s="57">
        <v>2031.0</v>
      </c>
      <c r="C280" s="57">
        <v>1.0</v>
      </c>
      <c r="D280" s="57">
        <v>0.0</v>
      </c>
      <c r="F280" s="57">
        <v>1.398</v>
      </c>
      <c r="G280" s="57">
        <v>0.732</v>
      </c>
      <c r="H280" s="57">
        <v>0.123</v>
      </c>
      <c r="I280" s="57">
        <v>0.06</v>
      </c>
      <c r="J280" s="57">
        <v>1.97</v>
      </c>
      <c r="K280" s="33">
        <f>AVERAGE(1.34,1.39,1.36,1.33)</f>
        <v>1.355</v>
      </c>
      <c r="L280" s="70">
        <v>44655.0</v>
      </c>
    </row>
    <row r="281">
      <c r="A281" s="57" t="s">
        <v>163</v>
      </c>
      <c r="B281" s="57">
        <v>2025.0</v>
      </c>
      <c r="C281" s="57">
        <v>2.0</v>
      </c>
      <c r="D281" s="57">
        <v>0.0</v>
      </c>
      <c r="F281" s="57">
        <v>0.79</v>
      </c>
      <c r="G281" s="57">
        <v>0.396</v>
      </c>
      <c r="H281" s="57">
        <v>0.059</v>
      </c>
      <c r="I281" s="57">
        <v>0.026</v>
      </c>
      <c r="J281" s="57">
        <v>1.49</v>
      </c>
      <c r="K281" s="33">
        <f>AVERAGE(0.99,1.03,1.1,0.95)</f>
        <v>1.0175</v>
      </c>
      <c r="L281" s="70">
        <v>44655.0</v>
      </c>
    </row>
    <row r="282">
      <c r="A282" s="57" t="s">
        <v>163</v>
      </c>
      <c r="B282" s="57">
        <v>2026.0</v>
      </c>
      <c r="C282" s="57">
        <v>3.0</v>
      </c>
      <c r="D282" s="57">
        <v>0.0</v>
      </c>
      <c r="F282" s="57">
        <v>0.42</v>
      </c>
      <c r="G282" s="57">
        <v>0.216</v>
      </c>
      <c r="H282" s="57">
        <v>0.069</v>
      </c>
      <c r="I282" s="57">
        <v>0.032</v>
      </c>
      <c r="J282" s="57">
        <v>1.81</v>
      </c>
      <c r="K282" s="33">
        <f>AVERAGE(0.77,0.88,0.8,0.68)</f>
        <v>0.7825</v>
      </c>
      <c r="L282" s="70">
        <v>44655.0</v>
      </c>
    </row>
    <row r="283">
      <c r="A283" s="57" t="s">
        <v>59</v>
      </c>
      <c r="B283" s="57">
        <v>2022.0</v>
      </c>
      <c r="C283" s="57">
        <v>2.0</v>
      </c>
      <c r="D283" s="57">
        <v>1.0</v>
      </c>
      <c r="F283" s="57">
        <v>0.829</v>
      </c>
      <c r="G283" s="57">
        <v>0.499</v>
      </c>
      <c r="H283" s="57">
        <v>0.091</v>
      </c>
      <c r="I283" s="57">
        <v>0.045</v>
      </c>
      <c r="J283" s="57">
        <v>2.2</v>
      </c>
      <c r="K283" s="33">
        <f>AVERAGE(1.6,1.38,1.24,1.34)</f>
        <v>1.39</v>
      </c>
      <c r="L283" s="70">
        <v>44655.0</v>
      </c>
    </row>
    <row r="284">
      <c r="A284" s="57" t="s">
        <v>163</v>
      </c>
      <c r="B284" s="57">
        <v>2015.0</v>
      </c>
      <c r="C284" s="57">
        <v>3.0</v>
      </c>
      <c r="D284" s="57">
        <v>0.0</v>
      </c>
      <c r="F284" s="57">
        <v>0.615</v>
      </c>
      <c r="G284" s="57">
        <v>0.302</v>
      </c>
      <c r="H284" s="57">
        <v>0.089</v>
      </c>
      <c r="I284" s="57">
        <v>0.035</v>
      </c>
      <c r="J284" s="57">
        <v>2.65</v>
      </c>
      <c r="K284" s="33">
        <f>AVERAGE(0.99,1,0.93,1.02)</f>
        <v>0.985</v>
      </c>
      <c r="L284" s="70">
        <v>44655.0</v>
      </c>
    </row>
    <row r="285">
      <c r="A285" s="57" t="s">
        <v>163</v>
      </c>
      <c r="B285" s="57">
        <v>2090.0</v>
      </c>
      <c r="C285" s="57">
        <v>1.0</v>
      </c>
      <c r="D285" s="57">
        <v>0.0</v>
      </c>
      <c r="F285" s="57">
        <v>0.699</v>
      </c>
      <c r="G285" s="57">
        <v>0.319</v>
      </c>
      <c r="H285" s="57">
        <v>0.089</v>
      </c>
      <c r="I285" s="57">
        <v>0.032</v>
      </c>
      <c r="J285" s="57">
        <v>2.08</v>
      </c>
      <c r="K285" s="33">
        <f>AVERAGE(1.03,0.91,0.95,0.91)</f>
        <v>0.95</v>
      </c>
      <c r="L285" s="70">
        <v>44655.0</v>
      </c>
    </row>
    <row r="286">
      <c r="A286" s="57" t="s">
        <v>59</v>
      </c>
      <c r="B286" s="57">
        <v>2030.0</v>
      </c>
      <c r="C286" s="57">
        <v>2.0</v>
      </c>
      <c r="D286" s="57">
        <v>1.0</v>
      </c>
      <c r="F286" s="57">
        <v>0.198</v>
      </c>
      <c r="G286" s="57">
        <v>0.107</v>
      </c>
      <c r="H286" s="57">
        <v>0.018</v>
      </c>
      <c r="I286" s="57">
        <v>0.006</v>
      </c>
      <c r="J286" s="57">
        <v>0.86</v>
      </c>
      <c r="K286" s="33">
        <f>AVERAGE(0.64,0.58,0.53,0.54)</f>
        <v>0.5725</v>
      </c>
      <c r="L286" s="70">
        <v>44655.0</v>
      </c>
    </row>
    <row r="287">
      <c r="A287" s="57" t="s">
        <v>59</v>
      </c>
      <c r="B287" s="57">
        <v>2022.0</v>
      </c>
      <c r="C287" s="57">
        <v>1.0</v>
      </c>
      <c r="D287" s="57">
        <v>0.0</v>
      </c>
      <c r="F287" s="57">
        <v>2.682</v>
      </c>
      <c r="G287" s="57">
        <v>1.41</v>
      </c>
      <c r="H287" s="57">
        <v>0.233</v>
      </c>
      <c r="I287" s="57">
        <v>0.098</v>
      </c>
      <c r="J287" s="57">
        <v>4.06</v>
      </c>
      <c r="K287" s="33">
        <f>AVERAGE(1.35,1.49,1.28,1.41)</f>
        <v>1.3825</v>
      </c>
      <c r="L287" s="70">
        <v>44655.0</v>
      </c>
    </row>
    <row r="288">
      <c r="A288" s="57" t="s">
        <v>163</v>
      </c>
      <c r="B288" s="57">
        <v>2088.0</v>
      </c>
      <c r="C288" s="57">
        <v>2.0</v>
      </c>
      <c r="D288" s="57">
        <v>0.0</v>
      </c>
      <c r="F288" s="57">
        <v>0.422</v>
      </c>
      <c r="G288" s="57">
        <v>0.179</v>
      </c>
      <c r="H288" s="57">
        <v>0.063</v>
      </c>
      <c r="I288" s="57">
        <v>0.024</v>
      </c>
      <c r="J288" s="57">
        <v>2.1</v>
      </c>
      <c r="K288" s="33">
        <f>AVERAGE(1.07,0.9,0.99,1.07)</f>
        <v>1.0075</v>
      </c>
      <c r="L288" s="70">
        <v>44655.0</v>
      </c>
    </row>
    <row r="289">
      <c r="A289" s="57" t="s">
        <v>59</v>
      </c>
      <c r="B289" s="57">
        <v>2093.0</v>
      </c>
      <c r="C289" s="57">
        <v>1.0</v>
      </c>
      <c r="D289" s="57">
        <v>0.0</v>
      </c>
      <c r="F289" s="57">
        <v>0.219</v>
      </c>
      <c r="G289" s="57">
        <v>0.14</v>
      </c>
      <c r="H289" s="57">
        <v>0.073</v>
      </c>
      <c r="I289" s="57">
        <v>0.034</v>
      </c>
      <c r="J289" s="57">
        <v>1.75</v>
      </c>
      <c r="K289" s="33">
        <f>AVERAGE(0.89,0.9,0.89,0.93)</f>
        <v>0.9025</v>
      </c>
      <c r="L289" s="70">
        <v>44655.0</v>
      </c>
    </row>
    <row r="290">
      <c r="A290" s="57" t="s">
        <v>59</v>
      </c>
      <c r="B290" s="57">
        <v>2023.0</v>
      </c>
      <c r="C290" s="57">
        <v>3.0</v>
      </c>
      <c r="D290" s="57">
        <v>0.0</v>
      </c>
      <c r="F290" s="57">
        <v>1.893</v>
      </c>
      <c r="G290" s="57">
        <v>1.027</v>
      </c>
      <c r="H290" s="57">
        <v>0.088</v>
      </c>
      <c r="I290" s="57">
        <v>0.041</v>
      </c>
      <c r="J290" s="57">
        <v>2.16</v>
      </c>
      <c r="K290" s="33">
        <f>AVERAGE(1.17,1.23,1.17,1.29)</f>
        <v>1.215</v>
      </c>
      <c r="L290" s="70">
        <v>44655.0</v>
      </c>
    </row>
    <row r="291">
      <c r="A291" s="57" t="s">
        <v>163</v>
      </c>
      <c r="B291" s="57">
        <v>2007.0</v>
      </c>
      <c r="C291" s="57">
        <v>3.0</v>
      </c>
      <c r="D291" s="57">
        <v>0.0</v>
      </c>
      <c r="F291" s="57">
        <v>1.023</v>
      </c>
      <c r="G291" s="57">
        <v>0.54</v>
      </c>
      <c r="H291" s="57">
        <v>0.199</v>
      </c>
      <c r="I291" s="57">
        <v>0.091</v>
      </c>
      <c r="J291" s="57">
        <v>5.73</v>
      </c>
      <c r="K291" s="33">
        <f>AVERAGE(1.37,1.27,1.38,1.35)</f>
        <v>1.3425</v>
      </c>
      <c r="L291" s="70">
        <v>44655.0</v>
      </c>
    </row>
    <row r="292">
      <c r="A292" s="57" t="s">
        <v>163</v>
      </c>
      <c r="B292" s="57">
        <v>2024.0</v>
      </c>
      <c r="C292" s="57">
        <v>3.0</v>
      </c>
      <c r="D292" s="57">
        <v>0.0</v>
      </c>
      <c r="F292" s="57">
        <v>1.599</v>
      </c>
      <c r="G292" s="57">
        <v>0.783</v>
      </c>
      <c r="H292" s="57">
        <v>0.134</v>
      </c>
      <c r="I292" s="57">
        <v>0.061</v>
      </c>
      <c r="J292" s="57">
        <v>1.47</v>
      </c>
      <c r="K292" s="33">
        <f>AVERAGE(1.66,1.63,1.51,1.8)</f>
        <v>1.65</v>
      </c>
      <c r="L292" s="70">
        <v>44655.0</v>
      </c>
    </row>
    <row r="293">
      <c r="A293" s="57" t="s">
        <v>163</v>
      </c>
      <c r="B293" s="57">
        <v>2014.0</v>
      </c>
      <c r="C293" s="57">
        <v>2.0</v>
      </c>
      <c r="D293" s="57">
        <v>0.0</v>
      </c>
      <c r="F293" s="57">
        <v>0.698</v>
      </c>
      <c r="G293" s="57">
        <v>0.301</v>
      </c>
      <c r="H293" s="57">
        <v>0.113</v>
      </c>
      <c r="I293" s="57">
        <v>0.037</v>
      </c>
      <c r="J293" s="57">
        <v>2.92</v>
      </c>
      <c r="K293" s="33">
        <f>AVERAGE(0.93,0.94,1.18,0.95)</f>
        <v>1</v>
      </c>
      <c r="L293" s="70">
        <v>44655.0</v>
      </c>
    </row>
    <row r="294">
      <c r="A294" s="57" t="s">
        <v>163</v>
      </c>
      <c r="B294" s="57">
        <v>2012.0</v>
      </c>
      <c r="C294" s="57">
        <v>3.0</v>
      </c>
      <c r="D294" s="57">
        <v>0.0</v>
      </c>
      <c r="F294" s="57">
        <v>0.131</v>
      </c>
      <c r="G294" s="57">
        <v>0.048</v>
      </c>
      <c r="H294" s="57">
        <v>0.014</v>
      </c>
      <c r="I294" s="57">
        <v>0.005</v>
      </c>
      <c r="J294" s="57">
        <v>0.92</v>
      </c>
      <c r="K294" s="57" t="s">
        <v>60</v>
      </c>
      <c r="L294" s="70">
        <v>44655.0</v>
      </c>
    </row>
    <row r="295">
      <c r="A295" s="57" t="s">
        <v>59</v>
      </c>
      <c r="B295" s="57">
        <v>2089.0</v>
      </c>
      <c r="C295" s="57">
        <v>1.0</v>
      </c>
      <c r="D295" s="57">
        <v>1.0</v>
      </c>
      <c r="F295" s="57">
        <v>1.761</v>
      </c>
      <c r="G295" s="57">
        <v>0.998</v>
      </c>
      <c r="H295" s="57">
        <v>0.26</v>
      </c>
      <c r="I295" s="57">
        <v>0.136</v>
      </c>
      <c r="J295" s="57">
        <v>4.82</v>
      </c>
      <c r="K295" s="33">
        <f>AVERAGE(1.69,1.49,1.78,1.63)</f>
        <v>1.6475</v>
      </c>
      <c r="L295" s="70">
        <v>44655.0</v>
      </c>
    </row>
    <row r="296">
      <c r="A296" s="57" t="s">
        <v>59</v>
      </c>
      <c r="B296" s="57">
        <v>2023.0</v>
      </c>
      <c r="C296" s="57">
        <v>2.0</v>
      </c>
      <c r="D296" s="57">
        <v>1.0</v>
      </c>
      <c r="F296" s="57">
        <v>0.857</v>
      </c>
      <c r="G296" s="57">
        <v>0.512</v>
      </c>
      <c r="H296" s="57">
        <v>0.121</v>
      </c>
      <c r="I296" s="57">
        <v>0.062</v>
      </c>
      <c r="J296" s="57">
        <v>1.53</v>
      </c>
      <c r="K296" s="33">
        <f>AVERAGE(1.75,1.85,1.92,2.03)</f>
        <v>1.8875</v>
      </c>
      <c r="L296" s="70">
        <v>44655.0</v>
      </c>
    </row>
    <row r="297">
      <c r="A297" s="57" t="s">
        <v>163</v>
      </c>
      <c r="B297" s="57">
        <v>2027.0</v>
      </c>
      <c r="C297" s="57">
        <v>2.0</v>
      </c>
      <c r="D297" s="57">
        <v>0.0</v>
      </c>
      <c r="F297" s="57">
        <v>1.086</v>
      </c>
      <c r="G297" s="57">
        <v>0.543</v>
      </c>
      <c r="H297" s="57">
        <v>0.087</v>
      </c>
      <c r="I297" s="57">
        <v>0.039</v>
      </c>
      <c r="J297" s="57">
        <v>1.43</v>
      </c>
      <c r="K297" s="33">
        <f>AVERAGE(1.05,1.05,1.02,1)</f>
        <v>1.03</v>
      </c>
      <c r="L297" s="70">
        <v>44655.0</v>
      </c>
    </row>
    <row r="298">
      <c r="A298" s="57" t="s">
        <v>59</v>
      </c>
      <c r="B298" s="57">
        <v>2028.0</v>
      </c>
      <c r="C298" s="57">
        <v>1.0</v>
      </c>
      <c r="D298" s="57">
        <v>1.0</v>
      </c>
      <c r="F298" s="57">
        <v>3.514</v>
      </c>
      <c r="G298" s="57">
        <v>1.894</v>
      </c>
      <c r="H298" s="57">
        <v>0.178</v>
      </c>
      <c r="I298" s="57">
        <v>0.08</v>
      </c>
      <c r="J298" s="57">
        <v>3.8</v>
      </c>
      <c r="K298" s="33">
        <f>AVERAGE(1.72,1.59,1.53,1.48)</f>
        <v>1.58</v>
      </c>
      <c r="L298" s="70">
        <v>44655.0</v>
      </c>
    </row>
    <row r="299">
      <c r="A299" s="57" t="s">
        <v>163</v>
      </c>
      <c r="B299" s="57">
        <v>2026.0</v>
      </c>
      <c r="C299" s="57">
        <v>1.0</v>
      </c>
      <c r="D299" s="57">
        <v>0.0</v>
      </c>
      <c r="F299" s="57">
        <v>0.821</v>
      </c>
      <c r="G299" s="57">
        <v>0.425</v>
      </c>
      <c r="H299" s="57">
        <v>0.128</v>
      </c>
      <c r="I299" s="57">
        <v>0.06</v>
      </c>
      <c r="J299" s="57">
        <v>2.49</v>
      </c>
      <c r="K299" s="33">
        <f>AVERAGE(1.13,1.25,1.23,1.14)</f>
        <v>1.1875</v>
      </c>
      <c r="L299" s="70">
        <v>44655.0</v>
      </c>
    </row>
    <row r="300">
      <c r="A300" s="57" t="s">
        <v>163</v>
      </c>
      <c r="B300" s="57">
        <v>2028.0</v>
      </c>
      <c r="C300" s="57">
        <v>2.0</v>
      </c>
      <c r="D300" s="57">
        <v>0.0</v>
      </c>
      <c r="F300" s="57">
        <v>0.782</v>
      </c>
      <c r="G300" s="57">
        <v>0.397</v>
      </c>
      <c r="H300" s="57">
        <v>0.059</v>
      </c>
      <c r="I300" s="57">
        <v>0.025</v>
      </c>
      <c r="J300" s="57">
        <v>1.5</v>
      </c>
      <c r="K300" s="33">
        <f>AVERAGE(0.88,0.93,0.85,0.86)</f>
        <v>0.88</v>
      </c>
      <c r="L300" s="70">
        <v>44655.0</v>
      </c>
    </row>
    <row r="301">
      <c r="A301" s="57" t="s">
        <v>163</v>
      </c>
      <c r="B301" s="57">
        <v>2006.0</v>
      </c>
      <c r="C301" s="57">
        <v>3.0</v>
      </c>
      <c r="D301" s="57">
        <v>0.0</v>
      </c>
      <c r="F301" s="57">
        <v>0.443</v>
      </c>
      <c r="G301" s="57">
        <v>0.216</v>
      </c>
      <c r="H301" s="57">
        <v>0.026</v>
      </c>
      <c r="I301" s="57">
        <v>0.009</v>
      </c>
      <c r="J301" s="57">
        <v>0.66</v>
      </c>
      <c r="K301" s="57" t="s">
        <v>60</v>
      </c>
      <c r="L301" s="70">
        <v>44655.0</v>
      </c>
    </row>
    <row r="302">
      <c r="A302" s="57" t="s">
        <v>59</v>
      </c>
      <c r="B302" s="57">
        <v>2023.0</v>
      </c>
      <c r="C302" s="57">
        <v>1.0</v>
      </c>
      <c r="D302" s="57">
        <v>0.0</v>
      </c>
      <c r="F302" s="57">
        <v>2.298</v>
      </c>
      <c r="G302" s="57">
        <v>1.221</v>
      </c>
      <c r="H302" s="57">
        <v>0.325</v>
      </c>
      <c r="I302" s="57">
        <v>0.152</v>
      </c>
      <c r="J302" s="57">
        <v>6.26</v>
      </c>
      <c r="K302" s="33">
        <f>AVERAGE(1.59,1.48,1.44,1.52)</f>
        <v>1.5075</v>
      </c>
      <c r="L302" s="70">
        <v>44655.0</v>
      </c>
    </row>
    <row r="303">
      <c r="A303" s="57" t="s">
        <v>163</v>
      </c>
      <c r="B303" s="57">
        <v>2087.0</v>
      </c>
      <c r="C303" s="57">
        <v>2.0</v>
      </c>
      <c r="D303" s="57">
        <v>0.0</v>
      </c>
      <c r="F303" s="57">
        <v>0.753</v>
      </c>
      <c r="G303" s="57">
        <v>0.298</v>
      </c>
      <c r="H303" s="57">
        <v>0.084</v>
      </c>
      <c r="I303" s="57">
        <v>0.031</v>
      </c>
      <c r="J303" s="57">
        <v>1.55</v>
      </c>
      <c r="K303" s="33">
        <f>AVERAGE(0.91,1,0.73,0.7)</f>
        <v>0.835</v>
      </c>
      <c r="L303" s="70">
        <v>44655.0</v>
      </c>
    </row>
    <row r="304">
      <c r="A304" s="57" t="s">
        <v>163</v>
      </c>
      <c r="B304" s="57">
        <v>2028.0</v>
      </c>
      <c r="C304" s="57">
        <v>3.0</v>
      </c>
      <c r="D304" s="57">
        <v>0.0</v>
      </c>
      <c r="F304" s="57">
        <v>0.516</v>
      </c>
      <c r="G304" s="57">
        <v>0.278</v>
      </c>
      <c r="H304" s="57">
        <v>0.045</v>
      </c>
      <c r="I304" s="57">
        <v>0.02</v>
      </c>
      <c r="J304" s="57">
        <v>1.19</v>
      </c>
      <c r="K304" s="33">
        <f>AVERAGE(0.92,0.91,1.05,0.95)</f>
        <v>0.9575</v>
      </c>
      <c r="L304" s="70">
        <v>44655.0</v>
      </c>
    </row>
    <row r="305">
      <c r="A305" s="57" t="s">
        <v>163</v>
      </c>
      <c r="B305" s="57">
        <v>2007.0</v>
      </c>
      <c r="C305" s="57">
        <v>1.0</v>
      </c>
      <c r="D305" s="57">
        <v>0.0</v>
      </c>
      <c r="F305" s="57">
        <v>0.619</v>
      </c>
      <c r="G305" s="57">
        <v>0.327</v>
      </c>
      <c r="H305" s="57">
        <v>0.064</v>
      </c>
      <c r="I305" s="57">
        <v>0.028</v>
      </c>
      <c r="J305" s="57">
        <v>1.9</v>
      </c>
      <c r="K305" s="33">
        <f>AVERAGE(0.73,1.02,1.01,0.82)</f>
        <v>0.895</v>
      </c>
      <c r="L305" s="70">
        <v>44655.0</v>
      </c>
    </row>
    <row r="306">
      <c r="A306" s="57" t="s">
        <v>59</v>
      </c>
      <c r="B306" s="57">
        <v>2023.0</v>
      </c>
      <c r="C306" s="57">
        <v>2.0</v>
      </c>
      <c r="D306" s="57">
        <v>0.0</v>
      </c>
      <c r="E306" s="57" t="s">
        <v>164</v>
      </c>
      <c r="F306" s="57">
        <v>1.355</v>
      </c>
      <c r="G306" s="57">
        <v>0.722</v>
      </c>
      <c r="H306" s="57">
        <v>0.223</v>
      </c>
      <c r="I306" s="57">
        <v>0.104</v>
      </c>
      <c r="J306" s="57">
        <v>5.21</v>
      </c>
      <c r="K306" s="33">
        <f>AVERAGE(1.08,1.5,1.29,1.32)</f>
        <v>1.2975</v>
      </c>
      <c r="L306" s="70">
        <v>44655.0</v>
      </c>
    </row>
    <row r="307">
      <c r="A307" s="57" t="s">
        <v>163</v>
      </c>
      <c r="B307" s="57">
        <v>2020.0</v>
      </c>
      <c r="C307" s="57">
        <v>2.0</v>
      </c>
      <c r="D307" s="57">
        <v>0.0</v>
      </c>
      <c r="F307" s="57">
        <v>0.52</v>
      </c>
      <c r="G307" s="57">
        <v>0.264</v>
      </c>
      <c r="H307" s="57">
        <v>0.029</v>
      </c>
      <c r="I307" s="57">
        <v>0.013</v>
      </c>
      <c r="J307" s="57">
        <v>0.87</v>
      </c>
      <c r="K307" s="33">
        <f>AVERAGE(0.71,0.72,0.69,0.72)</f>
        <v>0.71</v>
      </c>
      <c r="L307" s="70">
        <v>44655.0</v>
      </c>
    </row>
    <row r="308">
      <c r="A308" s="57" t="s">
        <v>163</v>
      </c>
      <c r="B308" s="57">
        <v>2008.0</v>
      </c>
      <c r="C308" s="57">
        <v>1.0</v>
      </c>
      <c r="D308" s="57">
        <v>0.0</v>
      </c>
      <c r="F308" s="57">
        <v>0.737</v>
      </c>
      <c r="G308" s="57">
        <v>0.384</v>
      </c>
      <c r="H308" s="57">
        <v>0.05</v>
      </c>
      <c r="I308" s="57">
        <v>0.022</v>
      </c>
      <c r="J308" s="57">
        <v>1.76</v>
      </c>
      <c r="K308" s="33">
        <f>AVERAGE(0.84,0.89,0.81,0.79)</f>
        <v>0.8325</v>
      </c>
      <c r="L308" s="70">
        <v>44655.0</v>
      </c>
    </row>
    <row r="309">
      <c r="A309" s="57" t="s">
        <v>163</v>
      </c>
      <c r="B309" s="57">
        <v>2087.0</v>
      </c>
      <c r="C309" s="57">
        <v>1.0</v>
      </c>
      <c r="D309" s="57">
        <v>0.0</v>
      </c>
      <c r="F309" s="57">
        <v>1.65</v>
      </c>
      <c r="G309" s="57">
        <v>0.577</v>
      </c>
      <c r="H309" s="57">
        <v>0.323</v>
      </c>
      <c r="I309" s="57">
        <v>0.101</v>
      </c>
      <c r="J309" s="57">
        <v>4.15</v>
      </c>
      <c r="K309" s="33">
        <f>AVERAGE(1.3,1.3,1.29,1.37)</f>
        <v>1.315</v>
      </c>
      <c r="L309" s="70">
        <v>44655.0</v>
      </c>
    </row>
    <row r="310">
      <c r="A310" s="57" t="s">
        <v>163</v>
      </c>
      <c r="B310" s="57">
        <v>2005.0</v>
      </c>
      <c r="C310" s="57">
        <v>3.0</v>
      </c>
      <c r="D310" s="57">
        <v>0.0</v>
      </c>
      <c r="F310" s="57">
        <v>1.046</v>
      </c>
      <c r="G310" s="57">
        <v>0.515</v>
      </c>
      <c r="H310" s="57">
        <v>0.108</v>
      </c>
      <c r="I310" s="57">
        <v>0.05</v>
      </c>
      <c r="J310" s="57">
        <v>2.44</v>
      </c>
      <c r="K310" s="33">
        <f>AVERAGE(0.99,0.94,0.92,0.88)</f>
        <v>0.9325</v>
      </c>
      <c r="L310" s="70">
        <v>44655.0</v>
      </c>
    </row>
    <row r="311">
      <c r="A311" s="57" t="s">
        <v>163</v>
      </c>
      <c r="B311" s="57">
        <v>2013.0</v>
      </c>
      <c r="C311" s="57">
        <v>3.0</v>
      </c>
      <c r="D311" s="57">
        <v>0.0</v>
      </c>
      <c r="F311" s="57">
        <v>0.658</v>
      </c>
      <c r="G311" s="57">
        <v>0.209</v>
      </c>
      <c r="H311" s="57">
        <v>0.174</v>
      </c>
      <c r="I311" s="57">
        <v>0.054</v>
      </c>
      <c r="J311" s="57">
        <v>3.86</v>
      </c>
      <c r="K311" s="33">
        <f>AVERAGE(1.08,1.01,1.11,1.12)</f>
        <v>1.08</v>
      </c>
      <c r="L311" s="70">
        <v>44655.0</v>
      </c>
    </row>
    <row r="312">
      <c r="A312" s="57" t="s">
        <v>163</v>
      </c>
      <c r="B312" s="57">
        <v>2025.0</v>
      </c>
      <c r="C312" s="57">
        <v>3.0</v>
      </c>
      <c r="D312" s="57">
        <v>0.0</v>
      </c>
      <c r="F312" s="57">
        <v>0.739</v>
      </c>
      <c r="G312" s="57">
        <v>0.39</v>
      </c>
      <c r="H312" s="57">
        <v>0.063</v>
      </c>
      <c r="I312" s="57">
        <v>0.029</v>
      </c>
      <c r="J312" s="57">
        <v>1.67</v>
      </c>
      <c r="K312" s="33">
        <f>average(1.51,1.18,1.34,1.16)</f>
        <v>1.2975</v>
      </c>
      <c r="L312" s="70">
        <v>44655.0</v>
      </c>
    </row>
    <row r="313">
      <c r="A313" s="57" t="s">
        <v>163</v>
      </c>
      <c r="B313" s="57">
        <v>2014.0</v>
      </c>
      <c r="C313" s="57">
        <v>1.0</v>
      </c>
      <c r="D313" s="57">
        <v>0.0</v>
      </c>
      <c r="F313" s="57">
        <v>0.834</v>
      </c>
      <c r="G313" s="57">
        <v>0.344</v>
      </c>
      <c r="H313" s="57">
        <v>0.205</v>
      </c>
      <c r="I313" s="57">
        <v>0.069</v>
      </c>
      <c r="J313" s="57">
        <v>3.73</v>
      </c>
      <c r="K313" s="33">
        <f>average(1.34,1.27,1.18,1.24)</f>
        <v>1.2575</v>
      </c>
      <c r="L313" s="70">
        <v>44655.0</v>
      </c>
    </row>
    <row r="314">
      <c r="A314" s="57" t="s">
        <v>163</v>
      </c>
      <c r="B314" s="57">
        <v>2031.0</v>
      </c>
      <c r="C314" s="57">
        <v>3.0</v>
      </c>
      <c r="D314" s="57">
        <v>0.0</v>
      </c>
      <c r="F314" s="57">
        <v>1.207</v>
      </c>
      <c r="G314" s="57">
        <v>0.647</v>
      </c>
      <c r="H314" s="57">
        <v>0.064</v>
      </c>
      <c r="I314" s="57">
        <v>0.032</v>
      </c>
      <c r="J314" s="57">
        <v>1.1</v>
      </c>
      <c r="K314" s="33">
        <f>AVERAGE(1.38,1.27,1.24,1.23)</f>
        <v>1.28</v>
      </c>
      <c r="L314" s="70">
        <v>44655.0</v>
      </c>
    </row>
    <row r="315">
      <c r="A315" s="57" t="s">
        <v>163</v>
      </c>
      <c r="B315" s="57">
        <v>2021.0</v>
      </c>
      <c r="C315" s="57">
        <v>3.0</v>
      </c>
      <c r="D315" s="57">
        <v>0.0</v>
      </c>
      <c r="F315" s="57">
        <v>0.376</v>
      </c>
      <c r="G315" s="57">
        <v>0.198</v>
      </c>
      <c r="H315" s="57">
        <v>0.036</v>
      </c>
      <c r="I315" s="57">
        <v>0.016</v>
      </c>
      <c r="J315" s="57">
        <v>1.07</v>
      </c>
      <c r="K315" s="33">
        <f>average(0.98,0.61,0.97,0.85)</f>
        <v>0.8525</v>
      </c>
      <c r="L315" s="70">
        <v>44655.0</v>
      </c>
    </row>
    <row r="316">
      <c r="A316" s="57" t="s">
        <v>59</v>
      </c>
      <c r="B316" s="57">
        <v>2022.0</v>
      </c>
      <c r="C316" s="57">
        <v>3.0</v>
      </c>
      <c r="D316" s="57">
        <v>1.0</v>
      </c>
      <c r="F316" s="57">
        <v>0.77</v>
      </c>
      <c r="G316" s="57">
        <v>0.471</v>
      </c>
      <c r="H316" s="57">
        <v>0.132</v>
      </c>
      <c r="I316" s="57">
        <v>0.067</v>
      </c>
      <c r="J316" s="57">
        <v>3.45</v>
      </c>
      <c r="K316" s="33">
        <f>AVERAGE(1.46,1.58,1.48,1.5)</f>
        <v>1.505</v>
      </c>
      <c r="L316" s="70">
        <v>44655.0</v>
      </c>
    </row>
    <row r="317">
      <c r="A317" s="57" t="s">
        <v>163</v>
      </c>
      <c r="B317" s="57">
        <v>2013.0</v>
      </c>
      <c r="C317" s="57">
        <v>1.0</v>
      </c>
      <c r="D317" s="57">
        <v>0.0</v>
      </c>
      <c r="F317" s="57">
        <v>0.536</v>
      </c>
      <c r="G317" s="57">
        <v>0.177</v>
      </c>
      <c r="H317" s="57">
        <v>0.165</v>
      </c>
      <c r="I317" s="57">
        <v>0.049</v>
      </c>
      <c r="J317" s="57">
        <v>4.25</v>
      </c>
      <c r="K317" s="33">
        <f>AVERAGE(0.94,0.98,0.99,1)</f>
        <v>0.9775</v>
      </c>
      <c r="L317" s="70">
        <v>44655.0</v>
      </c>
    </row>
    <row r="318">
      <c r="A318" s="57" t="s">
        <v>59</v>
      </c>
      <c r="B318" s="57">
        <v>2091.0</v>
      </c>
      <c r="C318" s="57">
        <v>3.0</v>
      </c>
      <c r="D318" s="57">
        <v>1.0</v>
      </c>
      <c r="F318" s="57">
        <v>1.514</v>
      </c>
      <c r="G318" s="57">
        <v>0.92</v>
      </c>
      <c r="H318" s="57">
        <v>0.296</v>
      </c>
      <c r="I318" s="57">
        <v>0.161</v>
      </c>
      <c r="J318" s="57">
        <v>4.89</v>
      </c>
      <c r="K318" s="33">
        <f>AVERAGE(1.63,1.84,1.91,1.8)</f>
        <v>1.795</v>
      </c>
      <c r="L318" s="70">
        <v>44655.0</v>
      </c>
    </row>
    <row r="319">
      <c r="A319" s="57" t="s">
        <v>59</v>
      </c>
      <c r="B319" s="57">
        <v>2089.0</v>
      </c>
      <c r="C319" s="57">
        <v>2.0</v>
      </c>
      <c r="D319" s="57">
        <v>1.0</v>
      </c>
      <c r="F319" s="57">
        <v>0.865</v>
      </c>
      <c r="G319" s="57">
        <v>0.525</v>
      </c>
      <c r="H319" s="57">
        <v>0.053</v>
      </c>
      <c r="I319" s="57">
        <v>0.031</v>
      </c>
      <c r="J319" s="57">
        <v>2.31</v>
      </c>
      <c r="K319" s="33">
        <f>AVERAGE(0.98,0.99,0.94,1.11)</f>
        <v>1.005</v>
      </c>
      <c r="L319" s="70">
        <v>44655.0</v>
      </c>
    </row>
    <row r="320">
      <c r="A320" s="57" t="s">
        <v>59</v>
      </c>
      <c r="B320" s="57">
        <v>2089.0</v>
      </c>
      <c r="C320" s="57">
        <v>3.0</v>
      </c>
      <c r="D320" s="57">
        <v>1.0</v>
      </c>
      <c r="F320" s="57">
        <v>2.047</v>
      </c>
      <c r="G320" s="57">
        <v>1.247</v>
      </c>
      <c r="H320" s="57">
        <v>0.566</v>
      </c>
      <c r="I320" s="57">
        <v>0.316</v>
      </c>
      <c r="J320" s="57">
        <v>7.34</v>
      </c>
      <c r="K320" s="33">
        <f>AVERAGE(1.94,1.89,1.92,1.89)</f>
        <v>1.91</v>
      </c>
      <c r="L320" s="70">
        <v>44655.0</v>
      </c>
    </row>
    <row r="321">
      <c r="A321" s="57" t="s">
        <v>59</v>
      </c>
      <c r="B321" s="57">
        <v>2092.0</v>
      </c>
      <c r="C321" s="57">
        <v>2.0</v>
      </c>
      <c r="D321" s="57">
        <v>1.0</v>
      </c>
      <c r="F321" s="57">
        <v>1.626</v>
      </c>
      <c r="G321" s="57">
        <v>0.957</v>
      </c>
      <c r="H321" s="57">
        <v>0.146</v>
      </c>
      <c r="I321" s="57">
        <v>0.077</v>
      </c>
      <c r="J321" s="57">
        <v>3.23</v>
      </c>
      <c r="K321" s="33">
        <f>AVERAGE(1.26,1.25,1.23,1.34)</f>
        <v>1.27</v>
      </c>
      <c r="L321" s="70">
        <v>44655.0</v>
      </c>
    </row>
    <row r="322">
      <c r="A322" s="57" t="s">
        <v>163</v>
      </c>
      <c r="B322" s="57">
        <v>2012.0</v>
      </c>
      <c r="C322" s="57">
        <v>1.0</v>
      </c>
      <c r="D322" s="57">
        <v>0.0</v>
      </c>
      <c r="F322" s="57">
        <v>0.355</v>
      </c>
      <c r="G322" s="57">
        <v>0.141</v>
      </c>
      <c r="H322" s="57">
        <v>0.019</v>
      </c>
      <c r="I322" s="57">
        <v>0.007</v>
      </c>
      <c r="J322" s="57">
        <v>0.5</v>
      </c>
      <c r="K322" s="57" t="s">
        <v>60</v>
      </c>
      <c r="L322" s="70">
        <v>44655.0</v>
      </c>
    </row>
    <row r="323">
      <c r="A323" s="57" t="s">
        <v>163</v>
      </c>
      <c r="B323" s="57">
        <v>2085.0</v>
      </c>
      <c r="C323" s="57">
        <v>1.0</v>
      </c>
      <c r="D323" s="57">
        <v>0.0</v>
      </c>
      <c r="F323" s="57">
        <v>0.382</v>
      </c>
      <c r="G323" s="57">
        <v>0.142</v>
      </c>
      <c r="H323" s="57">
        <v>0.048</v>
      </c>
      <c r="I323" s="57">
        <v>0.018</v>
      </c>
      <c r="J323" s="57">
        <v>1.22</v>
      </c>
      <c r="K323" s="33">
        <f>AVERAGE(1.04,1.1,0.94,0.97)</f>
        <v>1.0125</v>
      </c>
      <c r="L323" s="70">
        <v>44655.0</v>
      </c>
    </row>
    <row r="324">
      <c r="A324" s="57" t="s">
        <v>163</v>
      </c>
      <c r="B324" s="57">
        <v>2008.0</v>
      </c>
      <c r="C324" s="57">
        <v>3.0</v>
      </c>
      <c r="D324" s="57">
        <v>0.0</v>
      </c>
      <c r="F324" s="57">
        <v>0.678</v>
      </c>
      <c r="G324" s="57">
        <v>0.357</v>
      </c>
      <c r="H324" s="57">
        <v>0.055</v>
      </c>
      <c r="I324" s="57">
        <v>0.024</v>
      </c>
      <c r="J324" s="57">
        <v>1.55</v>
      </c>
      <c r="K324" s="33">
        <f>AVERAGE(0.8,0.76,0.92,0.72)</f>
        <v>0.8</v>
      </c>
      <c r="L324" s="70">
        <v>44655.0</v>
      </c>
    </row>
    <row r="325">
      <c r="A325" s="57" t="s">
        <v>163</v>
      </c>
      <c r="B325" s="57">
        <v>2086.0</v>
      </c>
      <c r="C325" s="57">
        <v>1.0</v>
      </c>
      <c r="D325" s="57">
        <v>0.0</v>
      </c>
      <c r="F325" s="57">
        <v>1.291</v>
      </c>
      <c r="G325" s="57">
        <v>0.546</v>
      </c>
      <c r="H325" s="57">
        <v>0.217</v>
      </c>
      <c r="I325" s="57">
        <v>0.084</v>
      </c>
      <c r="J325" s="57">
        <v>3.06</v>
      </c>
      <c r="K325" s="33">
        <f>AVERAGE(1.21,1.32,1.27,1.51)</f>
        <v>1.3275</v>
      </c>
      <c r="L325" s="70">
        <v>44655.0</v>
      </c>
    </row>
    <row r="326">
      <c r="A326" s="57" t="s">
        <v>163</v>
      </c>
      <c r="B326" s="57">
        <v>2021.0</v>
      </c>
      <c r="C326" s="57">
        <v>1.0</v>
      </c>
      <c r="D326" s="57">
        <v>0.0</v>
      </c>
      <c r="F326" s="57">
        <v>0.713</v>
      </c>
      <c r="G326" s="57">
        <v>0.372</v>
      </c>
      <c r="H326" s="57">
        <v>0.043</v>
      </c>
      <c r="I326" s="57">
        <v>0.019</v>
      </c>
      <c r="J326" s="57">
        <v>1.08</v>
      </c>
      <c r="K326" s="33">
        <f>AVERAGE(0.81,0.76,0.71,0.92)</f>
        <v>0.8</v>
      </c>
      <c r="L326" s="70">
        <v>44655.0</v>
      </c>
    </row>
    <row r="327">
      <c r="A327" s="57" t="s">
        <v>163</v>
      </c>
      <c r="B327" s="57">
        <v>1478.0</v>
      </c>
      <c r="C327" s="57">
        <v>2.0</v>
      </c>
      <c r="D327" s="57">
        <v>0.0</v>
      </c>
      <c r="F327" s="57">
        <v>0.73</v>
      </c>
      <c r="G327" s="57">
        <v>0.249</v>
      </c>
      <c r="H327" s="57">
        <v>0.111</v>
      </c>
      <c r="I327" s="57">
        <v>0.033</v>
      </c>
      <c r="J327" s="57">
        <v>2.65</v>
      </c>
      <c r="K327" s="33">
        <f>AVERAGE(0.91,0.91,1.06,1.11)</f>
        <v>0.9975</v>
      </c>
      <c r="L327" s="70">
        <v>44655.0</v>
      </c>
    </row>
    <row r="328">
      <c r="A328" s="57" t="s">
        <v>163</v>
      </c>
      <c r="B328" s="57">
        <v>2088.0</v>
      </c>
      <c r="C328" s="57">
        <v>3.0</v>
      </c>
      <c r="D328" s="57">
        <v>0.0</v>
      </c>
      <c r="F328" s="57">
        <v>0.76</v>
      </c>
      <c r="G328" s="57">
        <v>0.316</v>
      </c>
      <c r="H328" s="57">
        <v>0.095</v>
      </c>
      <c r="I328" s="57">
        <v>0.034</v>
      </c>
      <c r="J328" s="57">
        <v>2.39</v>
      </c>
      <c r="K328" s="33">
        <f>AVERAGE(1.14,1.09,1,0.98)</f>
        <v>1.0525</v>
      </c>
      <c r="L328" s="70">
        <v>44655.0</v>
      </c>
    </row>
    <row r="329">
      <c r="A329" s="57" t="s">
        <v>59</v>
      </c>
      <c r="B329" s="57">
        <v>2091.0</v>
      </c>
      <c r="C329" s="57">
        <v>1.0</v>
      </c>
      <c r="D329" s="57">
        <v>1.0</v>
      </c>
      <c r="F329" s="57">
        <v>1.337</v>
      </c>
      <c r="G329" s="57">
        <v>0.807</v>
      </c>
      <c r="H329" s="57">
        <v>0.157</v>
      </c>
      <c r="I329" s="57">
        <v>0.09</v>
      </c>
      <c r="J329" s="57">
        <v>3.69</v>
      </c>
      <c r="K329" s="33">
        <f>AVERAGE(1.48,1.52,1.49,1.54)</f>
        <v>1.5075</v>
      </c>
      <c r="L329" s="70">
        <v>44655.0</v>
      </c>
    </row>
    <row r="330">
      <c r="A330" s="57" t="s">
        <v>163</v>
      </c>
      <c r="B330" s="57">
        <v>2028.0</v>
      </c>
      <c r="C330" s="57">
        <v>1.0</v>
      </c>
      <c r="D330" s="57">
        <v>0.0</v>
      </c>
      <c r="F330" s="57">
        <v>0.961</v>
      </c>
      <c r="G330" s="57">
        <v>0.521</v>
      </c>
      <c r="H330" s="57">
        <v>0.125</v>
      </c>
      <c r="I330" s="57">
        <v>0.055</v>
      </c>
      <c r="J330" s="57">
        <v>2.53</v>
      </c>
      <c r="K330" s="33">
        <f>AVERAGE(1.23,1.17,1.21,1.22)</f>
        <v>1.2075</v>
      </c>
      <c r="L330" s="70">
        <v>44655.0</v>
      </c>
    </row>
    <row r="331">
      <c r="A331" s="57" t="s">
        <v>59</v>
      </c>
      <c r="B331" s="57">
        <v>2023.0</v>
      </c>
      <c r="C331" s="57">
        <v>2.0</v>
      </c>
      <c r="D331" s="57">
        <v>0.0</v>
      </c>
      <c r="E331" s="57" t="s">
        <v>165</v>
      </c>
      <c r="F331" s="57">
        <v>1.452</v>
      </c>
      <c r="G331" s="57">
        <v>0.76</v>
      </c>
      <c r="H331" s="57">
        <v>0.229</v>
      </c>
      <c r="I331" s="57">
        <v>0.103</v>
      </c>
      <c r="J331" s="57">
        <v>5.63</v>
      </c>
      <c r="K331" s="33">
        <f>AVERAGE(1.44,1.13,1.33,1.34)</f>
        <v>1.31</v>
      </c>
      <c r="L331" s="70">
        <v>44655.0</v>
      </c>
    </row>
    <row r="332">
      <c r="A332" s="57" t="s">
        <v>59</v>
      </c>
      <c r="B332" s="57">
        <v>2030.0</v>
      </c>
      <c r="C332" s="57">
        <v>3.0</v>
      </c>
      <c r="D332" s="57">
        <v>1.0</v>
      </c>
      <c r="F332" s="57">
        <v>1.212</v>
      </c>
      <c r="G332" s="57">
        <v>0.67</v>
      </c>
      <c r="H332" s="57">
        <v>0.081</v>
      </c>
      <c r="I332" s="57">
        <v>0.04</v>
      </c>
      <c r="J332" s="57">
        <v>2.4</v>
      </c>
      <c r="K332" s="33">
        <f>AVERAGE(1.02,1.05,1.04,1.15)</f>
        <v>1.065</v>
      </c>
      <c r="L332" s="70">
        <v>44655.0</v>
      </c>
    </row>
    <row r="333">
      <c r="A333" s="57" t="s">
        <v>163</v>
      </c>
      <c r="B333" s="57">
        <v>2008.0</v>
      </c>
      <c r="C333" s="57">
        <v>2.0</v>
      </c>
      <c r="D333" s="57">
        <v>0.0</v>
      </c>
      <c r="F333" s="57">
        <v>0.942</v>
      </c>
      <c r="G333" s="57">
        <v>0.48</v>
      </c>
      <c r="H333" s="57">
        <v>0.053</v>
      </c>
      <c r="I333" s="57">
        <v>0.023</v>
      </c>
      <c r="J333" s="57">
        <v>1.43</v>
      </c>
      <c r="K333" s="33">
        <f>AVERAGE(0.9,1.01,1.07,0.91)</f>
        <v>0.9725</v>
      </c>
      <c r="L333" s="70">
        <v>44655.0</v>
      </c>
    </row>
    <row r="334">
      <c r="A334" s="57" t="s">
        <v>59</v>
      </c>
      <c r="B334" s="57">
        <v>2092.0</v>
      </c>
      <c r="C334" s="57">
        <v>3.0</v>
      </c>
      <c r="D334" s="57">
        <v>1.0</v>
      </c>
      <c r="F334" s="57">
        <v>0.959</v>
      </c>
      <c r="G334" s="57">
        <v>0.588</v>
      </c>
      <c r="H334" s="57">
        <v>0.294</v>
      </c>
      <c r="I334" s="57">
        <v>0.148</v>
      </c>
      <c r="J334" s="57">
        <v>5.04</v>
      </c>
      <c r="K334" s="33">
        <f>AVERAGE(1.91,1.77,1.98,1.83)</f>
        <v>1.8725</v>
      </c>
      <c r="L334" s="70">
        <v>44655.0</v>
      </c>
    </row>
    <row r="335">
      <c r="A335" s="57" t="s">
        <v>163</v>
      </c>
      <c r="B335" s="57">
        <v>2025.0</v>
      </c>
      <c r="C335" s="57">
        <v>1.0</v>
      </c>
      <c r="D335" s="57">
        <v>0.0</v>
      </c>
      <c r="F335" s="57">
        <v>0.483</v>
      </c>
      <c r="G335" s="57">
        <v>0.248</v>
      </c>
      <c r="H335" s="57">
        <v>0.037</v>
      </c>
      <c r="I335" s="57">
        <v>0.017</v>
      </c>
      <c r="J335" s="57">
        <v>1.29</v>
      </c>
      <c r="K335" s="33">
        <f>AVERAGE(0.84,0.81,0.73,0.8)</f>
        <v>0.795</v>
      </c>
      <c r="L335" s="70">
        <v>44655.0</v>
      </c>
    </row>
    <row r="336">
      <c r="A336" s="57" t="s">
        <v>59</v>
      </c>
      <c r="B336" s="57">
        <v>2022.0</v>
      </c>
      <c r="C336" s="57">
        <v>2.0</v>
      </c>
      <c r="D336" s="57">
        <v>0.0</v>
      </c>
      <c r="F336" s="57">
        <v>0.124</v>
      </c>
      <c r="G336" s="57">
        <v>0.063</v>
      </c>
      <c r="H336" s="57">
        <v>0.014</v>
      </c>
      <c r="I336" s="57">
        <v>0.005</v>
      </c>
      <c r="J336" s="57">
        <v>0.55</v>
      </c>
      <c r="K336" s="57" t="s">
        <v>60</v>
      </c>
      <c r="L336" s="70">
        <v>44655.0</v>
      </c>
    </row>
    <row r="337">
      <c r="A337" s="57" t="s">
        <v>59</v>
      </c>
      <c r="B337" s="57">
        <v>2022.0</v>
      </c>
      <c r="C337" s="57">
        <v>3.0</v>
      </c>
      <c r="D337" s="57">
        <v>0.0</v>
      </c>
      <c r="F337" s="57">
        <v>0.226</v>
      </c>
      <c r="G337" s="57">
        <v>0.117</v>
      </c>
      <c r="H337" s="57">
        <v>0.044</v>
      </c>
      <c r="I337" s="57">
        <v>0.018</v>
      </c>
      <c r="J337" s="57">
        <v>1.73</v>
      </c>
      <c r="K337" s="33">
        <f>AVERAGE(0.62,0.59,0.62,0.53)</f>
        <v>0.59</v>
      </c>
      <c r="L337" s="70">
        <v>44655.0</v>
      </c>
    </row>
    <row r="338">
      <c r="A338" s="57" t="s">
        <v>59</v>
      </c>
      <c r="B338" s="57">
        <v>2023.0</v>
      </c>
      <c r="C338" s="57">
        <v>1.0</v>
      </c>
      <c r="D338" s="57">
        <v>1.0</v>
      </c>
      <c r="F338" s="57">
        <v>3.529</v>
      </c>
      <c r="G338" s="57">
        <v>2.072</v>
      </c>
      <c r="H338" s="57">
        <v>0.573</v>
      </c>
      <c r="I338" s="57">
        <v>0.289</v>
      </c>
      <c r="J338" s="57">
        <v>6.83</v>
      </c>
      <c r="K338" s="33">
        <f>AVERAGE(2.22,2.32,2.15,2.12)</f>
        <v>2.2025</v>
      </c>
      <c r="L338" s="70">
        <v>44655.0</v>
      </c>
    </row>
    <row r="339">
      <c r="A339" s="57" t="s">
        <v>163</v>
      </c>
      <c r="B339" s="57">
        <v>2087.0</v>
      </c>
      <c r="C339" s="57">
        <v>3.0</v>
      </c>
      <c r="D339" s="57">
        <v>0.0</v>
      </c>
      <c r="F339" s="57">
        <v>0.838</v>
      </c>
      <c r="G339" s="57">
        <v>0.332</v>
      </c>
      <c r="H339" s="57">
        <v>0.079</v>
      </c>
      <c r="I339" s="57">
        <v>0.03</v>
      </c>
      <c r="J339" s="57">
        <v>1.79</v>
      </c>
      <c r="K339" s="33">
        <f>AVERAGE(1.08,1.11,1.06,1.03)</f>
        <v>1.07</v>
      </c>
      <c r="L339" s="70">
        <v>44655.0</v>
      </c>
    </row>
    <row r="340">
      <c r="A340" s="57" t="s">
        <v>163</v>
      </c>
      <c r="B340" s="57">
        <v>2004.0</v>
      </c>
      <c r="C340" s="57">
        <v>1.0</v>
      </c>
      <c r="D340" s="57">
        <v>0.0</v>
      </c>
      <c r="F340" s="57">
        <v>1.157</v>
      </c>
      <c r="G340" s="57">
        <v>0.585</v>
      </c>
      <c r="H340" s="57">
        <v>0.325</v>
      </c>
      <c r="I340" s="57">
        <v>0.143</v>
      </c>
      <c r="J340" s="57">
        <v>5.25</v>
      </c>
      <c r="K340" s="33">
        <f>AVERAGE(1.53,1.57,1.55,1.58)</f>
        <v>1.5575</v>
      </c>
      <c r="L340" s="70">
        <v>44655.0</v>
      </c>
    </row>
    <row r="341">
      <c r="A341" s="57" t="s">
        <v>163</v>
      </c>
      <c r="B341" s="57">
        <v>2006.0</v>
      </c>
      <c r="C341" s="57">
        <v>1.0</v>
      </c>
      <c r="D341" s="57">
        <v>0.0</v>
      </c>
      <c r="F341" s="57">
        <v>0.737</v>
      </c>
      <c r="G341" s="57">
        <v>0.362</v>
      </c>
      <c r="H341" s="57">
        <v>0.03</v>
      </c>
      <c r="I341" s="57">
        <v>0.013</v>
      </c>
      <c r="J341" s="57">
        <v>0.81</v>
      </c>
      <c r="K341" s="33">
        <f>AVERAGE(1.14,1.12,1.09,1.02)</f>
        <v>1.0925</v>
      </c>
      <c r="L341" s="70">
        <v>44655.0</v>
      </c>
    </row>
    <row r="342">
      <c r="A342" s="57" t="s">
        <v>59</v>
      </c>
      <c r="B342" s="57">
        <v>2093.0</v>
      </c>
      <c r="C342" s="57">
        <v>1.0</v>
      </c>
      <c r="D342" s="57">
        <v>1.0</v>
      </c>
      <c r="F342" s="57">
        <v>2.66</v>
      </c>
      <c r="G342" s="57">
        <v>1.676</v>
      </c>
      <c r="H342" s="57">
        <v>0.534</v>
      </c>
      <c r="I342" s="57">
        <v>0.308</v>
      </c>
      <c r="J342" s="57">
        <v>8.26</v>
      </c>
      <c r="K342" s="33">
        <f>AVERAGE(2.05,1.96,1.78,1.81)</f>
        <v>1.9</v>
      </c>
      <c r="L342" s="70">
        <v>44655.0</v>
      </c>
    </row>
    <row r="343">
      <c r="A343" s="57" t="s">
        <v>163</v>
      </c>
      <c r="B343" s="57">
        <v>2004.0</v>
      </c>
      <c r="C343" s="57">
        <v>3.0</v>
      </c>
      <c r="D343" s="57">
        <v>0.0</v>
      </c>
      <c r="F343" s="57">
        <v>0.583</v>
      </c>
      <c r="G343" s="57">
        <v>0.305</v>
      </c>
      <c r="H343" s="57">
        <v>0.075</v>
      </c>
      <c r="I343" s="57">
        <v>0.034</v>
      </c>
      <c r="J343" s="57">
        <v>1.93</v>
      </c>
      <c r="K343" s="33">
        <f>AVERAGE(0.96,1.09,1.04,0.88)</f>
        <v>0.9925</v>
      </c>
      <c r="L343" s="70">
        <v>44655.0</v>
      </c>
    </row>
    <row r="344">
      <c r="A344" s="57" t="s">
        <v>163</v>
      </c>
      <c r="B344" s="57">
        <v>2021.0</v>
      </c>
      <c r="C344" s="57">
        <v>2.0</v>
      </c>
      <c r="D344" s="57">
        <v>0.0</v>
      </c>
      <c r="F344" s="57">
        <v>0.936</v>
      </c>
      <c r="G344" s="57">
        <v>0.494</v>
      </c>
      <c r="H344" s="57">
        <v>0.11</v>
      </c>
      <c r="I344" s="57">
        <v>0.05</v>
      </c>
      <c r="J344" s="57">
        <v>2.33</v>
      </c>
      <c r="K344" s="33">
        <f>AVERAGE(1.27,1.09,1.14,1.16)</f>
        <v>1.165</v>
      </c>
      <c r="L344" s="70">
        <v>44655.0</v>
      </c>
    </row>
    <row r="345">
      <c r="A345" s="57" t="s">
        <v>163</v>
      </c>
      <c r="B345" s="57">
        <v>2024.0</v>
      </c>
      <c r="C345" s="57">
        <v>1.0</v>
      </c>
      <c r="D345" s="57">
        <v>0.0</v>
      </c>
      <c r="F345" s="57">
        <v>1.315</v>
      </c>
      <c r="G345" s="57">
        <v>0.644</v>
      </c>
      <c r="H345" s="57">
        <v>0.175</v>
      </c>
      <c r="I345" s="57">
        <v>0.077</v>
      </c>
      <c r="J345" s="57">
        <v>2.35</v>
      </c>
      <c r="K345" s="33">
        <f>AVERAGE(1.38,1.37,1.35,1.39)</f>
        <v>1.3725</v>
      </c>
      <c r="L345" s="70">
        <v>44655.0</v>
      </c>
    </row>
    <row r="346">
      <c r="A346" s="57" t="s">
        <v>59</v>
      </c>
      <c r="B346" s="57">
        <v>2093.0</v>
      </c>
      <c r="C346" s="57">
        <v>3.0</v>
      </c>
      <c r="D346" s="57">
        <v>1.0</v>
      </c>
      <c r="F346" s="57">
        <v>1.436</v>
      </c>
      <c r="G346" s="57">
        <v>0.91</v>
      </c>
      <c r="H346" s="57">
        <v>0.254</v>
      </c>
      <c r="I346" s="57">
        <v>0.146</v>
      </c>
      <c r="J346" s="57">
        <v>5.66</v>
      </c>
      <c r="K346" s="33">
        <f>AVERAGE(1.39,1.45,1.39,1.49)</f>
        <v>1.43</v>
      </c>
      <c r="L346" s="70">
        <v>44655.0</v>
      </c>
    </row>
    <row r="347">
      <c r="A347" s="57" t="s">
        <v>163</v>
      </c>
      <c r="B347" s="57">
        <v>2085.0</v>
      </c>
      <c r="C347" s="57">
        <v>2.0</v>
      </c>
      <c r="D347" s="57">
        <v>0.0</v>
      </c>
      <c r="F347" s="57">
        <v>0.543</v>
      </c>
      <c r="G347" s="57">
        <v>0.206</v>
      </c>
      <c r="H347" s="57">
        <v>0.124</v>
      </c>
      <c r="I347" s="57">
        <v>0.042</v>
      </c>
      <c r="J347" s="57">
        <v>2.83</v>
      </c>
      <c r="K347" s="33">
        <f>AVERAGE(1.11,1.25,1.27,1.18)</f>
        <v>1.2025</v>
      </c>
      <c r="L347" s="70">
        <v>44655.0</v>
      </c>
    </row>
    <row r="348">
      <c r="A348" s="57" t="s">
        <v>163</v>
      </c>
      <c r="B348" s="57">
        <v>2027.0</v>
      </c>
      <c r="C348" s="57">
        <v>1.0</v>
      </c>
      <c r="D348" s="57">
        <v>0.0</v>
      </c>
      <c r="F348" s="57">
        <v>0.989</v>
      </c>
      <c r="G348" s="57">
        <v>0.509</v>
      </c>
      <c r="H348" s="57">
        <v>0.089</v>
      </c>
      <c r="I348" s="57">
        <v>0.04</v>
      </c>
      <c r="J348" s="57">
        <v>1.35</v>
      </c>
      <c r="K348" s="33">
        <f>AVERAGE(1.17,1.03,1.11,1)</f>
        <v>1.0775</v>
      </c>
      <c r="L348" s="70">
        <v>44655.0</v>
      </c>
    </row>
    <row r="349">
      <c r="A349" s="57" t="s">
        <v>59</v>
      </c>
      <c r="B349" s="57">
        <v>2022.0</v>
      </c>
      <c r="C349" s="57">
        <v>1.0</v>
      </c>
      <c r="D349" s="57">
        <v>1.0</v>
      </c>
      <c r="F349" s="57">
        <v>0.656</v>
      </c>
      <c r="G349" s="57">
        <v>0.392</v>
      </c>
      <c r="H349" s="57">
        <v>0.335</v>
      </c>
      <c r="I349" s="57">
        <v>0.165</v>
      </c>
      <c r="J349" s="57">
        <v>5.43</v>
      </c>
      <c r="K349" s="33">
        <f>AVERAGE(1.74,1.68,1.69,1.55)</f>
        <v>1.665</v>
      </c>
      <c r="L349" s="70">
        <v>44655.0</v>
      </c>
    </row>
    <row r="350">
      <c r="A350" s="57" t="s">
        <v>163</v>
      </c>
      <c r="B350" s="57">
        <v>2027.0</v>
      </c>
      <c r="C350" s="57">
        <v>3.0</v>
      </c>
      <c r="D350" s="57">
        <v>0.0</v>
      </c>
      <c r="F350" s="57">
        <v>0.422</v>
      </c>
      <c r="G350" s="57">
        <v>0.211</v>
      </c>
      <c r="H350" s="57">
        <v>0.044</v>
      </c>
      <c r="I350" s="57">
        <v>0.019</v>
      </c>
      <c r="J350" s="57">
        <v>1.1</v>
      </c>
      <c r="K350" s="33">
        <f>AVERAGE(0.93,0.84,0.78,0.84)</f>
        <v>0.8475</v>
      </c>
      <c r="L350" s="70">
        <v>44655.0</v>
      </c>
    </row>
    <row r="351">
      <c r="A351" s="57" t="s">
        <v>163</v>
      </c>
      <c r="B351" s="57">
        <v>2020.0</v>
      </c>
      <c r="C351" s="57">
        <v>1.0</v>
      </c>
      <c r="D351" s="57">
        <v>0.0</v>
      </c>
      <c r="F351" s="57">
        <v>0.529</v>
      </c>
      <c r="G351" s="57">
        <v>0.259</v>
      </c>
      <c r="H351" s="57">
        <v>0.056</v>
      </c>
      <c r="I351" s="57">
        <v>0.022</v>
      </c>
      <c r="J351" s="57">
        <v>1.34</v>
      </c>
      <c r="K351" s="57" t="s">
        <v>60</v>
      </c>
      <c r="L351" s="70">
        <v>44655.0</v>
      </c>
    </row>
    <row r="352">
      <c r="A352" s="57" t="s">
        <v>163</v>
      </c>
      <c r="B352" s="57">
        <v>2020.0</v>
      </c>
      <c r="C352" s="57">
        <v>3.0</v>
      </c>
      <c r="D352" s="57">
        <v>0.0</v>
      </c>
      <c r="F352" s="57">
        <v>0.462</v>
      </c>
      <c r="G352" s="57">
        <v>0.23</v>
      </c>
      <c r="H352" s="57">
        <v>0.021</v>
      </c>
      <c r="I352" s="57">
        <v>0.008</v>
      </c>
      <c r="J352" s="57">
        <v>0.81</v>
      </c>
      <c r="K352" s="57" t="s">
        <v>60</v>
      </c>
      <c r="L352" s="70">
        <v>44655.0</v>
      </c>
    </row>
    <row r="353">
      <c r="A353" s="57" t="s">
        <v>163</v>
      </c>
      <c r="B353" s="57">
        <v>2005.0</v>
      </c>
      <c r="C353" s="57">
        <v>2.0</v>
      </c>
      <c r="D353" s="57">
        <v>0.0</v>
      </c>
      <c r="F353" s="57">
        <v>1.284</v>
      </c>
      <c r="G353" s="57">
        <v>0.617</v>
      </c>
      <c r="H353" s="57">
        <v>0.108</v>
      </c>
      <c r="I353" s="57">
        <v>0.049</v>
      </c>
      <c r="J353" s="57">
        <v>1.72</v>
      </c>
      <c r="K353" s="33">
        <f>AVERAGE(1.35,1.32,1.27,1.39)</f>
        <v>1.3325</v>
      </c>
      <c r="L353" s="70">
        <v>44655.0</v>
      </c>
    </row>
    <row r="354">
      <c r="A354" s="57" t="s">
        <v>163</v>
      </c>
      <c r="B354" s="57">
        <v>2031.0</v>
      </c>
      <c r="C354" s="57">
        <v>2.0</v>
      </c>
      <c r="D354" s="57">
        <v>0.0</v>
      </c>
      <c r="F354" s="57">
        <v>0.266</v>
      </c>
      <c r="G354" s="57">
        <v>0.144</v>
      </c>
      <c r="H354" s="57">
        <v>0.012</v>
      </c>
      <c r="I354" s="57">
        <v>0.006</v>
      </c>
      <c r="J354" s="57">
        <v>0.43</v>
      </c>
      <c r="K354" s="57" t="s">
        <v>60</v>
      </c>
      <c r="L354" s="70">
        <v>44655.0</v>
      </c>
    </row>
    <row r="355">
      <c r="A355" s="57" t="s">
        <v>59</v>
      </c>
      <c r="B355" s="57">
        <v>2091.0</v>
      </c>
      <c r="C355" s="57">
        <v>2.0</v>
      </c>
      <c r="D355" s="57">
        <v>1.0</v>
      </c>
      <c r="F355" s="57">
        <v>1.045</v>
      </c>
      <c r="G355" s="57">
        <v>0.62</v>
      </c>
      <c r="H355" s="57">
        <v>0.141</v>
      </c>
      <c r="I355" s="57">
        <v>0.079</v>
      </c>
      <c r="J355" s="57">
        <v>3.41</v>
      </c>
      <c r="K355" s="33">
        <f>AVERAGE(1.35,1.45,1.61,1.43)</f>
        <v>1.46</v>
      </c>
      <c r="L355" s="70">
        <v>44655.0</v>
      </c>
    </row>
    <row r="356">
      <c r="A356" s="57" t="s">
        <v>59</v>
      </c>
      <c r="B356" s="57">
        <v>2092.0</v>
      </c>
      <c r="C356" s="57">
        <v>2.0</v>
      </c>
      <c r="D356" s="57">
        <v>0.0</v>
      </c>
      <c r="F356" s="57">
        <v>0.141</v>
      </c>
      <c r="G356" s="57">
        <v>0.047</v>
      </c>
      <c r="H356" s="57">
        <v>0.066</v>
      </c>
      <c r="I356" s="57">
        <v>0.019</v>
      </c>
      <c r="J356" s="57">
        <v>1.54</v>
      </c>
      <c r="K356" s="57" t="s">
        <v>60</v>
      </c>
      <c r="L356" s="70">
        <v>44655.0</v>
      </c>
    </row>
    <row r="357">
      <c r="A357" s="57" t="s">
        <v>163</v>
      </c>
      <c r="B357" s="57">
        <v>2014.0</v>
      </c>
      <c r="C357" s="57">
        <v>3.0</v>
      </c>
      <c r="D357" s="57">
        <v>0.0</v>
      </c>
      <c r="F357" s="57">
        <v>0.734</v>
      </c>
      <c r="G357" s="57">
        <v>0.304</v>
      </c>
      <c r="H357" s="57">
        <v>0.106</v>
      </c>
      <c r="I357" s="57">
        <v>0.036</v>
      </c>
      <c r="J357" s="57">
        <v>2.58</v>
      </c>
      <c r="K357" s="33">
        <f>AVERAGE(1.07,1.18,0.97,0.94)</f>
        <v>1.04</v>
      </c>
      <c r="L357" s="70">
        <v>44655.0</v>
      </c>
    </row>
    <row r="358">
      <c r="A358" s="57" t="s">
        <v>59</v>
      </c>
      <c r="B358" s="57">
        <v>2093.0</v>
      </c>
      <c r="C358" s="57">
        <v>2.0</v>
      </c>
      <c r="D358" s="57">
        <v>1.0</v>
      </c>
      <c r="F358" s="57">
        <v>1.265</v>
      </c>
      <c r="G358" s="57">
        <v>0.819</v>
      </c>
      <c r="H358" s="57">
        <v>0.319</v>
      </c>
      <c r="I358" s="57">
        <v>0.184</v>
      </c>
      <c r="J358" s="57">
        <v>6.25</v>
      </c>
      <c r="K358" s="33">
        <f>AVERAGE(1.77,1.65,1.51,1.76)</f>
        <v>1.6725</v>
      </c>
      <c r="L358" s="70">
        <v>44655.0</v>
      </c>
    </row>
    <row r="359">
      <c r="A359" s="57" t="s">
        <v>59</v>
      </c>
      <c r="B359" s="57">
        <v>2028.0</v>
      </c>
      <c r="C359" s="57">
        <v>2.0</v>
      </c>
      <c r="D359" s="57">
        <v>1.0</v>
      </c>
      <c r="F359" s="57">
        <v>3.176</v>
      </c>
      <c r="G359" s="57">
        <v>1.631</v>
      </c>
      <c r="H359" s="57">
        <v>0.187</v>
      </c>
      <c r="I359" s="57">
        <v>0.079</v>
      </c>
      <c r="J359" s="57">
        <v>3.96</v>
      </c>
      <c r="K359" s="33">
        <f>AVERAGE(1.24,1.23,1.22,1.23)</f>
        <v>1.23</v>
      </c>
      <c r="L359" s="70">
        <v>44655.0</v>
      </c>
    </row>
    <row r="360">
      <c r="A360" s="57" t="s">
        <v>163</v>
      </c>
      <c r="B360" s="57">
        <v>2086.0</v>
      </c>
      <c r="C360" s="57">
        <v>2.0</v>
      </c>
      <c r="D360" s="57">
        <v>0.0</v>
      </c>
      <c r="F360" s="57">
        <v>0.963</v>
      </c>
      <c r="G360" s="57">
        <v>0.357</v>
      </c>
      <c r="H360" s="57">
        <v>0.192</v>
      </c>
      <c r="I360" s="57">
        <v>0.07</v>
      </c>
      <c r="J360" s="57">
        <v>3.07</v>
      </c>
      <c r="K360" s="33">
        <f>AVERAGE(1.16,1.44,1.33,1.21)</f>
        <v>1.285</v>
      </c>
      <c r="L360" s="70">
        <v>44655.0</v>
      </c>
    </row>
    <row r="361">
      <c r="A361" s="57" t="s">
        <v>59</v>
      </c>
      <c r="B361" s="57">
        <v>2092.0</v>
      </c>
      <c r="C361" s="57">
        <v>1.0</v>
      </c>
      <c r="D361" s="57">
        <v>1.0</v>
      </c>
      <c r="F361" s="57">
        <v>0.385</v>
      </c>
      <c r="G361" s="57">
        <v>0.237</v>
      </c>
      <c r="H361" s="57">
        <v>0.112</v>
      </c>
      <c r="I361" s="57">
        <v>0.06</v>
      </c>
      <c r="J361" s="57">
        <v>3.17</v>
      </c>
      <c r="K361" s="33">
        <f>AVERAGE(1.03,1.3,1.25,1.37)</f>
        <v>1.2375</v>
      </c>
      <c r="L361" s="70">
        <v>44655.0</v>
      </c>
    </row>
    <row r="362">
      <c r="A362" s="57" t="s">
        <v>163</v>
      </c>
      <c r="B362" s="57">
        <v>2013.0</v>
      </c>
      <c r="C362" s="57">
        <v>2.0</v>
      </c>
      <c r="D362" s="57">
        <v>0.0</v>
      </c>
      <c r="F362" s="57">
        <v>0.34</v>
      </c>
      <c r="G362" s="57">
        <v>0.126</v>
      </c>
      <c r="H362" s="57">
        <v>0.018</v>
      </c>
      <c r="I362" s="57">
        <v>0.006</v>
      </c>
      <c r="J362" s="57">
        <v>0.58</v>
      </c>
      <c r="K362" s="57" t="s">
        <v>60</v>
      </c>
      <c r="L362" s="70">
        <v>44655.0</v>
      </c>
    </row>
    <row r="363">
      <c r="A363" s="57" t="s">
        <v>163</v>
      </c>
      <c r="B363" s="57">
        <v>2088.0</v>
      </c>
      <c r="C363" s="57">
        <v>1.0</v>
      </c>
      <c r="D363" s="57">
        <v>0.0</v>
      </c>
      <c r="F363" s="57">
        <v>0.264</v>
      </c>
      <c r="G363" s="57">
        <v>0.117</v>
      </c>
      <c r="H363" s="57">
        <v>0.033</v>
      </c>
      <c r="I363" s="57">
        <v>0.013</v>
      </c>
      <c r="J363" s="57">
        <v>1.08</v>
      </c>
      <c r="K363" s="33">
        <f>AVERAGE(0.72,0.73,0.82,0.88)</f>
        <v>0.7875</v>
      </c>
      <c r="L363" s="70">
        <v>44655.0</v>
      </c>
    </row>
    <row r="364">
      <c r="A364" s="57" t="s">
        <v>59</v>
      </c>
      <c r="B364" s="57">
        <v>2023.0</v>
      </c>
      <c r="C364" s="57">
        <v>3.0</v>
      </c>
      <c r="D364" s="57">
        <v>1.0</v>
      </c>
      <c r="F364" s="57">
        <v>0.984</v>
      </c>
      <c r="G364" s="57">
        <v>0.601</v>
      </c>
      <c r="H364" s="57">
        <v>0.329</v>
      </c>
      <c r="I364" s="57">
        <v>0.182</v>
      </c>
      <c r="J364" s="57">
        <v>6.8</v>
      </c>
      <c r="K364" s="33">
        <f>AVERAGE(1.61,1.61,1.61,1.54)</f>
        <v>1.5925</v>
      </c>
      <c r="L364" s="70">
        <v>44655.0</v>
      </c>
    </row>
    <row r="365">
      <c r="A365" s="57" t="s">
        <v>163</v>
      </c>
      <c r="B365" s="57">
        <v>2004.0</v>
      </c>
      <c r="C365" s="57">
        <v>2.0</v>
      </c>
      <c r="D365" s="57">
        <v>0.0</v>
      </c>
      <c r="F365" s="57">
        <v>0.958</v>
      </c>
      <c r="G365" s="57">
        <v>0.502</v>
      </c>
      <c r="H365" s="57">
        <v>0.184</v>
      </c>
      <c r="I365" s="57">
        <v>0.082</v>
      </c>
      <c r="J365" s="57">
        <v>3.34</v>
      </c>
      <c r="K365" s="33">
        <f>AVERAGE(1.27,1.19,1.22,1.19)</f>
        <v>1.2175</v>
      </c>
      <c r="L365" s="70">
        <v>44655.0</v>
      </c>
    </row>
    <row r="366">
      <c r="A366" s="57" t="s">
        <v>163</v>
      </c>
      <c r="B366" s="57">
        <v>2090.0</v>
      </c>
      <c r="C366" s="57">
        <v>2.0</v>
      </c>
      <c r="D366" s="57">
        <v>0.0</v>
      </c>
      <c r="F366" s="57">
        <v>0.892</v>
      </c>
      <c r="G366" s="57">
        <v>0.369</v>
      </c>
      <c r="H366" s="57">
        <v>0.114</v>
      </c>
      <c r="I366" s="57">
        <v>0.042</v>
      </c>
      <c r="J366" s="57">
        <v>2.64</v>
      </c>
      <c r="K366" s="33">
        <f>AVERAGE(0.88,1.03,1.01,0.88)</f>
        <v>0.95</v>
      </c>
      <c r="L366" s="70">
        <v>44655.0</v>
      </c>
    </row>
    <row r="367">
      <c r="A367" s="57" t="s">
        <v>163</v>
      </c>
      <c r="B367" s="57">
        <v>2085.0</v>
      </c>
      <c r="C367" s="57">
        <v>3.0</v>
      </c>
      <c r="D367" s="57">
        <v>0.0</v>
      </c>
      <c r="F367" s="57">
        <v>0.637</v>
      </c>
      <c r="G367" s="57">
        <v>0.253</v>
      </c>
      <c r="H367" s="57">
        <v>0.068</v>
      </c>
      <c r="I367" s="57">
        <v>0.024</v>
      </c>
      <c r="J367" s="57">
        <v>1.8</v>
      </c>
      <c r="K367" s="33">
        <f>AVERAGE(1.04,1.07,0.98,1.1)</f>
        <v>1.0475</v>
      </c>
      <c r="L367" s="70">
        <v>44655.0</v>
      </c>
    </row>
    <row r="368">
      <c r="A368" s="57" t="s">
        <v>163</v>
      </c>
      <c r="B368" s="57">
        <v>2090.0</v>
      </c>
      <c r="C368" s="57">
        <v>3.0</v>
      </c>
      <c r="D368" s="57">
        <v>0.0</v>
      </c>
      <c r="F368" s="57">
        <v>0.515</v>
      </c>
      <c r="G368" s="57">
        <v>0.233</v>
      </c>
      <c r="H368" s="57">
        <v>0.062</v>
      </c>
      <c r="I368" s="57">
        <v>0.024</v>
      </c>
      <c r="J368" s="57">
        <v>1.6</v>
      </c>
      <c r="K368" s="33">
        <f>AVERAGE(0.83,0.65,0.79,0.64)</f>
        <v>0.7275</v>
      </c>
      <c r="L368" s="70">
        <v>44655.0</v>
      </c>
    </row>
    <row r="369">
      <c r="A369" s="57" t="s">
        <v>163</v>
      </c>
      <c r="B369" s="57">
        <v>2015.0</v>
      </c>
      <c r="C369" s="57">
        <v>2.0</v>
      </c>
      <c r="D369" s="57">
        <v>0.0</v>
      </c>
      <c r="F369" s="57">
        <v>0.619</v>
      </c>
      <c r="G369" s="57">
        <v>0.298</v>
      </c>
      <c r="H369" s="57">
        <v>0.095</v>
      </c>
      <c r="I369" s="57">
        <v>0.039</v>
      </c>
      <c r="J369" s="57">
        <v>2.26</v>
      </c>
      <c r="K369" s="33">
        <f>AVERAGE(1.01,0.94,0.91,0.89)</f>
        <v>0.9375</v>
      </c>
      <c r="L369" s="70">
        <v>44655.0</v>
      </c>
    </row>
    <row r="370">
      <c r="A370" s="57" t="s">
        <v>59</v>
      </c>
      <c r="B370" s="57">
        <v>2030.0</v>
      </c>
      <c r="C370" s="57">
        <v>1.0</v>
      </c>
      <c r="D370" s="57">
        <v>1.0</v>
      </c>
      <c r="F370" s="57">
        <v>0.351</v>
      </c>
      <c r="G370" s="57">
        <v>0.192</v>
      </c>
      <c r="H370" s="57">
        <v>0.024</v>
      </c>
      <c r="I370" s="57">
        <v>0.01</v>
      </c>
      <c r="J370" s="57">
        <v>1.07</v>
      </c>
      <c r="K370" s="33">
        <f>AVERAGE(0.67,0.66,0.61,0.58)</f>
        <v>0.63</v>
      </c>
      <c r="L370" s="70">
        <v>44655.0</v>
      </c>
    </row>
    <row r="371">
      <c r="A371" s="57" t="s">
        <v>163</v>
      </c>
      <c r="B371" s="57">
        <v>1478.0</v>
      </c>
      <c r="C371" s="57">
        <v>1.0</v>
      </c>
      <c r="D371" s="57">
        <v>0.0</v>
      </c>
      <c r="F371" s="57">
        <v>0.817</v>
      </c>
      <c r="G371" s="57">
        <v>0.275</v>
      </c>
      <c r="H371" s="57">
        <v>0.245</v>
      </c>
      <c r="I371" s="57">
        <v>0.07</v>
      </c>
      <c r="J371" s="57">
        <v>6.03</v>
      </c>
      <c r="K371" s="33">
        <f>AVERAGE(1.05,0.99,1.07,1.1)</f>
        <v>1.0525</v>
      </c>
      <c r="L371" s="70">
        <v>44655.0</v>
      </c>
    </row>
    <row r="372">
      <c r="A372" s="57" t="s">
        <v>163</v>
      </c>
      <c r="B372" s="57">
        <v>2005.0</v>
      </c>
      <c r="C372" s="57">
        <v>1.0</v>
      </c>
      <c r="D372" s="57">
        <v>0.0</v>
      </c>
      <c r="F372" s="57">
        <v>0.971</v>
      </c>
      <c r="G372" s="57">
        <v>0.463</v>
      </c>
      <c r="H372" s="57">
        <v>0.109</v>
      </c>
      <c r="I372" s="57">
        <v>0.048</v>
      </c>
      <c r="J372" s="57">
        <v>2.29</v>
      </c>
      <c r="K372" s="33">
        <f>AVERAGE(0.94,1.01,1.09,1.07)</f>
        <v>1.0275</v>
      </c>
      <c r="L372" s="70">
        <v>44655.0</v>
      </c>
    </row>
    <row r="373">
      <c r="A373" s="57" t="s">
        <v>163</v>
      </c>
      <c r="B373" s="57">
        <v>2026.0</v>
      </c>
      <c r="C373" s="57">
        <v>2.0</v>
      </c>
      <c r="D373" s="57">
        <v>0.0</v>
      </c>
      <c r="F373" s="57">
        <v>0.557</v>
      </c>
      <c r="G373" s="57">
        <v>0.296</v>
      </c>
      <c r="H373" s="57">
        <v>0.107</v>
      </c>
      <c r="I373" s="57">
        <v>0.051</v>
      </c>
      <c r="J373" s="57">
        <v>1.9</v>
      </c>
      <c r="K373" s="33">
        <f>AVERAGE(0.88,1.07,0.88,0.96)</f>
        <v>0.9475</v>
      </c>
      <c r="L373" s="70">
        <v>44655.0</v>
      </c>
    </row>
    <row r="374">
      <c r="A374" s="57" t="s">
        <v>163</v>
      </c>
      <c r="B374" s="57">
        <v>2006.0</v>
      </c>
      <c r="C374" s="57">
        <v>2.0</v>
      </c>
      <c r="D374" s="57">
        <v>0.0</v>
      </c>
      <c r="F374" s="57">
        <v>0.553</v>
      </c>
      <c r="G374" s="57">
        <v>0.274</v>
      </c>
      <c r="H374" s="57">
        <v>0.032</v>
      </c>
      <c r="I374" s="57">
        <v>0.013</v>
      </c>
      <c r="J374" s="57">
        <v>0.84</v>
      </c>
      <c r="K374" s="57" t="s">
        <v>60</v>
      </c>
      <c r="L374" s="70">
        <v>44655.0</v>
      </c>
    </row>
    <row r="375">
      <c r="A375" s="57" t="s">
        <v>59</v>
      </c>
      <c r="B375" s="57">
        <v>2093.0</v>
      </c>
      <c r="C375" s="57">
        <v>3.0</v>
      </c>
      <c r="D375" s="57">
        <v>0.0</v>
      </c>
      <c r="F375" s="57">
        <v>0.193</v>
      </c>
      <c r="G375" s="57">
        <v>0.121</v>
      </c>
      <c r="H375" s="57">
        <v>0.04</v>
      </c>
      <c r="I375" s="57">
        <v>0.017</v>
      </c>
      <c r="J375" s="57">
        <v>0.67</v>
      </c>
      <c r="K375" s="57" t="s">
        <v>60</v>
      </c>
      <c r="L375" s="70">
        <v>44655.0</v>
      </c>
    </row>
    <row r="376">
      <c r="A376" s="57" t="s">
        <v>163</v>
      </c>
      <c r="B376" s="57">
        <v>2086.0</v>
      </c>
      <c r="C376" s="57">
        <v>3.0</v>
      </c>
      <c r="D376" s="57">
        <v>0.0</v>
      </c>
      <c r="F376" s="57">
        <v>1.11</v>
      </c>
      <c r="G376" s="57">
        <v>0.456</v>
      </c>
      <c r="H376" s="57">
        <v>0.096</v>
      </c>
      <c r="I376" s="57">
        <v>0.037</v>
      </c>
      <c r="J376" s="57">
        <v>1.45</v>
      </c>
      <c r="K376" s="57" t="s">
        <v>60</v>
      </c>
      <c r="L376" s="70">
        <v>44655.0</v>
      </c>
    </row>
    <row r="377">
      <c r="A377" s="57" t="s">
        <v>163</v>
      </c>
      <c r="B377" s="57">
        <v>2015.0</v>
      </c>
      <c r="C377" s="57">
        <v>1.0</v>
      </c>
      <c r="D377" s="57">
        <v>0.0</v>
      </c>
      <c r="F377" s="57">
        <v>0.867</v>
      </c>
      <c r="G377" s="57">
        <v>0.417</v>
      </c>
      <c r="H377" s="57">
        <v>0.298</v>
      </c>
      <c r="I377" s="57">
        <v>0.116</v>
      </c>
      <c r="J377" s="57">
        <v>5.98</v>
      </c>
      <c r="K377" s="33">
        <f>AVERAGE(1.33,1.15,1.07,1.3)</f>
        <v>1.2125</v>
      </c>
      <c r="L377" s="70">
        <v>44655.0</v>
      </c>
    </row>
    <row r="378">
      <c r="A378" s="57" t="s">
        <v>163</v>
      </c>
      <c r="B378" s="57">
        <v>2024.0</v>
      </c>
      <c r="C378" s="57">
        <v>3.0</v>
      </c>
      <c r="D378" s="57">
        <v>0.0</v>
      </c>
      <c r="F378" s="57">
        <v>0.898</v>
      </c>
      <c r="G378" s="57">
        <v>0.485</v>
      </c>
      <c r="H378" s="57">
        <v>0.088</v>
      </c>
      <c r="I378" s="57">
        <v>0.04</v>
      </c>
      <c r="J378" s="57">
        <v>1.35</v>
      </c>
      <c r="K378" s="33">
        <f>AVERAGE(1.24,1.09,1.05,1.11)</f>
        <v>1.1225</v>
      </c>
      <c r="L378" s="70">
        <v>44655.0</v>
      </c>
    </row>
    <row r="379">
      <c r="A379" s="57" t="s">
        <v>59</v>
      </c>
      <c r="B379" s="57">
        <v>2028.0</v>
      </c>
      <c r="C379" s="57">
        <v>3.0</v>
      </c>
      <c r="D379" s="57">
        <v>1.0</v>
      </c>
      <c r="F379" s="57">
        <v>0.862</v>
      </c>
      <c r="G379" s="57">
        <v>0.454</v>
      </c>
      <c r="H379" s="57">
        <v>0.055</v>
      </c>
      <c r="I379" s="57">
        <v>0.024</v>
      </c>
      <c r="J379" s="57">
        <v>2.55</v>
      </c>
      <c r="K379" s="33">
        <f>average(0.84,0.89,0.76,0.81)</f>
        <v>0.825</v>
      </c>
      <c r="L379" s="70">
        <v>44655.0</v>
      </c>
    </row>
    <row r="380">
      <c r="A380" s="57" t="s">
        <v>59</v>
      </c>
      <c r="B380" s="57">
        <v>2345.0</v>
      </c>
      <c r="C380" s="57">
        <v>3.0</v>
      </c>
      <c r="D380" s="57">
        <v>0.0</v>
      </c>
      <c r="F380" s="57">
        <v>1.036</v>
      </c>
      <c r="G380" s="57">
        <v>0.624</v>
      </c>
      <c r="H380" s="57">
        <v>0.296</v>
      </c>
      <c r="I380" s="57">
        <v>0.186</v>
      </c>
      <c r="J380" s="57">
        <v>6.45</v>
      </c>
      <c r="K380" s="57">
        <v>1.4025</v>
      </c>
      <c r="L380" s="70">
        <v>44676.0</v>
      </c>
    </row>
    <row r="381">
      <c r="A381" s="57" t="s">
        <v>163</v>
      </c>
      <c r="B381" s="57">
        <v>2381.0</v>
      </c>
      <c r="C381" s="57">
        <v>2.0</v>
      </c>
      <c r="D381" s="57">
        <v>0.0</v>
      </c>
      <c r="F381" s="57">
        <v>0.673</v>
      </c>
      <c r="G381" s="57">
        <v>0.372</v>
      </c>
      <c r="H381" s="57">
        <v>0.049</v>
      </c>
      <c r="I381" s="57">
        <v>0.027</v>
      </c>
      <c r="J381" s="57">
        <v>0.91</v>
      </c>
      <c r="K381" s="57">
        <v>1.165</v>
      </c>
      <c r="L381" s="70">
        <v>44676.0</v>
      </c>
    </row>
    <row r="382">
      <c r="A382" s="57" t="s">
        <v>163</v>
      </c>
      <c r="B382" s="57">
        <v>2384.0</v>
      </c>
      <c r="C382" s="57">
        <v>3.0</v>
      </c>
      <c r="D382" s="57">
        <v>0.0</v>
      </c>
      <c r="F382" s="57">
        <v>0.367</v>
      </c>
      <c r="G382" s="57">
        <v>0.21</v>
      </c>
      <c r="H382" s="57">
        <v>0.033</v>
      </c>
      <c r="I382" s="57">
        <v>0.018</v>
      </c>
      <c r="J382" s="57">
        <v>1.01</v>
      </c>
      <c r="K382" s="57">
        <v>0.92</v>
      </c>
      <c r="L382" s="70">
        <v>44676.0</v>
      </c>
    </row>
    <row r="383">
      <c r="A383" s="57" t="s">
        <v>163</v>
      </c>
      <c r="B383" s="57">
        <v>2346.0</v>
      </c>
      <c r="C383" s="57">
        <v>1.0</v>
      </c>
      <c r="D383" s="57">
        <v>0.0</v>
      </c>
      <c r="F383" s="57">
        <v>0.381</v>
      </c>
      <c r="G383" s="57">
        <v>0.212</v>
      </c>
      <c r="H383" s="57">
        <v>0.026</v>
      </c>
      <c r="I383" s="57">
        <v>0.014</v>
      </c>
      <c r="J383" s="57">
        <v>0.81</v>
      </c>
      <c r="K383" s="57">
        <v>0.8175</v>
      </c>
      <c r="L383" s="70">
        <v>44676.0</v>
      </c>
    </row>
    <row r="384">
      <c r="A384" s="57" t="s">
        <v>163</v>
      </c>
      <c r="B384" s="57">
        <v>2011.0</v>
      </c>
      <c r="C384" s="57">
        <v>3.0</v>
      </c>
      <c r="D384" s="57">
        <v>0.0</v>
      </c>
      <c r="F384" s="57">
        <v>0.776</v>
      </c>
      <c r="G384" s="57">
        <v>0.428</v>
      </c>
      <c r="H384" s="57">
        <v>0.057</v>
      </c>
      <c r="I384" s="57">
        <v>0.028</v>
      </c>
      <c r="J384" s="57">
        <v>0.93</v>
      </c>
      <c r="K384" s="57">
        <v>1.3075</v>
      </c>
      <c r="L384" s="70">
        <v>44676.0</v>
      </c>
    </row>
    <row r="385">
      <c r="A385" s="57" t="s">
        <v>163</v>
      </c>
      <c r="B385" s="57">
        <v>2378.0</v>
      </c>
      <c r="C385" s="57">
        <v>1.0</v>
      </c>
      <c r="D385" s="57">
        <v>0.0</v>
      </c>
      <c r="F385" s="57">
        <v>1.337</v>
      </c>
      <c r="G385" s="57">
        <v>0.725</v>
      </c>
      <c r="H385" s="57">
        <v>0.232</v>
      </c>
      <c r="I385" s="57">
        <v>0.129</v>
      </c>
      <c r="J385" s="57">
        <v>2.39</v>
      </c>
      <c r="K385" s="57">
        <v>1.5025</v>
      </c>
      <c r="L385" s="70">
        <v>44676.0</v>
      </c>
    </row>
    <row r="386">
      <c r="A386" s="57" t="s">
        <v>59</v>
      </c>
      <c r="B386" s="57">
        <v>2377.0</v>
      </c>
      <c r="C386" s="57">
        <v>3.0</v>
      </c>
      <c r="D386" s="57">
        <v>0.0</v>
      </c>
      <c r="F386" s="57">
        <v>1.356</v>
      </c>
      <c r="G386" s="57">
        <v>0.751</v>
      </c>
      <c r="H386" s="57">
        <v>0.254</v>
      </c>
      <c r="I386" s="57">
        <v>0.131</v>
      </c>
      <c r="J386" s="57">
        <v>6.66</v>
      </c>
      <c r="K386" s="57">
        <v>1.4625</v>
      </c>
      <c r="L386" s="70">
        <v>44676.0</v>
      </c>
    </row>
    <row r="387">
      <c r="A387" s="57" t="s">
        <v>59</v>
      </c>
      <c r="B387" s="57">
        <v>2345.0</v>
      </c>
      <c r="C387" s="57">
        <v>1.0</v>
      </c>
      <c r="D387" s="57">
        <v>1.0</v>
      </c>
      <c r="F387" s="57">
        <v>1.876</v>
      </c>
      <c r="G387" s="57">
        <v>1.12</v>
      </c>
      <c r="H387" s="57">
        <v>0.332</v>
      </c>
      <c r="I387" s="57">
        <v>0.212</v>
      </c>
      <c r="J387" s="57">
        <v>7.27</v>
      </c>
      <c r="K387" s="57">
        <v>1.5875</v>
      </c>
      <c r="L387" s="70">
        <v>44676.0</v>
      </c>
    </row>
    <row r="388">
      <c r="A388" s="57" t="s">
        <v>163</v>
      </c>
      <c r="B388" s="57">
        <v>2381.0</v>
      </c>
      <c r="C388" s="57">
        <v>1.0</v>
      </c>
      <c r="D388" s="57">
        <v>0.0</v>
      </c>
      <c r="F388" s="57">
        <v>0.974</v>
      </c>
      <c r="G388" s="57">
        <v>0.532</v>
      </c>
      <c r="H388" s="57">
        <v>0.079</v>
      </c>
      <c r="I388" s="57">
        <v>0.043</v>
      </c>
      <c r="J388" s="57">
        <v>1.35</v>
      </c>
      <c r="K388" s="57">
        <v>1.3125</v>
      </c>
      <c r="L388" s="70">
        <v>44676.0</v>
      </c>
    </row>
    <row r="389">
      <c r="A389" s="57" t="s">
        <v>59</v>
      </c>
      <c r="B389" s="57">
        <v>2352.0</v>
      </c>
      <c r="C389" s="57">
        <v>3.0</v>
      </c>
      <c r="D389" s="57">
        <v>1.0</v>
      </c>
      <c r="F389" s="57">
        <v>0.465</v>
      </c>
      <c r="G389" s="57">
        <v>0.314</v>
      </c>
      <c r="H389" s="57">
        <v>0.059</v>
      </c>
      <c r="I389" s="57">
        <v>0.038</v>
      </c>
      <c r="J389" s="57">
        <v>2.23</v>
      </c>
      <c r="K389" s="57">
        <v>1.18</v>
      </c>
      <c r="L389" s="70">
        <v>44676.0</v>
      </c>
    </row>
    <row r="390">
      <c r="A390" s="57" t="s">
        <v>59</v>
      </c>
      <c r="B390" s="57">
        <v>2380.0</v>
      </c>
      <c r="C390" s="57">
        <v>1.0</v>
      </c>
      <c r="D390" s="57">
        <v>0.0</v>
      </c>
      <c r="F390" s="57">
        <v>0.422</v>
      </c>
      <c r="G390" s="57">
        <v>0.269</v>
      </c>
      <c r="H390" s="57">
        <v>0.082</v>
      </c>
      <c r="I390" s="57">
        <v>0.054</v>
      </c>
      <c r="J390" s="57">
        <v>2.07</v>
      </c>
      <c r="K390" s="57">
        <v>1.3225</v>
      </c>
      <c r="L390" s="70">
        <v>44676.0</v>
      </c>
    </row>
    <row r="391">
      <c r="A391" s="57" t="s">
        <v>59</v>
      </c>
      <c r="B391" s="57">
        <v>2331.0</v>
      </c>
      <c r="C391" s="57">
        <v>1.0</v>
      </c>
      <c r="D391" s="57">
        <v>1.0</v>
      </c>
      <c r="F391" s="57">
        <v>1.776</v>
      </c>
      <c r="G391" s="57">
        <v>1.144</v>
      </c>
      <c r="H391" s="57">
        <v>0.327</v>
      </c>
      <c r="I391" s="57">
        <v>0.217</v>
      </c>
      <c r="J391" s="57">
        <v>7.35</v>
      </c>
      <c r="K391" s="57">
        <v>1.865</v>
      </c>
      <c r="L391" s="70">
        <v>44676.0</v>
      </c>
    </row>
    <row r="392">
      <c r="A392" s="57" t="s">
        <v>59</v>
      </c>
      <c r="B392" s="57">
        <v>2301.0</v>
      </c>
      <c r="C392" s="57">
        <v>3.0</v>
      </c>
      <c r="D392" s="57">
        <v>1.0</v>
      </c>
      <c r="F392" s="57">
        <v>2.043</v>
      </c>
      <c r="G392" s="57">
        <v>1.277</v>
      </c>
      <c r="H392" s="57">
        <v>0.229</v>
      </c>
      <c r="I392" s="57">
        <v>0.145</v>
      </c>
      <c r="J392" s="57">
        <v>5.72</v>
      </c>
      <c r="K392" s="57">
        <v>1.435</v>
      </c>
      <c r="L392" s="70">
        <v>44676.0</v>
      </c>
    </row>
    <row r="393">
      <c r="A393" s="57" t="s">
        <v>59</v>
      </c>
      <c r="B393" s="57">
        <v>2354.0</v>
      </c>
      <c r="C393" s="57">
        <v>3.0</v>
      </c>
      <c r="D393" s="57">
        <v>1.0</v>
      </c>
      <c r="F393" s="57">
        <v>0.235</v>
      </c>
      <c r="G393" s="57">
        <v>0.147</v>
      </c>
      <c r="H393" s="57">
        <v>0.15</v>
      </c>
      <c r="I393" s="57">
        <v>0.087</v>
      </c>
      <c r="J393" s="57">
        <v>4.66</v>
      </c>
      <c r="K393" s="57">
        <v>1.2475</v>
      </c>
      <c r="L393" s="70">
        <v>44676.0</v>
      </c>
    </row>
    <row r="394">
      <c r="A394" s="57" t="s">
        <v>163</v>
      </c>
      <c r="B394" s="57">
        <v>2365.0</v>
      </c>
      <c r="C394" s="57">
        <v>3.0</v>
      </c>
      <c r="D394" s="57">
        <v>0.0</v>
      </c>
      <c r="F394" s="57">
        <v>0.509</v>
      </c>
      <c r="G394" s="57">
        <v>0.275</v>
      </c>
      <c r="H394" s="57">
        <v>0.032</v>
      </c>
      <c r="I394" s="57">
        <v>0.018</v>
      </c>
      <c r="J394" s="57">
        <v>0.89</v>
      </c>
      <c r="K394" s="57">
        <v>3.74</v>
      </c>
      <c r="L394" s="70">
        <v>44676.0</v>
      </c>
    </row>
    <row r="395">
      <c r="A395" s="57" t="s">
        <v>163</v>
      </c>
      <c r="B395" s="57">
        <v>2367.0</v>
      </c>
      <c r="C395" s="57">
        <v>2.0</v>
      </c>
      <c r="D395" s="57">
        <v>0.0</v>
      </c>
      <c r="F395" s="57">
        <v>0.351</v>
      </c>
      <c r="G395" s="57">
        <v>0.191</v>
      </c>
      <c r="H395" s="57">
        <v>0.022</v>
      </c>
      <c r="I395" s="57">
        <v>0.012</v>
      </c>
      <c r="J395" s="57">
        <v>1.0</v>
      </c>
      <c r="K395" s="57">
        <v>0.75</v>
      </c>
      <c r="L395" s="70">
        <v>44676.0</v>
      </c>
    </row>
    <row r="396">
      <c r="A396" s="57" t="s">
        <v>163</v>
      </c>
      <c r="B396" s="57">
        <v>2343.0</v>
      </c>
      <c r="C396" s="57">
        <v>3.0</v>
      </c>
      <c r="D396" s="57">
        <v>0.0</v>
      </c>
      <c r="F396" s="57">
        <v>0.954</v>
      </c>
      <c r="G396" s="57">
        <v>0.527</v>
      </c>
      <c r="H396" s="57">
        <v>0.116</v>
      </c>
      <c r="I396" s="57">
        <v>0.062</v>
      </c>
      <c r="J396" s="57">
        <v>1.98</v>
      </c>
      <c r="K396" s="57">
        <v>1.275</v>
      </c>
      <c r="L396" s="70">
        <v>44676.0</v>
      </c>
    </row>
    <row r="397">
      <c r="A397" s="57" t="s">
        <v>59</v>
      </c>
      <c r="B397" s="57">
        <v>2352.0</v>
      </c>
      <c r="C397" s="57">
        <v>1.0</v>
      </c>
      <c r="D397" s="57">
        <v>1.0</v>
      </c>
      <c r="F397" s="57">
        <v>0.834</v>
      </c>
      <c r="G397" s="57">
        <v>0.54</v>
      </c>
      <c r="H397" s="57">
        <v>0.152</v>
      </c>
      <c r="I397" s="57">
        <v>0.098</v>
      </c>
      <c r="J397" s="57">
        <v>5.18</v>
      </c>
      <c r="K397" s="57">
        <v>1.33</v>
      </c>
      <c r="L397" s="70">
        <v>44676.0</v>
      </c>
    </row>
    <row r="398">
      <c r="A398" s="57" t="s">
        <v>163</v>
      </c>
      <c r="B398" s="57">
        <v>2384.0</v>
      </c>
      <c r="C398" s="57">
        <v>1.0</v>
      </c>
      <c r="D398" s="57">
        <v>0.0</v>
      </c>
      <c r="F398" s="57">
        <v>0.605</v>
      </c>
      <c r="G398" s="57">
        <v>0.346</v>
      </c>
      <c r="H398" s="57">
        <v>0.064</v>
      </c>
      <c r="I398" s="57">
        <v>0.037</v>
      </c>
      <c r="J398" s="57">
        <v>1.37</v>
      </c>
      <c r="K398" s="57">
        <v>1.2925</v>
      </c>
      <c r="L398" s="70">
        <v>44676.0</v>
      </c>
    </row>
    <row r="399">
      <c r="A399" s="57" t="s">
        <v>59</v>
      </c>
      <c r="B399" s="57">
        <v>2377.0</v>
      </c>
      <c r="C399" s="57">
        <v>2.0</v>
      </c>
      <c r="D399" s="57">
        <v>0.0</v>
      </c>
      <c r="F399" s="57">
        <v>0.509</v>
      </c>
      <c r="G399" s="57">
        <v>0.29</v>
      </c>
      <c r="H399" s="57">
        <v>0.077</v>
      </c>
      <c r="I399" s="57">
        <v>0.04</v>
      </c>
      <c r="J399" s="57">
        <v>2.94</v>
      </c>
      <c r="K399" s="57">
        <v>1.0775</v>
      </c>
      <c r="L399" s="70">
        <v>44676.0</v>
      </c>
    </row>
    <row r="400">
      <c r="A400" s="57" t="s">
        <v>59</v>
      </c>
      <c r="B400" s="57">
        <v>2377.0</v>
      </c>
      <c r="C400" s="57">
        <v>1.0</v>
      </c>
      <c r="D400" s="57">
        <v>1.0</v>
      </c>
      <c r="F400" s="57">
        <v>0.079</v>
      </c>
      <c r="G400" s="57">
        <v>0.051</v>
      </c>
      <c r="H400" s="57">
        <v>0.05</v>
      </c>
      <c r="I400" s="57">
        <v>0.029</v>
      </c>
      <c r="J400" s="57">
        <v>1.11</v>
      </c>
      <c r="K400" s="57">
        <v>1.6</v>
      </c>
      <c r="L400" s="70">
        <v>44676.0</v>
      </c>
    </row>
    <row r="401">
      <c r="A401" s="57" t="s">
        <v>59</v>
      </c>
      <c r="B401" s="57">
        <v>2354.0</v>
      </c>
      <c r="C401" s="57">
        <v>2.0</v>
      </c>
      <c r="D401" s="57">
        <v>1.0</v>
      </c>
      <c r="F401" s="57">
        <v>0.252</v>
      </c>
      <c r="G401" s="57">
        <v>0.153</v>
      </c>
      <c r="H401" s="57">
        <v>0.054</v>
      </c>
      <c r="I401" s="57">
        <v>0.031</v>
      </c>
      <c r="J401" s="57">
        <v>2.06</v>
      </c>
      <c r="K401" s="57">
        <v>1.085</v>
      </c>
      <c r="L401" s="70">
        <v>44676.0</v>
      </c>
    </row>
    <row r="402">
      <c r="A402" s="57" t="s">
        <v>59</v>
      </c>
      <c r="B402" s="57">
        <v>2345.0</v>
      </c>
      <c r="C402" s="57">
        <v>2.0</v>
      </c>
      <c r="D402" s="57">
        <v>1.0</v>
      </c>
      <c r="F402" s="57">
        <v>1.067</v>
      </c>
      <c r="G402" s="57">
        <v>0.636</v>
      </c>
      <c r="H402" s="57">
        <v>0.249</v>
      </c>
      <c r="I402" s="57">
        <v>0.158</v>
      </c>
      <c r="J402" s="57">
        <v>5.89</v>
      </c>
      <c r="K402" s="57">
        <v>1.68</v>
      </c>
      <c r="L402" s="70">
        <v>44676.0</v>
      </c>
    </row>
    <row r="403">
      <c r="A403" s="57" t="s">
        <v>59</v>
      </c>
      <c r="B403" s="57">
        <v>2376.0</v>
      </c>
      <c r="C403" s="57">
        <v>2.0</v>
      </c>
      <c r="D403" s="57">
        <v>1.0</v>
      </c>
      <c r="F403" s="57">
        <v>1.964</v>
      </c>
      <c r="G403" s="57">
        <v>1.214</v>
      </c>
      <c r="H403" s="57">
        <v>0.298</v>
      </c>
      <c r="I403" s="57">
        <v>0.19</v>
      </c>
      <c r="J403" s="57">
        <v>6.4</v>
      </c>
      <c r="K403" s="57">
        <v>1.625</v>
      </c>
      <c r="L403" s="70">
        <v>44676.0</v>
      </c>
    </row>
    <row r="404">
      <c r="A404" s="57" t="s">
        <v>59</v>
      </c>
      <c r="B404" s="57">
        <v>2331.0</v>
      </c>
      <c r="C404" s="57">
        <v>1.0</v>
      </c>
      <c r="D404" s="57">
        <v>0.0</v>
      </c>
      <c r="F404" s="57">
        <v>0.344</v>
      </c>
      <c r="G404" s="57">
        <v>0.192</v>
      </c>
      <c r="H404" s="57">
        <v>0.058</v>
      </c>
      <c r="I404" s="57">
        <v>0.034</v>
      </c>
      <c r="J404" s="57">
        <v>2.2</v>
      </c>
      <c r="K404" s="57">
        <v>0.9875</v>
      </c>
      <c r="L404" s="70">
        <v>44676.0</v>
      </c>
    </row>
    <row r="405">
      <c r="A405" s="57" t="s">
        <v>163</v>
      </c>
      <c r="B405" s="57">
        <v>2009.0</v>
      </c>
      <c r="C405" s="57">
        <v>1.0</v>
      </c>
      <c r="D405" s="57">
        <v>0.0</v>
      </c>
      <c r="F405" s="57">
        <v>0.974</v>
      </c>
      <c r="G405" s="57">
        <v>0.547</v>
      </c>
      <c r="H405" s="57">
        <v>0.118</v>
      </c>
      <c r="I405" s="57">
        <v>0.064</v>
      </c>
      <c r="J405" s="57">
        <v>2.05</v>
      </c>
      <c r="K405" s="57">
        <v>1.335</v>
      </c>
      <c r="L405" s="70">
        <v>44676.0</v>
      </c>
    </row>
    <row r="406">
      <c r="A406" s="57" t="s">
        <v>163</v>
      </c>
      <c r="B406" s="57">
        <v>2383.0</v>
      </c>
      <c r="C406" s="57">
        <v>3.0</v>
      </c>
      <c r="D406" s="57">
        <v>0.0</v>
      </c>
      <c r="F406" s="57">
        <v>0.427</v>
      </c>
      <c r="G406" s="57">
        <v>0.25</v>
      </c>
      <c r="H406" s="57">
        <v>0.037</v>
      </c>
      <c r="I406" s="57">
        <v>0.02</v>
      </c>
      <c r="J406" s="57">
        <v>1.04</v>
      </c>
      <c r="K406" s="57">
        <v>1.0525</v>
      </c>
      <c r="L406" s="70">
        <v>44676.0</v>
      </c>
    </row>
    <row r="407">
      <c r="A407" s="57" t="s">
        <v>59</v>
      </c>
      <c r="B407" s="57">
        <v>2377.0</v>
      </c>
      <c r="C407" s="57">
        <v>3.0</v>
      </c>
      <c r="D407" s="57">
        <v>1.0</v>
      </c>
      <c r="F407" s="57">
        <v>0.353</v>
      </c>
      <c r="G407" s="57">
        <v>0.225</v>
      </c>
      <c r="H407" s="57">
        <v>0.28</v>
      </c>
      <c r="I407" s="57">
        <v>0.166</v>
      </c>
      <c r="J407" s="57">
        <v>4.81</v>
      </c>
      <c r="K407" s="57">
        <v>1.8275</v>
      </c>
      <c r="L407" s="70">
        <v>44676.0</v>
      </c>
    </row>
    <row r="408">
      <c r="A408" s="57" t="s">
        <v>59</v>
      </c>
      <c r="B408" s="57">
        <v>2301.0</v>
      </c>
      <c r="C408" s="57">
        <v>2.0</v>
      </c>
      <c r="D408" s="57">
        <v>1.0</v>
      </c>
      <c r="F408" s="57">
        <v>2.717</v>
      </c>
      <c r="G408" s="57">
        <v>1.666</v>
      </c>
      <c r="H408" s="57">
        <v>0.303</v>
      </c>
      <c r="I408" s="57">
        <v>0.187</v>
      </c>
      <c r="J408" s="57">
        <v>5.32</v>
      </c>
      <c r="K408" s="57">
        <v>1.7375</v>
      </c>
      <c r="L408" s="70">
        <v>44676.0</v>
      </c>
    </row>
    <row r="409">
      <c r="A409" s="57" t="s">
        <v>163</v>
      </c>
      <c r="B409" s="57">
        <v>2382.0</v>
      </c>
      <c r="C409" s="57">
        <v>3.0</v>
      </c>
      <c r="D409" s="57">
        <v>0.0</v>
      </c>
      <c r="F409" s="57">
        <v>0.531</v>
      </c>
      <c r="G409" s="57">
        <v>0.312</v>
      </c>
      <c r="H409" s="57">
        <v>0.044</v>
      </c>
      <c r="I409" s="57">
        <v>0.025</v>
      </c>
      <c r="J409" s="57">
        <v>1.19</v>
      </c>
      <c r="K409" s="57">
        <v>1.065</v>
      </c>
      <c r="L409" s="70">
        <v>44676.0</v>
      </c>
    </row>
    <row r="410">
      <c r="A410" s="57" t="s">
        <v>163</v>
      </c>
      <c r="B410" s="57">
        <v>2381.0</v>
      </c>
      <c r="C410" s="57">
        <v>3.0</v>
      </c>
      <c r="D410" s="57">
        <v>0.0</v>
      </c>
      <c r="F410" s="57">
        <v>1.086</v>
      </c>
      <c r="G410" s="57">
        <v>0.59</v>
      </c>
      <c r="H410" s="57">
        <v>0.097</v>
      </c>
      <c r="I410" s="57">
        <v>0.051</v>
      </c>
      <c r="J410" s="57">
        <v>1.5</v>
      </c>
      <c r="K410" s="57">
        <v>1.33</v>
      </c>
      <c r="L410" s="70">
        <v>44676.0</v>
      </c>
    </row>
    <row r="411">
      <c r="A411" s="57" t="s">
        <v>59</v>
      </c>
      <c r="B411" s="57">
        <v>2380.0</v>
      </c>
      <c r="C411" s="57">
        <v>3.0</v>
      </c>
      <c r="D411" s="57">
        <v>1.0</v>
      </c>
      <c r="F411" s="57">
        <v>1.302</v>
      </c>
      <c r="G411" s="57">
        <v>0.849</v>
      </c>
      <c r="H411" s="57">
        <v>0.217</v>
      </c>
      <c r="I411" s="57">
        <v>0.147</v>
      </c>
      <c r="J411" s="57">
        <v>4.45</v>
      </c>
      <c r="K411" s="57">
        <v>1.4875</v>
      </c>
      <c r="L411" s="70">
        <v>44676.0</v>
      </c>
    </row>
    <row r="412">
      <c r="A412" s="57" t="s">
        <v>59</v>
      </c>
      <c r="B412" s="57">
        <v>2354.0</v>
      </c>
      <c r="C412" s="57">
        <v>1.0</v>
      </c>
      <c r="D412" s="57">
        <v>0.0</v>
      </c>
      <c r="F412" s="57">
        <v>0.778</v>
      </c>
      <c r="G412" s="57">
        <v>0.419</v>
      </c>
      <c r="H412" s="57">
        <v>0.05</v>
      </c>
      <c r="I412" s="57">
        <v>0.025</v>
      </c>
      <c r="J412" s="57">
        <v>2.65</v>
      </c>
      <c r="K412" s="57">
        <v>0.8625</v>
      </c>
      <c r="L412" s="70">
        <v>44676.0</v>
      </c>
    </row>
    <row r="413">
      <c r="A413" s="57" t="s">
        <v>163</v>
      </c>
      <c r="B413" s="57">
        <v>2011.0</v>
      </c>
      <c r="C413" s="57">
        <v>1.0</v>
      </c>
      <c r="D413" s="57">
        <v>0.0</v>
      </c>
      <c r="F413" s="57">
        <v>0.781</v>
      </c>
      <c r="G413" s="57">
        <v>0.431</v>
      </c>
      <c r="H413" s="57">
        <v>0.078</v>
      </c>
      <c r="I413" s="57">
        <v>0.039</v>
      </c>
      <c r="J413" s="57">
        <v>1.2</v>
      </c>
      <c r="K413" s="57">
        <v>1.15</v>
      </c>
      <c r="L413" s="70">
        <v>44676.0</v>
      </c>
    </row>
    <row r="414">
      <c r="A414" s="57" t="s">
        <v>163</v>
      </c>
      <c r="B414" s="57">
        <v>2372.0</v>
      </c>
      <c r="C414" s="57">
        <v>2.0</v>
      </c>
      <c r="D414" s="57">
        <v>0.0</v>
      </c>
      <c r="F414" s="57">
        <v>0.759</v>
      </c>
      <c r="G414" s="57">
        <v>0.413</v>
      </c>
      <c r="H414" s="57">
        <v>0.04</v>
      </c>
      <c r="I414" s="57">
        <v>0.021</v>
      </c>
      <c r="J414" s="57">
        <v>1.11</v>
      </c>
      <c r="K414" s="57">
        <v>0.965</v>
      </c>
      <c r="L414" s="70">
        <v>44676.0</v>
      </c>
    </row>
    <row r="415">
      <c r="A415" s="57" t="s">
        <v>163</v>
      </c>
      <c r="B415" s="57">
        <v>2370.0</v>
      </c>
      <c r="C415" s="57">
        <v>1.0</v>
      </c>
      <c r="D415" s="57">
        <v>0.0</v>
      </c>
      <c r="F415" s="57">
        <v>0.407</v>
      </c>
      <c r="G415" s="57">
        <v>0.218</v>
      </c>
      <c r="H415" s="57">
        <v>0.066</v>
      </c>
      <c r="I415" s="57">
        <v>0.035</v>
      </c>
      <c r="J415" s="57">
        <v>1.47</v>
      </c>
      <c r="K415" s="57">
        <v>0.8975</v>
      </c>
      <c r="L415" s="70">
        <v>44676.0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43"/>
    <col customWidth="1" min="2" max="2" width="8.71"/>
    <col customWidth="1" min="3" max="3" width="7.0"/>
    <col customWidth="1" min="4" max="4" width="6.71"/>
    <col customWidth="1" min="5" max="5" width="6.86"/>
    <col customWidth="1" min="6" max="6" width="5.43"/>
    <col customWidth="1" min="7" max="7" width="10.86"/>
    <col customWidth="1" min="8" max="8" width="10.57"/>
    <col customWidth="1" min="9" max="9" width="10.43"/>
    <col customWidth="1" min="10" max="10" width="9.14"/>
    <col customWidth="1" min="11" max="11" width="9.43"/>
    <col customWidth="1" min="12" max="12" width="5.71"/>
  </cols>
  <sheetData>
    <row r="1">
      <c r="A1" s="68" t="s">
        <v>162</v>
      </c>
      <c r="B1" s="68" t="s">
        <v>152</v>
      </c>
      <c r="C1" s="68" t="s">
        <v>169</v>
      </c>
      <c r="D1" s="68" t="s">
        <v>170</v>
      </c>
      <c r="E1" s="68" t="s">
        <v>171</v>
      </c>
      <c r="F1" s="68" t="s">
        <v>154</v>
      </c>
      <c r="G1" s="68" t="s">
        <v>172</v>
      </c>
      <c r="H1" s="68" t="s">
        <v>173</v>
      </c>
      <c r="I1" s="68" t="s">
        <v>174</v>
      </c>
      <c r="J1" s="68" t="s">
        <v>175</v>
      </c>
      <c r="K1" s="68" t="s">
        <v>176</v>
      </c>
      <c r="L1" s="68" t="s">
        <v>130</v>
      </c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</row>
    <row r="2">
      <c r="A2" s="70">
        <v>44631.0</v>
      </c>
      <c r="B2" s="57">
        <v>2383.0</v>
      </c>
      <c r="C2" s="57" t="s">
        <v>177</v>
      </c>
      <c r="D2" s="57" t="s">
        <v>178</v>
      </c>
      <c r="E2" s="57" t="s">
        <v>179</v>
      </c>
      <c r="F2" s="57">
        <f t="shared" ref="F2:F9" si="1">if(D2="old",1,0)</f>
        <v>1</v>
      </c>
      <c r="G2" s="57">
        <v>26.3175</v>
      </c>
      <c r="H2" s="57">
        <v>27.8424</v>
      </c>
      <c r="I2" s="57">
        <v>26.892</v>
      </c>
      <c r="J2" s="33">
        <f t="shared" ref="J2:J1000" si="2">H2-G2</f>
        <v>1.5249</v>
      </c>
      <c r="K2" s="33">
        <f t="shared" ref="K2:K623" si="3">I2-G2</f>
        <v>0.5745</v>
      </c>
    </row>
    <row r="3">
      <c r="A3" s="70">
        <v>44635.0</v>
      </c>
      <c r="B3" s="57">
        <v>2384.0</v>
      </c>
      <c r="C3" s="57" t="s">
        <v>177</v>
      </c>
      <c r="D3" s="57" t="s">
        <v>178</v>
      </c>
      <c r="E3" s="57" t="s">
        <v>179</v>
      </c>
      <c r="F3" s="57">
        <f t="shared" si="1"/>
        <v>1</v>
      </c>
      <c r="G3" s="57">
        <v>26.5754</v>
      </c>
      <c r="H3" s="57">
        <v>27.3214</v>
      </c>
      <c r="I3" s="57">
        <v>26.9505</v>
      </c>
      <c r="J3" s="33">
        <f t="shared" si="2"/>
        <v>0.746</v>
      </c>
      <c r="K3" s="33">
        <f t="shared" si="3"/>
        <v>0.3751</v>
      </c>
    </row>
    <row r="4">
      <c r="A4" s="70">
        <v>44631.0</v>
      </c>
      <c r="B4" s="57">
        <v>2093.0</v>
      </c>
      <c r="C4" s="57" t="s">
        <v>180</v>
      </c>
      <c r="D4" s="57" t="s">
        <v>178</v>
      </c>
      <c r="E4" s="57" t="s">
        <v>179</v>
      </c>
      <c r="F4" s="57">
        <f t="shared" si="1"/>
        <v>1</v>
      </c>
      <c r="G4" s="57">
        <v>26.715</v>
      </c>
      <c r="H4" s="57">
        <v>28.5841</v>
      </c>
      <c r="I4" s="57">
        <v>27.1515</v>
      </c>
      <c r="J4" s="33">
        <f t="shared" si="2"/>
        <v>1.8691</v>
      </c>
      <c r="K4" s="33">
        <f t="shared" si="3"/>
        <v>0.4365</v>
      </c>
    </row>
    <row r="5">
      <c r="A5" s="70">
        <v>44631.0</v>
      </c>
      <c r="B5" s="57">
        <v>2007.0</v>
      </c>
      <c r="C5" s="57" t="s">
        <v>180</v>
      </c>
      <c r="D5" s="57" t="s">
        <v>178</v>
      </c>
      <c r="E5" s="57" t="s">
        <v>179</v>
      </c>
      <c r="F5" s="57">
        <f t="shared" si="1"/>
        <v>1</v>
      </c>
      <c r="G5" s="57">
        <v>25.9964</v>
      </c>
      <c r="H5" s="57">
        <v>27.9958</v>
      </c>
      <c r="I5" s="57">
        <v>26.9427</v>
      </c>
      <c r="J5" s="33">
        <f t="shared" si="2"/>
        <v>1.9994</v>
      </c>
      <c r="K5" s="33">
        <f t="shared" si="3"/>
        <v>0.9463</v>
      </c>
    </row>
    <row r="6">
      <c r="A6" s="70">
        <v>44635.0</v>
      </c>
      <c r="B6" s="57">
        <v>2352.0</v>
      </c>
      <c r="C6" s="57" t="s">
        <v>177</v>
      </c>
      <c r="D6" s="57" t="s">
        <v>181</v>
      </c>
      <c r="E6" s="57" t="s">
        <v>179</v>
      </c>
      <c r="F6" s="57">
        <f t="shared" si="1"/>
        <v>0</v>
      </c>
      <c r="G6" s="57">
        <v>26.1349</v>
      </c>
      <c r="H6" s="57">
        <v>27.3698</v>
      </c>
      <c r="I6" s="57">
        <v>26.6372</v>
      </c>
      <c r="J6" s="33">
        <f t="shared" si="2"/>
        <v>1.2349</v>
      </c>
      <c r="K6" s="33">
        <f t="shared" si="3"/>
        <v>0.5023</v>
      </c>
    </row>
    <row r="7">
      <c r="A7" s="70">
        <v>44628.0</v>
      </c>
      <c r="B7" s="57">
        <v>2381.0</v>
      </c>
      <c r="C7" s="57" t="s">
        <v>177</v>
      </c>
      <c r="D7" s="57" t="s">
        <v>181</v>
      </c>
      <c r="E7" s="57" t="s">
        <v>179</v>
      </c>
      <c r="F7" s="57">
        <f t="shared" si="1"/>
        <v>0</v>
      </c>
      <c r="G7" s="57">
        <v>26.3635</v>
      </c>
      <c r="H7" s="57">
        <v>26.72</v>
      </c>
      <c r="I7" s="57">
        <v>26.6483</v>
      </c>
      <c r="J7" s="33">
        <f t="shared" si="2"/>
        <v>0.3565</v>
      </c>
      <c r="K7" s="33">
        <f t="shared" si="3"/>
        <v>0.2848</v>
      </c>
    </row>
    <row r="8">
      <c r="A8" s="70">
        <v>44631.0</v>
      </c>
      <c r="B8" s="57">
        <v>2389.0</v>
      </c>
      <c r="C8" s="57" t="s">
        <v>180</v>
      </c>
      <c r="D8" s="57" t="s">
        <v>181</v>
      </c>
      <c r="E8" s="57" t="s">
        <v>182</v>
      </c>
      <c r="F8" s="57">
        <f t="shared" si="1"/>
        <v>0</v>
      </c>
      <c r="G8" s="57">
        <v>27.1025</v>
      </c>
      <c r="H8" s="57">
        <v>31.1214</v>
      </c>
      <c r="I8" s="57">
        <v>29.3421</v>
      </c>
      <c r="J8" s="33">
        <f t="shared" si="2"/>
        <v>4.0189</v>
      </c>
      <c r="K8" s="33">
        <f t="shared" si="3"/>
        <v>2.2396</v>
      </c>
    </row>
    <row r="9">
      <c r="A9" s="70">
        <v>44628.0</v>
      </c>
      <c r="B9" s="57">
        <v>2378.0</v>
      </c>
      <c r="C9" s="57" t="s">
        <v>180</v>
      </c>
      <c r="D9" s="57" t="s">
        <v>181</v>
      </c>
      <c r="E9" s="57" t="s">
        <v>179</v>
      </c>
      <c r="F9" s="57">
        <f t="shared" si="1"/>
        <v>0</v>
      </c>
      <c r="G9" s="57">
        <v>26.5327</v>
      </c>
      <c r="H9" s="57">
        <v>26.7629</v>
      </c>
      <c r="I9" s="57">
        <v>26.7742</v>
      </c>
      <c r="J9" s="33">
        <f t="shared" si="2"/>
        <v>0.2302</v>
      </c>
      <c r="K9" s="33">
        <f t="shared" si="3"/>
        <v>0.2415</v>
      </c>
    </row>
    <row r="10">
      <c r="A10" s="70">
        <v>44635.0</v>
      </c>
      <c r="B10" s="57">
        <v>2092.0</v>
      </c>
      <c r="C10" s="57" t="s">
        <v>177</v>
      </c>
      <c r="D10" s="57" t="s">
        <v>178</v>
      </c>
      <c r="E10" s="57" t="s">
        <v>179</v>
      </c>
      <c r="F10" s="57">
        <v>2.0</v>
      </c>
      <c r="G10" s="57">
        <v>26.1535</v>
      </c>
      <c r="H10" s="57">
        <v>27.6492</v>
      </c>
      <c r="I10" s="57">
        <v>26.9958</v>
      </c>
      <c r="J10" s="33">
        <f t="shared" si="2"/>
        <v>1.4957</v>
      </c>
      <c r="K10" s="33">
        <f t="shared" si="3"/>
        <v>0.8423</v>
      </c>
    </row>
    <row r="11">
      <c r="A11" s="70">
        <v>44631.0</v>
      </c>
      <c r="B11" s="57">
        <v>2004.0</v>
      </c>
      <c r="C11" s="57" t="s">
        <v>177</v>
      </c>
      <c r="D11" s="57" t="s">
        <v>178</v>
      </c>
      <c r="E11" s="57" t="s">
        <v>179</v>
      </c>
      <c r="F11" s="57">
        <f t="shared" ref="F11:F17" si="4">if(D11="old",1,0)</f>
        <v>1</v>
      </c>
      <c r="G11" s="57">
        <v>27.3436</v>
      </c>
      <c r="H11" s="57">
        <v>29.4057</v>
      </c>
      <c r="I11" s="57">
        <v>28.3781</v>
      </c>
      <c r="J11" s="33">
        <f t="shared" si="2"/>
        <v>2.0621</v>
      </c>
      <c r="K11" s="33">
        <f t="shared" si="3"/>
        <v>1.0345</v>
      </c>
    </row>
    <row r="12">
      <c r="A12" s="70">
        <v>44628.0</v>
      </c>
      <c r="B12" s="57">
        <v>2382.0</v>
      </c>
      <c r="C12" s="57" t="s">
        <v>177</v>
      </c>
      <c r="D12" s="57" t="s">
        <v>181</v>
      </c>
      <c r="E12" s="57" t="s">
        <v>179</v>
      </c>
      <c r="F12" s="57">
        <f t="shared" si="4"/>
        <v>0</v>
      </c>
      <c r="G12" s="57">
        <v>26.1643</v>
      </c>
      <c r="H12" s="57">
        <v>27.6421</v>
      </c>
      <c r="I12" s="57">
        <v>26.5199</v>
      </c>
      <c r="J12" s="33">
        <f t="shared" si="2"/>
        <v>1.4778</v>
      </c>
      <c r="K12" s="33">
        <f t="shared" si="3"/>
        <v>0.3556</v>
      </c>
    </row>
    <row r="13">
      <c r="A13" s="70">
        <v>44635.0</v>
      </c>
      <c r="B13" s="57">
        <v>2023.0</v>
      </c>
      <c r="C13" s="57" t="s">
        <v>177</v>
      </c>
      <c r="D13" s="57" t="s">
        <v>181</v>
      </c>
      <c r="E13" s="57" t="s">
        <v>179</v>
      </c>
      <c r="F13" s="57">
        <f t="shared" si="4"/>
        <v>0</v>
      </c>
      <c r="G13" s="57">
        <v>26.3751</v>
      </c>
      <c r="H13" s="57">
        <v>27.3233</v>
      </c>
      <c r="I13" s="57">
        <v>26.598</v>
      </c>
      <c r="J13" s="33">
        <f t="shared" si="2"/>
        <v>0.9482</v>
      </c>
      <c r="K13" s="33">
        <f t="shared" si="3"/>
        <v>0.2229</v>
      </c>
    </row>
    <row r="14">
      <c r="A14" s="70">
        <v>44628.0</v>
      </c>
      <c r="B14" s="57">
        <v>2382.0</v>
      </c>
      <c r="C14" s="57" t="s">
        <v>180</v>
      </c>
      <c r="D14" s="57" t="s">
        <v>181</v>
      </c>
      <c r="E14" s="57" t="s">
        <v>179</v>
      </c>
      <c r="F14" s="57">
        <f t="shared" si="4"/>
        <v>0</v>
      </c>
      <c r="G14" s="57">
        <v>26.2638</v>
      </c>
      <c r="H14" s="57">
        <v>27.7422</v>
      </c>
      <c r="I14" s="57">
        <v>26.7896</v>
      </c>
      <c r="J14" s="33">
        <f t="shared" si="2"/>
        <v>1.4784</v>
      </c>
      <c r="K14" s="33">
        <f t="shared" si="3"/>
        <v>0.5258</v>
      </c>
    </row>
    <row r="15">
      <c r="A15" s="70">
        <v>44635.0</v>
      </c>
      <c r="B15" s="57">
        <v>2022.0</v>
      </c>
      <c r="C15" s="57" t="s">
        <v>177</v>
      </c>
      <c r="D15" s="57" t="s">
        <v>178</v>
      </c>
      <c r="E15" s="57" t="s">
        <v>179</v>
      </c>
      <c r="F15" s="57">
        <f t="shared" si="4"/>
        <v>1</v>
      </c>
      <c r="G15" s="57">
        <v>25.5854</v>
      </c>
      <c r="H15" s="57">
        <v>27.1343</v>
      </c>
      <c r="I15" s="57">
        <v>26.1732</v>
      </c>
      <c r="J15" s="33">
        <f t="shared" si="2"/>
        <v>1.5489</v>
      </c>
      <c r="K15" s="33">
        <f t="shared" si="3"/>
        <v>0.5878</v>
      </c>
    </row>
    <row r="16">
      <c r="A16" s="70">
        <v>44628.0</v>
      </c>
      <c r="B16" s="57">
        <v>2377.0</v>
      </c>
      <c r="C16" s="57" t="s">
        <v>180</v>
      </c>
      <c r="D16" s="57" t="s">
        <v>181</v>
      </c>
      <c r="E16" s="57" t="s">
        <v>179</v>
      </c>
      <c r="F16" s="57">
        <f t="shared" si="4"/>
        <v>0</v>
      </c>
      <c r="G16" s="57">
        <v>25.9118</v>
      </c>
      <c r="H16" s="57">
        <v>26.7742</v>
      </c>
      <c r="I16" s="57">
        <v>26.2059</v>
      </c>
      <c r="J16" s="33">
        <f t="shared" si="2"/>
        <v>0.8624</v>
      </c>
      <c r="K16" s="33">
        <f t="shared" si="3"/>
        <v>0.2941</v>
      </c>
    </row>
    <row r="17">
      <c r="A17" s="70">
        <v>44635.0</v>
      </c>
      <c r="B17" s="57">
        <v>2024.0</v>
      </c>
      <c r="C17" s="57" t="s">
        <v>177</v>
      </c>
      <c r="D17" s="57" t="s">
        <v>181</v>
      </c>
      <c r="E17" s="57" t="s">
        <v>179</v>
      </c>
      <c r="F17" s="57">
        <f t="shared" si="4"/>
        <v>0</v>
      </c>
      <c r="G17" s="57">
        <v>25.5022</v>
      </c>
      <c r="H17" s="57">
        <v>26.7751</v>
      </c>
      <c r="I17" s="57">
        <v>26.0</v>
      </c>
      <c r="J17" s="33">
        <f t="shared" si="2"/>
        <v>1.2729</v>
      </c>
      <c r="K17" s="33">
        <f t="shared" si="3"/>
        <v>0.4978</v>
      </c>
    </row>
    <row r="18">
      <c r="A18" s="70">
        <v>44635.0</v>
      </c>
      <c r="B18" s="57">
        <v>2091.0</v>
      </c>
      <c r="C18" s="57" t="s">
        <v>177</v>
      </c>
      <c r="D18" s="57" t="s">
        <v>178</v>
      </c>
      <c r="E18" s="57" t="s">
        <v>179</v>
      </c>
      <c r="F18" s="57">
        <v>2.0</v>
      </c>
      <c r="G18" s="57">
        <v>26.5938</v>
      </c>
      <c r="H18" s="57">
        <v>27.2196</v>
      </c>
      <c r="I18" s="57">
        <v>27.2061</v>
      </c>
      <c r="J18" s="33">
        <f t="shared" si="2"/>
        <v>0.6258</v>
      </c>
      <c r="K18" s="33">
        <f t="shared" si="3"/>
        <v>0.6123</v>
      </c>
    </row>
    <row r="19">
      <c r="A19" s="70">
        <v>44635.0</v>
      </c>
      <c r="B19" s="57">
        <v>2383.0</v>
      </c>
      <c r="C19" s="57" t="s">
        <v>177</v>
      </c>
      <c r="D19" s="57" t="s">
        <v>178</v>
      </c>
      <c r="E19" s="57" t="s">
        <v>179</v>
      </c>
      <c r="F19" s="57">
        <f t="shared" ref="F19:F73" si="5">if(D19="old",1,0)</f>
        <v>1</v>
      </c>
      <c r="G19" s="57">
        <v>26.5598</v>
      </c>
      <c r="H19" s="57">
        <v>27.0238</v>
      </c>
      <c r="I19" s="57">
        <v>27.0524</v>
      </c>
      <c r="J19" s="33">
        <f t="shared" si="2"/>
        <v>0.464</v>
      </c>
      <c r="K19" s="33">
        <f t="shared" si="3"/>
        <v>0.4926</v>
      </c>
    </row>
    <row r="20">
      <c r="A20" s="70">
        <v>44631.0</v>
      </c>
      <c r="B20" s="57">
        <v>2027.0</v>
      </c>
      <c r="C20" s="57" t="s">
        <v>180</v>
      </c>
      <c r="D20" s="57" t="s">
        <v>178</v>
      </c>
      <c r="E20" s="57" t="s">
        <v>179</v>
      </c>
      <c r="F20" s="57">
        <f t="shared" si="5"/>
        <v>1</v>
      </c>
      <c r="G20" s="57">
        <v>26.6383</v>
      </c>
      <c r="H20" s="57">
        <v>28.2547</v>
      </c>
      <c r="I20" s="57">
        <v>27.4146</v>
      </c>
      <c r="J20" s="33">
        <f t="shared" si="2"/>
        <v>1.6164</v>
      </c>
      <c r="K20" s="33">
        <f t="shared" si="3"/>
        <v>0.7763</v>
      </c>
    </row>
    <row r="21">
      <c r="A21" s="70">
        <v>44628.0</v>
      </c>
      <c r="B21" s="57">
        <v>2380.0</v>
      </c>
      <c r="C21" s="57" t="s">
        <v>177</v>
      </c>
      <c r="D21" s="57" t="s">
        <v>178</v>
      </c>
      <c r="E21" s="57" t="s">
        <v>182</v>
      </c>
      <c r="F21" s="57">
        <f t="shared" si="5"/>
        <v>1</v>
      </c>
      <c r="G21" s="57">
        <v>26.1703</v>
      </c>
      <c r="H21" s="57">
        <v>34.2191</v>
      </c>
      <c r="I21" s="57">
        <v>30.8103</v>
      </c>
      <c r="J21" s="33">
        <f t="shared" si="2"/>
        <v>8.0488</v>
      </c>
      <c r="K21" s="33">
        <f t="shared" si="3"/>
        <v>4.64</v>
      </c>
    </row>
    <row r="22">
      <c r="A22" s="70">
        <v>44628.0</v>
      </c>
      <c r="B22" s="57">
        <v>2381.0</v>
      </c>
      <c r="C22" s="57" t="s">
        <v>180</v>
      </c>
      <c r="D22" s="57" t="s">
        <v>178</v>
      </c>
      <c r="E22" s="57" t="s">
        <v>179</v>
      </c>
      <c r="F22" s="57">
        <f t="shared" si="5"/>
        <v>1</v>
      </c>
      <c r="G22" s="57">
        <v>26.4364</v>
      </c>
      <c r="H22" s="57">
        <v>29.1776</v>
      </c>
      <c r="I22" s="57">
        <v>27.7775</v>
      </c>
      <c r="J22" s="33">
        <f t="shared" si="2"/>
        <v>2.7412</v>
      </c>
      <c r="K22" s="33">
        <f t="shared" si="3"/>
        <v>1.3411</v>
      </c>
    </row>
    <row r="23">
      <c r="A23" s="70">
        <v>44631.0</v>
      </c>
      <c r="B23" s="57">
        <v>2004.0</v>
      </c>
      <c r="C23" s="57" t="s">
        <v>177</v>
      </c>
      <c r="D23" s="57" t="s">
        <v>181</v>
      </c>
      <c r="E23" s="57" t="s">
        <v>179</v>
      </c>
      <c r="F23" s="57">
        <f t="shared" si="5"/>
        <v>0</v>
      </c>
      <c r="G23" s="57">
        <v>26.0831</v>
      </c>
      <c r="H23" s="57">
        <v>26.822</v>
      </c>
      <c r="I23" s="57">
        <v>26.2899</v>
      </c>
      <c r="J23" s="33">
        <f t="shared" si="2"/>
        <v>0.7389</v>
      </c>
      <c r="K23" s="33">
        <f t="shared" si="3"/>
        <v>0.2068</v>
      </c>
    </row>
    <row r="24">
      <c r="A24" s="70">
        <v>44631.0</v>
      </c>
      <c r="B24" s="57">
        <v>2354.0</v>
      </c>
      <c r="C24" s="57" t="s">
        <v>177</v>
      </c>
      <c r="D24" s="57" t="s">
        <v>181</v>
      </c>
      <c r="E24" s="57" t="s">
        <v>182</v>
      </c>
      <c r="F24" s="57">
        <f t="shared" si="5"/>
        <v>0</v>
      </c>
      <c r="G24" s="57">
        <v>26.1188</v>
      </c>
      <c r="H24" s="57">
        <v>27.6242</v>
      </c>
      <c r="I24" s="57">
        <v>26.554</v>
      </c>
      <c r="J24" s="33">
        <f t="shared" si="2"/>
        <v>1.5054</v>
      </c>
      <c r="K24" s="33">
        <f t="shared" si="3"/>
        <v>0.4352</v>
      </c>
    </row>
    <row r="25">
      <c r="A25" s="70">
        <v>44635.0</v>
      </c>
      <c r="B25" s="57">
        <v>2025.0</v>
      </c>
      <c r="C25" s="57" t="s">
        <v>177</v>
      </c>
      <c r="D25" s="57" t="s">
        <v>178</v>
      </c>
      <c r="E25" s="57" t="s">
        <v>179</v>
      </c>
      <c r="F25" s="57">
        <f t="shared" si="5"/>
        <v>1</v>
      </c>
      <c r="G25" s="57">
        <v>25.9165</v>
      </c>
      <c r="H25" s="57">
        <v>27.5443</v>
      </c>
      <c r="I25" s="57">
        <v>26.7192</v>
      </c>
      <c r="J25" s="33">
        <f t="shared" si="2"/>
        <v>1.6278</v>
      </c>
      <c r="K25" s="33">
        <f t="shared" si="3"/>
        <v>0.8027</v>
      </c>
    </row>
    <row r="26">
      <c r="A26" s="70">
        <v>44631.0</v>
      </c>
      <c r="B26" s="57">
        <v>2020.0</v>
      </c>
      <c r="C26" s="57" t="s">
        <v>180</v>
      </c>
      <c r="D26" s="57" t="s">
        <v>178</v>
      </c>
      <c r="E26" s="57" t="s">
        <v>179</v>
      </c>
      <c r="F26" s="57">
        <f t="shared" si="5"/>
        <v>1</v>
      </c>
      <c r="G26" s="57">
        <v>26.1146</v>
      </c>
      <c r="H26" s="57">
        <v>27.7506</v>
      </c>
      <c r="I26" s="57">
        <v>26.8911</v>
      </c>
      <c r="J26" s="33">
        <f t="shared" si="2"/>
        <v>1.636</v>
      </c>
      <c r="K26" s="33">
        <f t="shared" si="3"/>
        <v>0.7765</v>
      </c>
    </row>
    <row r="27">
      <c r="A27" s="70">
        <v>44635.0</v>
      </c>
      <c r="B27" s="57">
        <v>2020.0</v>
      </c>
      <c r="C27" s="57" t="s">
        <v>177</v>
      </c>
      <c r="D27" s="57" t="s">
        <v>178</v>
      </c>
      <c r="E27" s="57" t="s">
        <v>179</v>
      </c>
      <c r="F27" s="57">
        <f t="shared" si="5"/>
        <v>1</v>
      </c>
      <c r="G27" s="57">
        <v>25.2817</v>
      </c>
      <c r="H27" s="57">
        <v>27.2827</v>
      </c>
      <c r="I27" s="57">
        <v>25.9888</v>
      </c>
      <c r="J27" s="33">
        <f t="shared" si="2"/>
        <v>2.001</v>
      </c>
      <c r="K27" s="33">
        <f t="shared" si="3"/>
        <v>0.7071</v>
      </c>
    </row>
    <row r="28">
      <c r="A28" s="70">
        <v>44628.0</v>
      </c>
      <c r="B28" s="57">
        <v>2377.0</v>
      </c>
      <c r="C28" s="57" t="s">
        <v>180</v>
      </c>
      <c r="D28" s="57" t="s">
        <v>178</v>
      </c>
      <c r="E28" s="57" t="s">
        <v>179</v>
      </c>
      <c r="F28" s="57">
        <f t="shared" si="5"/>
        <v>1</v>
      </c>
      <c r="G28" s="57">
        <v>26.3183</v>
      </c>
      <c r="H28" s="57">
        <v>27.6221</v>
      </c>
      <c r="I28" s="57">
        <v>27.0446</v>
      </c>
      <c r="J28" s="33">
        <f t="shared" si="2"/>
        <v>1.3038</v>
      </c>
      <c r="K28" s="33">
        <f t="shared" si="3"/>
        <v>0.7263</v>
      </c>
    </row>
    <row r="29">
      <c r="A29" s="70">
        <v>44631.0</v>
      </c>
      <c r="B29" s="57">
        <v>2004.0</v>
      </c>
      <c r="C29" s="57" t="s">
        <v>177</v>
      </c>
      <c r="D29" s="57" t="s">
        <v>181</v>
      </c>
      <c r="E29" s="57" t="s">
        <v>182</v>
      </c>
      <c r="F29" s="57">
        <f t="shared" si="5"/>
        <v>0</v>
      </c>
      <c r="G29" s="57">
        <v>26.5079</v>
      </c>
      <c r="H29" s="57">
        <v>30.8444</v>
      </c>
      <c r="I29" s="57">
        <v>27.8247</v>
      </c>
      <c r="J29" s="33">
        <f t="shared" si="2"/>
        <v>4.3365</v>
      </c>
      <c r="K29" s="33">
        <f t="shared" si="3"/>
        <v>1.3168</v>
      </c>
    </row>
    <row r="30">
      <c r="A30" s="70">
        <v>44628.0</v>
      </c>
      <c r="B30" s="57">
        <v>2378.0</v>
      </c>
      <c r="C30" s="57" t="s">
        <v>180</v>
      </c>
      <c r="D30" s="57" t="s">
        <v>181</v>
      </c>
      <c r="E30" s="57" t="s">
        <v>182</v>
      </c>
      <c r="F30" s="57">
        <f t="shared" si="5"/>
        <v>0</v>
      </c>
      <c r="G30" s="57">
        <v>26.1156</v>
      </c>
      <c r="H30" s="57">
        <v>31.9398</v>
      </c>
      <c r="I30" s="57">
        <v>28.3978</v>
      </c>
      <c r="J30" s="33">
        <f t="shared" si="2"/>
        <v>5.8242</v>
      </c>
      <c r="K30" s="33">
        <f t="shared" si="3"/>
        <v>2.2822</v>
      </c>
    </row>
    <row r="31">
      <c r="A31" s="70">
        <v>44628.0</v>
      </c>
      <c r="B31" s="57">
        <v>2007.0</v>
      </c>
      <c r="C31" s="57" t="s">
        <v>180</v>
      </c>
      <c r="D31" s="57" t="s">
        <v>181</v>
      </c>
      <c r="E31" s="57" t="s">
        <v>179</v>
      </c>
      <c r="F31" s="57">
        <f t="shared" si="5"/>
        <v>0</v>
      </c>
      <c r="G31" s="57">
        <v>26.2359</v>
      </c>
      <c r="H31" s="57">
        <v>27.2754</v>
      </c>
      <c r="I31" s="57">
        <v>26.6218</v>
      </c>
      <c r="J31" s="33">
        <f t="shared" si="2"/>
        <v>1.0395</v>
      </c>
      <c r="K31" s="33">
        <f t="shared" si="3"/>
        <v>0.3859</v>
      </c>
    </row>
    <row r="32">
      <c r="A32" s="70">
        <v>44635.0</v>
      </c>
      <c r="B32" s="57">
        <v>2092.0</v>
      </c>
      <c r="C32" s="57" t="s">
        <v>177</v>
      </c>
      <c r="D32" s="57" t="s">
        <v>181</v>
      </c>
      <c r="E32" s="57" t="s">
        <v>182</v>
      </c>
      <c r="F32" s="57">
        <f t="shared" si="5"/>
        <v>0</v>
      </c>
      <c r="G32" s="57">
        <v>26.2952</v>
      </c>
      <c r="H32" s="57">
        <v>39.5911</v>
      </c>
      <c r="I32" s="57">
        <v>29.3156</v>
      </c>
      <c r="J32" s="33">
        <f t="shared" si="2"/>
        <v>13.2959</v>
      </c>
      <c r="K32" s="33">
        <f t="shared" si="3"/>
        <v>3.0204</v>
      </c>
    </row>
    <row r="33">
      <c r="A33" s="70">
        <v>44631.0</v>
      </c>
      <c r="B33" s="57">
        <v>2383.0</v>
      </c>
      <c r="C33" s="57" t="s">
        <v>177</v>
      </c>
      <c r="D33" s="57" t="s">
        <v>181</v>
      </c>
      <c r="E33" s="57" t="s">
        <v>182</v>
      </c>
      <c r="F33" s="57">
        <f t="shared" si="5"/>
        <v>0</v>
      </c>
      <c r="G33" s="57">
        <v>26.591</v>
      </c>
      <c r="H33" s="57">
        <v>32.8745</v>
      </c>
      <c r="I33" s="57">
        <v>28.8415</v>
      </c>
      <c r="J33" s="33">
        <f t="shared" si="2"/>
        <v>6.2835</v>
      </c>
      <c r="K33" s="33">
        <f t="shared" si="3"/>
        <v>2.2505</v>
      </c>
    </row>
    <row r="34">
      <c r="A34" s="70">
        <v>44628.0</v>
      </c>
      <c r="B34" s="57">
        <v>2345.0</v>
      </c>
      <c r="C34" s="57" t="s">
        <v>177</v>
      </c>
      <c r="D34" s="57" t="s">
        <v>178</v>
      </c>
      <c r="E34" s="57" t="s">
        <v>182</v>
      </c>
      <c r="F34" s="57">
        <f t="shared" si="5"/>
        <v>1</v>
      </c>
      <c r="G34" s="57">
        <v>26.2936</v>
      </c>
      <c r="H34" s="57">
        <v>35.7965</v>
      </c>
      <c r="I34" s="57">
        <v>31.4155</v>
      </c>
      <c r="J34" s="33">
        <f t="shared" si="2"/>
        <v>9.5029</v>
      </c>
      <c r="K34" s="33">
        <f t="shared" si="3"/>
        <v>5.1219</v>
      </c>
    </row>
    <row r="35">
      <c r="A35" s="70">
        <v>44631.0</v>
      </c>
      <c r="B35" s="57">
        <v>2379.0</v>
      </c>
      <c r="C35" s="57" t="s">
        <v>177</v>
      </c>
      <c r="D35" s="57" t="s">
        <v>181</v>
      </c>
      <c r="E35" s="57" t="s">
        <v>179</v>
      </c>
      <c r="F35" s="57">
        <f t="shared" si="5"/>
        <v>0</v>
      </c>
      <c r="G35" s="57">
        <v>26.0086</v>
      </c>
      <c r="H35" s="57">
        <v>26.7584</v>
      </c>
      <c r="I35" s="57">
        <v>26.2711</v>
      </c>
      <c r="J35" s="33">
        <f t="shared" si="2"/>
        <v>0.7498</v>
      </c>
      <c r="K35" s="33">
        <f t="shared" si="3"/>
        <v>0.2625</v>
      </c>
    </row>
    <row r="36">
      <c r="A36" s="70">
        <v>44628.0</v>
      </c>
      <c r="B36" s="57">
        <v>2384.0</v>
      </c>
      <c r="C36" s="57" t="s">
        <v>177</v>
      </c>
      <c r="D36" s="57" t="s">
        <v>181</v>
      </c>
      <c r="E36" s="57" t="s">
        <v>182</v>
      </c>
      <c r="F36" s="57">
        <f t="shared" si="5"/>
        <v>0</v>
      </c>
      <c r="G36" s="57">
        <v>26.2841</v>
      </c>
      <c r="H36" s="57">
        <v>32.6722</v>
      </c>
      <c r="I36" s="57">
        <v>28.4043</v>
      </c>
      <c r="J36" s="33">
        <f t="shared" si="2"/>
        <v>6.3881</v>
      </c>
      <c r="K36" s="33">
        <f t="shared" si="3"/>
        <v>2.1202</v>
      </c>
    </row>
    <row r="37">
      <c r="A37" s="70">
        <v>44631.0</v>
      </c>
      <c r="B37" s="57">
        <v>2004.0</v>
      </c>
      <c r="C37" s="57" t="s">
        <v>180</v>
      </c>
      <c r="D37" s="57" t="s">
        <v>181</v>
      </c>
      <c r="E37" s="57" t="s">
        <v>182</v>
      </c>
      <c r="F37" s="57">
        <f t="shared" si="5"/>
        <v>0</v>
      </c>
      <c r="G37" s="57">
        <v>26.1604</v>
      </c>
      <c r="H37" s="57">
        <v>39.1714</v>
      </c>
      <c r="I37" s="57">
        <v>30.9888</v>
      </c>
      <c r="J37" s="33">
        <f t="shared" si="2"/>
        <v>13.011</v>
      </c>
      <c r="K37" s="33">
        <f t="shared" si="3"/>
        <v>4.8284</v>
      </c>
    </row>
    <row r="38">
      <c r="A38" s="70">
        <v>44628.0</v>
      </c>
      <c r="B38" s="57">
        <v>2380.0</v>
      </c>
      <c r="C38" s="57" t="s">
        <v>177</v>
      </c>
      <c r="D38" s="57" t="s">
        <v>181</v>
      </c>
      <c r="E38" s="57" t="s">
        <v>182</v>
      </c>
      <c r="F38" s="57">
        <f t="shared" si="5"/>
        <v>0</v>
      </c>
      <c r="G38" s="57">
        <v>25.5982</v>
      </c>
      <c r="H38" s="57">
        <v>31.0341</v>
      </c>
      <c r="I38" s="57">
        <v>27.2947</v>
      </c>
      <c r="J38" s="33">
        <f t="shared" si="2"/>
        <v>5.4359</v>
      </c>
      <c r="K38" s="33">
        <f t="shared" si="3"/>
        <v>1.6965</v>
      </c>
    </row>
    <row r="39">
      <c r="A39" s="70">
        <v>44635.0</v>
      </c>
      <c r="B39" s="57">
        <v>2382.0</v>
      </c>
      <c r="C39" s="57" t="s">
        <v>177</v>
      </c>
      <c r="D39" s="57" t="s">
        <v>181</v>
      </c>
      <c r="E39" s="57" t="s">
        <v>179</v>
      </c>
      <c r="F39" s="57">
        <f t="shared" si="5"/>
        <v>0</v>
      </c>
      <c r="G39" s="57">
        <v>25.7013</v>
      </c>
      <c r="H39" s="57">
        <v>26.1695</v>
      </c>
      <c r="I39" s="57">
        <v>25.8955</v>
      </c>
      <c r="J39" s="33">
        <f t="shared" si="2"/>
        <v>0.4682</v>
      </c>
      <c r="K39" s="33">
        <f t="shared" si="3"/>
        <v>0.1942</v>
      </c>
    </row>
    <row r="40">
      <c r="A40" s="70">
        <v>44628.0</v>
      </c>
      <c r="B40" s="57">
        <v>2380.0</v>
      </c>
      <c r="C40" s="57" t="s">
        <v>177</v>
      </c>
      <c r="D40" s="57" t="s">
        <v>181</v>
      </c>
      <c r="E40" s="57" t="s">
        <v>179</v>
      </c>
      <c r="F40" s="57">
        <f t="shared" si="5"/>
        <v>0</v>
      </c>
      <c r="G40" s="57">
        <v>25.8225</v>
      </c>
      <c r="H40" s="57">
        <v>27.3534</v>
      </c>
      <c r="I40" s="57">
        <v>26.1374</v>
      </c>
      <c r="J40" s="33">
        <f t="shared" si="2"/>
        <v>1.5309</v>
      </c>
      <c r="K40" s="33">
        <f t="shared" si="3"/>
        <v>0.3149</v>
      </c>
    </row>
    <row r="41">
      <c r="A41" s="70">
        <v>44635.0</v>
      </c>
      <c r="B41" s="57">
        <v>2021.0</v>
      </c>
      <c r="C41" s="57" t="s">
        <v>177</v>
      </c>
      <c r="D41" s="57" t="s">
        <v>181</v>
      </c>
      <c r="E41" s="57" t="s">
        <v>179</v>
      </c>
      <c r="F41" s="57">
        <f t="shared" si="5"/>
        <v>0</v>
      </c>
      <c r="G41" s="57">
        <v>26.1776</v>
      </c>
      <c r="H41" s="57">
        <v>26.6586</v>
      </c>
      <c r="I41" s="57">
        <v>26.3651</v>
      </c>
      <c r="J41" s="33">
        <f t="shared" si="2"/>
        <v>0.481</v>
      </c>
      <c r="K41" s="33">
        <f t="shared" si="3"/>
        <v>0.1875</v>
      </c>
    </row>
    <row r="42">
      <c r="A42" s="70">
        <v>44631.0</v>
      </c>
      <c r="B42" s="57">
        <v>2006.0</v>
      </c>
      <c r="C42" s="57" t="s">
        <v>180</v>
      </c>
      <c r="D42" s="57" t="s">
        <v>181</v>
      </c>
      <c r="E42" s="57" t="s">
        <v>179</v>
      </c>
      <c r="F42" s="57">
        <f t="shared" si="5"/>
        <v>0</v>
      </c>
      <c r="G42" s="57">
        <v>26.695</v>
      </c>
      <c r="H42" s="57">
        <v>28.1281</v>
      </c>
      <c r="I42" s="57">
        <v>27.0556</v>
      </c>
      <c r="J42" s="33">
        <f t="shared" si="2"/>
        <v>1.4331</v>
      </c>
      <c r="K42" s="33">
        <f t="shared" si="3"/>
        <v>0.3606</v>
      </c>
    </row>
    <row r="43">
      <c r="A43" s="70">
        <v>44635.0</v>
      </c>
      <c r="B43" s="57">
        <v>2021.0</v>
      </c>
      <c r="C43" s="57" t="s">
        <v>177</v>
      </c>
      <c r="D43" s="57" t="s">
        <v>181</v>
      </c>
      <c r="E43" s="57" t="s">
        <v>182</v>
      </c>
      <c r="F43" s="57">
        <f t="shared" si="5"/>
        <v>0</v>
      </c>
      <c r="G43" s="57">
        <v>26.3101</v>
      </c>
      <c r="H43" s="57">
        <v>32.4625</v>
      </c>
      <c r="I43" s="57">
        <v>28.7163</v>
      </c>
      <c r="J43" s="33">
        <f t="shared" si="2"/>
        <v>6.1524</v>
      </c>
      <c r="K43" s="33">
        <f t="shared" si="3"/>
        <v>2.4062</v>
      </c>
    </row>
    <row r="44">
      <c r="A44" s="70">
        <v>44631.0</v>
      </c>
      <c r="B44" s="57">
        <v>2025.0</v>
      </c>
      <c r="C44" s="57" t="s">
        <v>180</v>
      </c>
      <c r="D44" s="57" t="s">
        <v>181</v>
      </c>
      <c r="E44" s="57" t="s">
        <v>182</v>
      </c>
      <c r="F44" s="57">
        <f t="shared" si="5"/>
        <v>0</v>
      </c>
      <c r="G44" s="57">
        <v>25.7883</v>
      </c>
      <c r="H44" s="57">
        <v>37.1465</v>
      </c>
      <c r="I44" s="57">
        <v>30.88</v>
      </c>
      <c r="J44" s="33">
        <f t="shared" si="2"/>
        <v>11.3582</v>
      </c>
      <c r="K44" s="33">
        <f t="shared" si="3"/>
        <v>5.0917</v>
      </c>
    </row>
    <row r="45">
      <c r="A45" s="70">
        <v>44628.0</v>
      </c>
      <c r="B45" s="57">
        <v>2377.0</v>
      </c>
      <c r="C45" s="57" t="s">
        <v>177</v>
      </c>
      <c r="D45" s="57" t="s">
        <v>181</v>
      </c>
      <c r="E45" s="57" t="s">
        <v>179</v>
      </c>
      <c r="F45" s="57">
        <f t="shared" si="5"/>
        <v>0</v>
      </c>
      <c r="G45" s="57">
        <v>25.8755</v>
      </c>
      <c r="H45" s="57">
        <v>26.4249</v>
      </c>
      <c r="I45" s="57">
        <v>25.9548</v>
      </c>
      <c r="J45" s="33">
        <f t="shared" si="2"/>
        <v>0.5494</v>
      </c>
      <c r="K45" s="33">
        <f t="shared" si="3"/>
        <v>0.0793</v>
      </c>
    </row>
    <row r="46">
      <c r="A46" s="70">
        <v>44628.0</v>
      </c>
      <c r="B46" s="57">
        <v>2381.0</v>
      </c>
      <c r="C46" s="57" t="s">
        <v>177</v>
      </c>
      <c r="D46" s="57" t="s">
        <v>178</v>
      </c>
      <c r="E46" s="57" t="s">
        <v>179</v>
      </c>
      <c r="F46" s="57">
        <f t="shared" si="5"/>
        <v>1</v>
      </c>
      <c r="G46" s="57">
        <v>26.4243</v>
      </c>
      <c r="H46" s="57">
        <v>33.2753</v>
      </c>
      <c r="I46" s="57">
        <v>30.0694</v>
      </c>
      <c r="J46" s="33">
        <f t="shared" si="2"/>
        <v>6.851</v>
      </c>
      <c r="K46" s="33">
        <f t="shared" si="3"/>
        <v>3.6451</v>
      </c>
    </row>
    <row r="47">
      <c r="A47" s="70">
        <v>44631.0</v>
      </c>
      <c r="B47" s="57">
        <v>2023.0</v>
      </c>
      <c r="C47" s="57" t="s">
        <v>180</v>
      </c>
      <c r="D47" s="57" t="s">
        <v>178</v>
      </c>
      <c r="E47" s="57" t="s">
        <v>182</v>
      </c>
      <c r="F47" s="57">
        <f t="shared" si="5"/>
        <v>1</v>
      </c>
      <c r="G47" s="57">
        <v>26.1884</v>
      </c>
      <c r="H47" s="57">
        <v>35.0817</v>
      </c>
      <c r="I47" s="57">
        <v>31.3726</v>
      </c>
      <c r="J47" s="33">
        <f t="shared" si="2"/>
        <v>8.8933</v>
      </c>
      <c r="K47" s="33">
        <f t="shared" si="3"/>
        <v>5.1842</v>
      </c>
    </row>
    <row r="48">
      <c r="A48" s="70">
        <v>44631.0</v>
      </c>
      <c r="B48" s="57">
        <v>2379.0</v>
      </c>
      <c r="C48" s="57" t="s">
        <v>177</v>
      </c>
      <c r="D48" s="57" t="s">
        <v>178</v>
      </c>
      <c r="E48" s="57" t="s">
        <v>179</v>
      </c>
      <c r="F48" s="57">
        <f t="shared" si="5"/>
        <v>1</v>
      </c>
      <c r="G48" s="57">
        <v>26.1954</v>
      </c>
      <c r="H48" s="57">
        <v>29.529</v>
      </c>
      <c r="I48" s="57">
        <v>27.9183</v>
      </c>
      <c r="J48" s="33">
        <f t="shared" si="2"/>
        <v>3.3336</v>
      </c>
      <c r="K48" s="33">
        <f t="shared" si="3"/>
        <v>1.7229</v>
      </c>
    </row>
    <row r="49">
      <c r="A49" s="70">
        <v>44631.0</v>
      </c>
      <c r="B49" s="57">
        <v>2005.0</v>
      </c>
      <c r="C49" s="57" t="s">
        <v>177</v>
      </c>
      <c r="D49" s="57" t="s">
        <v>178</v>
      </c>
      <c r="E49" s="57" t="s">
        <v>179</v>
      </c>
      <c r="F49" s="57">
        <f t="shared" si="5"/>
        <v>1</v>
      </c>
      <c r="G49" s="57">
        <v>26.6506</v>
      </c>
      <c r="H49" s="57">
        <v>28.6965</v>
      </c>
      <c r="I49" s="57">
        <v>27.8575</v>
      </c>
      <c r="J49" s="33">
        <f t="shared" si="2"/>
        <v>2.0459</v>
      </c>
      <c r="K49" s="33">
        <f t="shared" si="3"/>
        <v>1.2069</v>
      </c>
    </row>
    <row r="50">
      <c r="A50" s="70">
        <v>44635.0</v>
      </c>
      <c r="B50" s="57">
        <v>2027.0</v>
      </c>
      <c r="C50" s="57" t="s">
        <v>177</v>
      </c>
      <c r="D50" s="57" t="s">
        <v>178</v>
      </c>
      <c r="E50" s="57" t="s">
        <v>179</v>
      </c>
      <c r="F50" s="57">
        <f t="shared" si="5"/>
        <v>1</v>
      </c>
      <c r="G50" s="57">
        <v>25.7696</v>
      </c>
      <c r="H50" s="57">
        <v>26.3981</v>
      </c>
      <c r="I50" s="57">
        <v>26.249</v>
      </c>
      <c r="J50" s="33">
        <f t="shared" si="2"/>
        <v>0.6285</v>
      </c>
      <c r="K50" s="33">
        <f t="shared" si="3"/>
        <v>0.4794</v>
      </c>
    </row>
    <row r="51">
      <c r="A51" s="70">
        <v>44631.0</v>
      </c>
      <c r="B51" s="57">
        <v>2354.0</v>
      </c>
      <c r="C51" s="57" t="s">
        <v>177</v>
      </c>
      <c r="D51" s="57" t="s">
        <v>178</v>
      </c>
      <c r="E51" s="57" t="s">
        <v>179</v>
      </c>
      <c r="F51" s="57">
        <f t="shared" si="5"/>
        <v>1</v>
      </c>
      <c r="G51" s="57">
        <v>25.6611</v>
      </c>
      <c r="H51" s="57">
        <v>26.0567</v>
      </c>
      <c r="I51" s="57">
        <v>26.0205</v>
      </c>
      <c r="J51" s="33">
        <f t="shared" si="2"/>
        <v>0.3956</v>
      </c>
      <c r="K51" s="33">
        <f t="shared" si="3"/>
        <v>0.3594</v>
      </c>
    </row>
    <row r="52">
      <c r="A52" s="70">
        <v>44631.0</v>
      </c>
      <c r="B52" s="57">
        <v>2027.0</v>
      </c>
      <c r="C52" s="57" t="s">
        <v>180</v>
      </c>
      <c r="D52" s="57" t="s">
        <v>78</v>
      </c>
      <c r="E52" s="57" t="s">
        <v>179</v>
      </c>
      <c r="F52" s="57">
        <f t="shared" si="5"/>
        <v>0</v>
      </c>
      <c r="G52" s="57">
        <v>26.1929</v>
      </c>
      <c r="H52" s="57">
        <v>26.527</v>
      </c>
      <c r="I52" s="57">
        <v>26.4776</v>
      </c>
      <c r="J52" s="33">
        <f t="shared" si="2"/>
        <v>0.3341</v>
      </c>
      <c r="K52" s="33">
        <f t="shared" si="3"/>
        <v>0.2847</v>
      </c>
    </row>
    <row r="53">
      <c r="A53" s="70">
        <v>44628.0</v>
      </c>
      <c r="B53" s="57">
        <v>2345.0</v>
      </c>
      <c r="C53" s="57" t="s">
        <v>180</v>
      </c>
      <c r="D53" s="57" t="s">
        <v>178</v>
      </c>
      <c r="E53" s="57" t="s">
        <v>182</v>
      </c>
      <c r="F53" s="57">
        <f t="shared" si="5"/>
        <v>1</v>
      </c>
      <c r="G53" s="57">
        <v>26.129</v>
      </c>
      <c r="H53" s="57">
        <v>33.2676</v>
      </c>
      <c r="I53" s="57">
        <v>30.1496</v>
      </c>
      <c r="J53" s="33">
        <f t="shared" si="2"/>
        <v>7.1386</v>
      </c>
      <c r="K53" s="33">
        <f t="shared" si="3"/>
        <v>4.0206</v>
      </c>
    </row>
    <row r="54">
      <c r="A54" s="70">
        <v>44631.0</v>
      </c>
      <c r="B54" s="57">
        <v>2093.0</v>
      </c>
      <c r="C54" s="57" t="s">
        <v>180</v>
      </c>
      <c r="D54" s="57" t="s">
        <v>181</v>
      </c>
      <c r="E54" s="57" t="s">
        <v>179</v>
      </c>
      <c r="F54" s="57">
        <f t="shared" si="5"/>
        <v>0</v>
      </c>
      <c r="G54" s="57">
        <v>26.3436</v>
      </c>
      <c r="H54" s="57">
        <v>26.8612</v>
      </c>
      <c r="I54" s="57">
        <v>26.8345</v>
      </c>
      <c r="J54" s="33">
        <f t="shared" si="2"/>
        <v>0.5176</v>
      </c>
      <c r="K54" s="33">
        <f t="shared" si="3"/>
        <v>0.4909</v>
      </c>
    </row>
    <row r="55">
      <c r="A55" s="70">
        <v>44628.0</v>
      </c>
      <c r="B55" s="57">
        <v>2376.0</v>
      </c>
      <c r="C55" s="57" t="s">
        <v>180</v>
      </c>
      <c r="D55" s="57" t="s">
        <v>178</v>
      </c>
      <c r="E55" s="57" t="s">
        <v>182</v>
      </c>
      <c r="F55" s="57">
        <f t="shared" si="5"/>
        <v>1</v>
      </c>
      <c r="G55" s="57">
        <v>26.2168</v>
      </c>
      <c r="H55" s="57">
        <v>33.2589</v>
      </c>
      <c r="I55" s="57">
        <v>30.2749</v>
      </c>
      <c r="J55" s="33">
        <f t="shared" si="2"/>
        <v>7.0421</v>
      </c>
      <c r="K55" s="33">
        <f t="shared" si="3"/>
        <v>4.0581</v>
      </c>
    </row>
    <row r="56">
      <c r="A56" s="70">
        <v>44631.0</v>
      </c>
      <c r="B56" s="57">
        <v>2331.0</v>
      </c>
      <c r="C56" s="57" t="s">
        <v>177</v>
      </c>
      <c r="D56" s="57" t="s">
        <v>181</v>
      </c>
      <c r="E56" s="57" t="s">
        <v>182</v>
      </c>
      <c r="F56" s="57">
        <f t="shared" si="5"/>
        <v>0</v>
      </c>
      <c r="G56" s="57">
        <v>26.4989</v>
      </c>
      <c r="H56" s="57">
        <v>26.8559</v>
      </c>
      <c r="I56" s="57">
        <v>26.742</v>
      </c>
      <c r="J56" s="33">
        <f t="shared" si="2"/>
        <v>0.357</v>
      </c>
      <c r="K56" s="33">
        <f t="shared" si="3"/>
        <v>0.2431</v>
      </c>
    </row>
    <row r="57">
      <c r="A57" s="70">
        <v>44635.0</v>
      </c>
      <c r="B57" s="57">
        <v>2020.0</v>
      </c>
      <c r="C57" s="57" t="s">
        <v>177</v>
      </c>
      <c r="D57" s="57" t="s">
        <v>181</v>
      </c>
      <c r="E57" s="57" t="s">
        <v>179</v>
      </c>
      <c r="F57" s="57">
        <f t="shared" si="5"/>
        <v>0</v>
      </c>
      <c r="G57" s="57">
        <v>25.3393</v>
      </c>
      <c r="H57" s="57">
        <v>25.7518</v>
      </c>
      <c r="I57" s="57">
        <v>25.5043</v>
      </c>
      <c r="J57" s="33">
        <f t="shared" si="2"/>
        <v>0.4125</v>
      </c>
      <c r="K57" s="33">
        <f t="shared" si="3"/>
        <v>0.165</v>
      </c>
    </row>
    <row r="58">
      <c r="A58" s="70">
        <v>44631.0</v>
      </c>
      <c r="B58" s="57">
        <v>2331.0</v>
      </c>
      <c r="C58" s="57" t="s">
        <v>177</v>
      </c>
      <c r="D58" s="57" t="s">
        <v>178</v>
      </c>
      <c r="E58" s="57" t="s">
        <v>182</v>
      </c>
      <c r="F58" s="57">
        <f t="shared" si="5"/>
        <v>1</v>
      </c>
      <c r="G58" s="57">
        <v>26.2989</v>
      </c>
      <c r="H58" s="57">
        <v>31.4016</v>
      </c>
      <c r="I58" s="57">
        <v>29.4747</v>
      </c>
      <c r="J58" s="33">
        <f t="shared" si="2"/>
        <v>5.1027</v>
      </c>
      <c r="K58" s="33">
        <f t="shared" si="3"/>
        <v>3.1758</v>
      </c>
    </row>
    <row r="59">
      <c r="A59" s="70">
        <v>44631.0</v>
      </c>
      <c r="B59" s="57">
        <v>2024.0</v>
      </c>
      <c r="C59" s="57" t="s">
        <v>180</v>
      </c>
      <c r="D59" s="57" t="s">
        <v>181</v>
      </c>
      <c r="E59" s="57" t="s">
        <v>182</v>
      </c>
      <c r="F59" s="57">
        <f t="shared" si="5"/>
        <v>0</v>
      </c>
      <c r="G59" s="57">
        <v>26.0165</v>
      </c>
      <c r="H59" s="57">
        <v>35.7132</v>
      </c>
      <c r="I59" s="57">
        <v>29.5932</v>
      </c>
      <c r="J59" s="33">
        <f t="shared" si="2"/>
        <v>9.6967</v>
      </c>
      <c r="K59" s="33">
        <f t="shared" si="3"/>
        <v>3.5767</v>
      </c>
    </row>
    <row r="60">
      <c r="A60" s="70">
        <v>44628.0</v>
      </c>
      <c r="B60" s="57">
        <v>2352.0</v>
      </c>
      <c r="C60" s="57" t="s">
        <v>180</v>
      </c>
      <c r="D60" s="57" t="s">
        <v>178</v>
      </c>
      <c r="E60" s="57" t="s">
        <v>179</v>
      </c>
      <c r="F60" s="57">
        <f t="shared" si="5"/>
        <v>1</v>
      </c>
      <c r="G60" s="57">
        <v>26.2238</v>
      </c>
      <c r="H60" s="57">
        <v>27.3784</v>
      </c>
      <c r="I60" s="57">
        <v>26.9895</v>
      </c>
      <c r="J60" s="33">
        <f t="shared" si="2"/>
        <v>1.1546</v>
      </c>
      <c r="K60" s="33">
        <f t="shared" si="3"/>
        <v>0.7657</v>
      </c>
    </row>
    <row r="61">
      <c r="A61" s="70">
        <v>44631.0</v>
      </c>
      <c r="B61" s="57">
        <v>2007.0</v>
      </c>
      <c r="C61" s="57" t="s">
        <v>180</v>
      </c>
      <c r="D61" s="57" t="s">
        <v>181</v>
      </c>
      <c r="E61" s="57" t="s">
        <v>182</v>
      </c>
      <c r="F61" s="57">
        <f t="shared" si="5"/>
        <v>0</v>
      </c>
      <c r="G61" s="57">
        <v>26.3613</v>
      </c>
      <c r="H61" s="57">
        <v>36.2161</v>
      </c>
      <c r="I61" s="57">
        <v>30.7647</v>
      </c>
      <c r="J61" s="33">
        <f t="shared" si="2"/>
        <v>9.8548</v>
      </c>
      <c r="K61" s="33">
        <f t="shared" si="3"/>
        <v>4.4034</v>
      </c>
    </row>
    <row r="62">
      <c r="A62" s="70">
        <v>44635.0</v>
      </c>
      <c r="B62" s="57">
        <v>2383.0</v>
      </c>
      <c r="C62" s="57" t="s">
        <v>177</v>
      </c>
      <c r="D62" s="57" t="s">
        <v>181</v>
      </c>
      <c r="E62" s="57" t="s">
        <v>182</v>
      </c>
      <c r="F62" s="57">
        <f t="shared" si="5"/>
        <v>0</v>
      </c>
      <c r="G62" s="57">
        <v>25.7977</v>
      </c>
      <c r="H62" s="57">
        <v>31.5887</v>
      </c>
      <c r="I62" s="57">
        <v>28.133</v>
      </c>
      <c r="J62" s="33">
        <f t="shared" si="2"/>
        <v>5.791</v>
      </c>
      <c r="K62" s="33">
        <f t="shared" si="3"/>
        <v>2.3353</v>
      </c>
    </row>
    <row r="63">
      <c r="A63" s="70">
        <v>44631.0</v>
      </c>
      <c r="B63" s="57">
        <v>2007.0</v>
      </c>
      <c r="C63" s="57" t="s">
        <v>177</v>
      </c>
      <c r="D63" s="57" t="s">
        <v>181</v>
      </c>
      <c r="E63" s="57" t="s">
        <v>179</v>
      </c>
      <c r="F63" s="57">
        <f t="shared" si="5"/>
        <v>0</v>
      </c>
      <c r="G63" s="57">
        <v>26.0844</v>
      </c>
      <c r="H63" s="57">
        <v>27.213</v>
      </c>
      <c r="I63" s="57">
        <v>26.329</v>
      </c>
      <c r="J63" s="33">
        <f t="shared" si="2"/>
        <v>1.1286</v>
      </c>
      <c r="K63" s="33">
        <f t="shared" si="3"/>
        <v>0.2446</v>
      </c>
    </row>
    <row r="64">
      <c r="A64" s="70">
        <v>44628.0</v>
      </c>
      <c r="B64" s="57">
        <v>2377.0</v>
      </c>
      <c r="C64" s="57" t="s">
        <v>180</v>
      </c>
      <c r="D64" s="57" t="s">
        <v>181</v>
      </c>
      <c r="E64" s="57" t="s">
        <v>182</v>
      </c>
      <c r="F64" s="57">
        <f t="shared" si="5"/>
        <v>0</v>
      </c>
      <c r="G64" s="57">
        <v>26.4458</v>
      </c>
      <c r="H64" s="57">
        <v>33.2495</v>
      </c>
      <c r="I64" s="57">
        <v>28.7968</v>
      </c>
      <c r="J64" s="33">
        <f t="shared" si="2"/>
        <v>6.8037</v>
      </c>
      <c r="K64" s="33">
        <f t="shared" si="3"/>
        <v>2.351</v>
      </c>
    </row>
    <row r="65">
      <c r="A65" s="70">
        <v>44635.0</v>
      </c>
      <c r="B65" s="57">
        <v>2024.0</v>
      </c>
      <c r="C65" s="57" t="s">
        <v>177</v>
      </c>
      <c r="D65" s="57" t="s">
        <v>178</v>
      </c>
      <c r="E65" s="57" t="s">
        <v>179</v>
      </c>
      <c r="F65" s="57">
        <f t="shared" si="5"/>
        <v>1</v>
      </c>
      <c r="G65" s="57">
        <v>25.7369</v>
      </c>
      <c r="H65" s="57">
        <v>26.3358</v>
      </c>
      <c r="I65" s="57">
        <v>26.0424</v>
      </c>
      <c r="J65" s="33">
        <f t="shared" si="2"/>
        <v>0.5989</v>
      </c>
      <c r="K65" s="33">
        <f t="shared" si="3"/>
        <v>0.3055</v>
      </c>
    </row>
    <row r="66">
      <c r="A66" s="70">
        <v>44631.0</v>
      </c>
      <c r="B66" s="57">
        <v>2331.0</v>
      </c>
      <c r="C66" s="57" t="s">
        <v>177</v>
      </c>
      <c r="D66" s="57" t="s">
        <v>178</v>
      </c>
      <c r="E66" s="57" t="s">
        <v>179</v>
      </c>
      <c r="F66" s="57">
        <f t="shared" si="5"/>
        <v>1</v>
      </c>
      <c r="G66" s="57">
        <v>26.486</v>
      </c>
      <c r="H66" s="57">
        <v>27.8727</v>
      </c>
      <c r="I66" s="57">
        <v>27.066</v>
      </c>
      <c r="J66" s="33">
        <f t="shared" si="2"/>
        <v>1.3867</v>
      </c>
      <c r="K66" s="33">
        <f t="shared" si="3"/>
        <v>0.58</v>
      </c>
    </row>
    <row r="67">
      <c r="A67" s="70">
        <v>44628.0</v>
      </c>
      <c r="B67" s="57">
        <v>2377.0</v>
      </c>
      <c r="C67" s="57" t="s">
        <v>180</v>
      </c>
      <c r="D67" s="57" t="s">
        <v>178</v>
      </c>
      <c r="E67" s="57" t="s">
        <v>182</v>
      </c>
      <c r="F67" s="57">
        <f t="shared" si="5"/>
        <v>1</v>
      </c>
      <c r="G67" s="57">
        <v>25.9211</v>
      </c>
      <c r="H67" s="57">
        <v>29.3996</v>
      </c>
      <c r="I67" s="57">
        <v>27.7717</v>
      </c>
      <c r="J67" s="33">
        <f t="shared" si="2"/>
        <v>3.4785</v>
      </c>
      <c r="K67" s="33">
        <f t="shared" si="3"/>
        <v>1.8506</v>
      </c>
    </row>
    <row r="68">
      <c r="A68" s="70">
        <v>44631.0</v>
      </c>
      <c r="B68" s="57">
        <v>2093.0</v>
      </c>
      <c r="C68" s="57" t="s">
        <v>180</v>
      </c>
      <c r="D68" s="57" t="s">
        <v>181</v>
      </c>
      <c r="E68" s="57" t="s">
        <v>182</v>
      </c>
      <c r="F68" s="57">
        <f t="shared" si="5"/>
        <v>0</v>
      </c>
      <c r="G68" s="57">
        <v>26.4098</v>
      </c>
      <c r="H68" s="57">
        <v>32.1488</v>
      </c>
      <c r="I68" s="57">
        <v>29.7131</v>
      </c>
      <c r="J68" s="33">
        <f t="shared" si="2"/>
        <v>5.739</v>
      </c>
      <c r="K68" s="33">
        <f t="shared" si="3"/>
        <v>3.3033</v>
      </c>
    </row>
    <row r="69">
      <c r="A69" s="70">
        <v>44631.0</v>
      </c>
      <c r="B69" s="57">
        <v>2005.0</v>
      </c>
      <c r="C69" s="57" t="s">
        <v>177</v>
      </c>
      <c r="D69" s="57" t="s">
        <v>181</v>
      </c>
      <c r="E69" s="57" t="s">
        <v>179</v>
      </c>
      <c r="F69" s="57">
        <f t="shared" si="5"/>
        <v>0</v>
      </c>
      <c r="G69" s="57">
        <v>26.3515</v>
      </c>
      <c r="H69" s="57">
        <v>27.3576</v>
      </c>
      <c r="I69" s="57">
        <v>26.644</v>
      </c>
      <c r="J69" s="33">
        <f t="shared" si="2"/>
        <v>1.0061</v>
      </c>
      <c r="K69" s="33">
        <f t="shared" si="3"/>
        <v>0.2925</v>
      </c>
    </row>
    <row r="70">
      <c r="A70" s="70">
        <v>44631.0</v>
      </c>
      <c r="B70" s="57">
        <v>2006.0</v>
      </c>
      <c r="C70" s="57" t="s">
        <v>180</v>
      </c>
      <c r="D70" s="57" t="s">
        <v>178</v>
      </c>
      <c r="E70" s="57" t="s">
        <v>179</v>
      </c>
      <c r="F70" s="57">
        <f t="shared" si="5"/>
        <v>1</v>
      </c>
      <c r="G70" s="57">
        <v>26.2086</v>
      </c>
      <c r="H70" s="57">
        <v>27.4504</v>
      </c>
      <c r="I70" s="57">
        <v>26.8636</v>
      </c>
      <c r="J70" s="33">
        <f t="shared" si="2"/>
        <v>1.2418</v>
      </c>
      <c r="K70" s="33">
        <f t="shared" si="3"/>
        <v>0.655</v>
      </c>
    </row>
    <row r="71">
      <c r="A71" s="70">
        <v>44631.0</v>
      </c>
      <c r="B71" s="57">
        <v>2007.0</v>
      </c>
      <c r="C71" s="57" t="s">
        <v>177</v>
      </c>
      <c r="D71" s="57" t="s">
        <v>181</v>
      </c>
      <c r="E71" s="57" t="s">
        <v>182</v>
      </c>
      <c r="F71" s="57">
        <f t="shared" si="5"/>
        <v>0</v>
      </c>
      <c r="G71" s="57">
        <v>26.7436</v>
      </c>
      <c r="H71" s="57">
        <v>33.5784</v>
      </c>
      <c r="I71" s="57">
        <v>29.1729</v>
      </c>
      <c r="J71" s="33">
        <f t="shared" si="2"/>
        <v>6.8348</v>
      </c>
      <c r="K71" s="33">
        <f t="shared" si="3"/>
        <v>2.4293</v>
      </c>
    </row>
    <row r="72">
      <c r="A72" s="70">
        <v>44628.0</v>
      </c>
      <c r="B72" s="57">
        <v>2366.0</v>
      </c>
      <c r="C72" s="57" t="s">
        <v>177</v>
      </c>
      <c r="D72" s="57" t="s">
        <v>181</v>
      </c>
      <c r="E72" s="57" t="s">
        <v>179</v>
      </c>
      <c r="F72" s="57">
        <f t="shared" si="5"/>
        <v>0</v>
      </c>
      <c r="G72" s="57">
        <v>26.408</v>
      </c>
      <c r="H72" s="57">
        <v>27.131</v>
      </c>
      <c r="I72" s="57">
        <v>26.6426</v>
      </c>
      <c r="J72" s="33">
        <f t="shared" si="2"/>
        <v>0.723</v>
      </c>
      <c r="K72" s="33">
        <f t="shared" si="3"/>
        <v>0.2346</v>
      </c>
    </row>
    <row r="73">
      <c r="A73" s="70">
        <v>44631.0</v>
      </c>
      <c r="B73" s="57">
        <v>2006.0</v>
      </c>
      <c r="C73" s="57" t="s">
        <v>177</v>
      </c>
      <c r="D73" s="57" t="s">
        <v>181</v>
      </c>
      <c r="E73" s="57" t="s">
        <v>179</v>
      </c>
      <c r="F73" s="57">
        <f t="shared" si="5"/>
        <v>0</v>
      </c>
      <c r="G73" s="57">
        <v>26.8254</v>
      </c>
      <c r="H73" s="57">
        <v>27.3288</v>
      </c>
      <c r="I73" s="57">
        <v>26.9929</v>
      </c>
      <c r="J73" s="33">
        <f t="shared" si="2"/>
        <v>0.5034</v>
      </c>
      <c r="K73" s="33">
        <f t="shared" si="3"/>
        <v>0.1675</v>
      </c>
    </row>
    <row r="74">
      <c r="A74" s="70">
        <v>44635.0</v>
      </c>
      <c r="B74" s="57">
        <v>2089.0</v>
      </c>
      <c r="C74" s="57" t="s">
        <v>177</v>
      </c>
      <c r="D74" s="57" t="s">
        <v>178</v>
      </c>
      <c r="E74" s="57" t="s">
        <v>179</v>
      </c>
      <c r="F74" s="57">
        <v>2.0</v>
      </c>
      <c r="G74" s="57">
        <v>25.9319</v>
      </c>
      <c r="H74" s="57">
        <v>26.9701</v>
      </c>
      <c r="I74" s="57">
        <v>26.5299</v>
      </c>
      <c r="J74" s="33">
        <f t="shared" si="2"/>
        <v>1.0382</v>
      </c>
      <c r="K74" s="33">
        <f t="shared" si="3"/>
        <v>0.598</v>
      </c>
    </row>
    <row r="75">
      <c r="A75" s="70">
        <v>44635.0</v>
      </c>
      <c r="B75" s="57">
        <v>2384.0</v>
      </c>
      <c r="C75" s="57" t="s">
        <v>177</v>
      </c>
      <c r="D75" s="57" t="s">
        <v>181</v>
      </c>
      <c r="E75" s="57" t="s">
        <v>179</v>
      </c>
      <c r="F75" s="57">
        <f t="shared" ref="F75:F90" si="6">if(D75="old",1,0)</f>
        <v>0</v>
      </c>
      <c r="G75" s="57">
        <v>26.164</v>
      </c>
      <c r="H75" s="57">
        <v>26.8352</v>
      </c>
      <c r="I75" s="57">
        <v>26.4191</v>
      </c>
      <c r="J75" s="33">
        <f t="shared" si="2"/>
        <v>0.6712</v>
      </c>
      <c r="K75" s="33">
        <f t="shared" si="3"/>
        <v>0.2551</v>
      </c>
    </row>
    <row r="76">
      <c r="A76" s="70">
        <v>44628.0</v>
      </c>
      <c r="B76" s="57">
        <v>2331.0</v>
      </c>
      <c r="C76" s="57" t="s">
        <v>180</v>
      </c>
      <c r="D76" s="57" t="s">
        <v>181</v>
      </c>
      <c r="E76" s="57" t="s">
        <v>182</v>
      </c>
      <c r="F76" s="57">
        <f t="shared" si="6"/>
        <v>0</v>
      </c>
      <c r="G76" s="57">
        <v>26.1746</v>
      </c>
      <c r="H76" s="57">
        <v>26.0016</v>
      </c>
      <c r="I76" s="57">
        <v>26.2751</v>
      </c>
      <c r="J76" s="33">
        <f t="shared" si="2"/>
        <v>-0.173</v>
      </c>
      <c r="K76" s="33">
        <f t="shared" si="3"/>
        <v>0.1005</v>
      </c>
    </row>
    <row r="77">
      <c r="A77" s="70">
        <v>44631.0</v>
      </c>
      <c r="B77" s="57">
        <v>2005.0</v>
      </c>
      <c r="C77" s="57" t="s">
        <v>177</v>
      </c>
      <c r="D77" s="57" t="s">
        <v>181</v>
      </c>
      <c r="E77" s="57" t="s">
        <v>182</v>
      </c>
      <c r="F77" s="57">
        <f t="shared" si="6"/>
        <v>0</v>
      </c>
      <c r="G77" s="57">
        <v>26.2284</v>
      </c>
      <c r="H77" s="57">
        <v>35.0762</v>
      </c>
      <c r="I77" s="57">
        <v>29.0243</v>
      </c>
      <c r="J77" s="33">
        <f t="shared" si="2"/>
        <v>8.8478</v>
      </c>
      <c r="K77" s="33">
        <f t="shared" si="3"/>
        <v>2.7959</v>
      </c>
    </row>
    <row r="78">
      <c r="A78" s="70">
        <v>44628.0</v>
      </c>
      <c r="B78" s="57">
        <v>2381.0</v>
      </c>
      <c r="C78" s="57" t="s">
        <v>180</v>
      </c>
      <c r="D78" s="57" t="s">
        <v>181</v>
      </c>
      <c r="E78" s="57" t="s">
        <v>182</v>
      </c>
      <c r="F78" s="57">
        <f t="shared" si="6"/>
        <v>0</v>
      </c>
      <c r="G78" s="57">
        <v>26.0106</v>
      </c>
      <c r="H78" s="57">
        <v>37.5514</v>
      </c>
      <c r="I78" s="57">
        <v>30.0872</v>
      </c>
      <c r="J78" s="33">
        <f t="shared" si="2"/>
        <v>11.5408</v>
      </c>
      <c r="K78" s="33">
        <f t="shared" si="3"/>
        <v>4.0766</v>
      </c>
    </row>
    <row r="79">
      <c r="A79" s="70">
        <v>44635.0</v>
      </c>
      <c r="B79" s="57">
        <v>2022.0</v>
      </c>
      <c r="C79" s="57" t="s">
        <v>177</v>
      </c>
      <c r="D79" s="57" t="s">
        <v>178</v>
      </c>
      <c r="E79" s="57" t="s">
        <v>182</v>
      </c>
      <c r="F79" s="57">
        <f t="shared" si="6"/>
        <v>1</v>
      </c>
      <c r="G79" s="57">
        <v>25.3551</v>
      </c>
      <c r="H79" s="57">
        <v>31.1877</v>
      </c>
      <c r="I79" s="57">
        <v>28.5515</v>
      </c>
      <c r="J79" s="33">
        <f t="shared" si="2"/>
        <v>5.8326</v>
      </c>
      <c r="K79" s="33">
        <f t="shared" si="3"/>
        <v>3.1964</v>
      </c>
    </row>
    <row r="80">
      <c r="A80" s="70">
        <v>44635.0</v>
      </c>
      <c r="B80" s="57">
        <v>2093.0</v>
      </c>
      <c r="C80" s="57" t="s">
        <v>177</v>
      </c>
      <c r="D80" s="57" t="s">
        <v>178</v>
      </c>
      <c r="E80" s="57" t="s">
        <v>182</v>
      </c>
      <c r="F80" s="57">
        <f t="shared" si="6"/>
        <v>1</v>
      </c>
      <c r="G80" s="57">
        <v>26.1288</v>
      </c>
      <c r="H80" s="57">
        <v>32.9861</v>
      </c>
      <c r="I80" s="57">
        <v>29.9852</v>
      </c>
      <c r="J80" s="33">
        <f t="shared" si="2"/>
        <v>6.8573</v>
      </c>
      <c r="K80" s="33">
        <f t="shared" si="3"/>
        <v>3.8564</v>
      </c>
    </row>
    <row r="81">
      <c r="A81" s="70">
        <v>44628.0</v>
      </c>
      <c r="B81" s="57">
        <v>2352.0</v>
      </c>
      <c r="C81" s="57" t="s">
        <v>180</v>
      </c>
      <c r="D81" s="57" t="s">
        <v>178</v>
      </c>
      <c r="E81" s="57" t="s">
        <v>182</v>
      </c>
      <c r="F81" s="57">
        <f t="shared" si="6"/>
        <v>1</v>
      </c>
      <c r="G81" s="57">
        <v>26.1602</v>
      </c>
      <c r="H81" s="57">
        <v>29.6292</v>
      </c>
      <c r="I81" s="57">
        <v>28.5896</v>
      </c>
      <c r="J81" s="33">
        <f t="shared" si="2"/>
        <v>3.469</v>
      </c>
      <c r="K81" s="33">
        <f t="shared" si="3"/>
        <v>2.4294</v>
      </c>
    </row>
    <row r="82">
      <c r="A82" s="70">
        <v>44628.0</v>
      </c>
      <c r="B82" s="57">
        <v>2366.0</v>
      </c>
      <c r="C82" s="57" t="s">
        <v>177</v>
      </c>
      <c r="D82" s="57" t="s">
        <v>178</v>
      </c>
      <c r="E82" s="57" t="s">
        <v>179</v>
      </c>
      <c r="F82" s="57">
        <f t="shared" si="6"/>
        <v>1</v>
      </c>
      <c r="G82" s="57">
        <v>25.7031</v>
      </c>
      <c r="H82" s="57">
        <v>32.1357</v>
      </c>
      <c r="I82" s="57">
        <v>29.3333</v>
      </c>
      <c r="J82" s="33">
        <f t="shared" si="2"/>
        <v>6.4326</v>
      </c>
      <c r="K82" s="33">
        <f t="shared" si="3"/>
        <v>3.6302</v>
      </c>
    </row>
    <row r="83">
      <c r="A83" s="70">
        <v>44635.0</v>
      </c>
      <c r="B83" s="57">
        <v>2092.0</v>
      </c>
      <c r="C83" s="57" t="s">
        <v>177</v>
      </c>
      <c r="D83" s="57" t="s">
        <v>181</v>
      </c>
      <c r="E83" s="57" t="s">
        <v>179</v>
      </c>
      <c r="F83" s="57">
        <f t="shared" si="6"/>
        <v>0</v>
      </c>
      <c r="G83" s="57">
        <v>26.6231</v>
      </c>
      <c r="H83" s="57">
        <v>26.7847</v>
      </c>
      <c r="I83" s="57">
        <v>26.9409</v>
      </c>
      <c r="J83" s="33">
        <f t="shared" si="2"/>
        <v>0.1616</v>
      </c>
      <c r="K83" s="33">
        <f t="shared" si="3"/>
        <v>0.3178</v>
      </c>
    </row>
    <row r="84">
      <c r="A84" s="70">
        <v>44628.0</v>
      </c>
      <c r="B84" s="57">
        <v>2382.0</v>
      </c>
      <c r="C84" s="57" t="s">
        <v>177</v>
      </c>
      <c r="D84" s="57" t="s">
        <v>178</v>
      </c>
      <c r="E84" s="57" t="s">
        <v>179</v>
      </c>
      <c r="F84" s="57">
        <f t="shared" si="6"/>
        <v>1</v>
      </c>
      <c r="G84" s="57">
        <v>26.4342</v>
      </c>
      <c r="H84" s="57">
        <v>26.527</v>
      </c>
      <c r="I84" s="57">
        <v>26.4955</v>
      </c>
      <c r="J84" s="33">
        <f t="shared" si="2"/>
        <v>0.0928</v>
      </c>
      <c r="K84" s="33">
        <f t="shared" si="3"/>
        <v>0.0613</v>
      </c>
    </row>
    <row r="85">
      <c r="A85" s="70">
        <v>44635.0</v>
      </c>
      <c r="B85" s="57">
        <v>2091.0</v>
      </c>
      <c r="C85" s="57" t="s">
        <v>177</v>
      </c>
      <c r="D85" s="57" t="s">
        <v>181</v>
      </c>
      <c r="E85" s="57" t="s">
        <v>179</v>
      </c>
      <c r="F85" s="57">
        <f t="shared" si="6"/>
        <v>0</v>
      </c>
      <c r="G85" s="57">
        <v>26.5101</v>
      </c>
      <c r="H85" s="57">
        <v>27.2515</v>
      </c>
      <c r="I85" s="57">
        <v>26.9691</v>
      </c>
      <c r="J85" s="33">
        <f t="shared" si="2"/>
        <v>0.7414</v>
      </c>
      <c r="K85" s="33">
        <f t="shared" si="3"/>
        <v>0.459</v>
      </c>
    </row>
    <row r="86">
      <c r="A86" s="70">
        <v>44635.0</v>
      </c>
      <c r="B86" s="57">
        <v>2023.0</v>
      </c>
      <c r="C86" s="57" t="s">
        <v>177</v>
      </c>
      <c r="D86" s="57" t="s">
        <v>181</v>
      </c>
      <c r="E86" s="57" t="s">
        <v>182</v>
      </c>
      <c r="F86" s="57">
        <f t="shared" si="6"/>
        <v>0</v>
      </c>
      <c r="G86" s="57">
        <v>27.413</v>
      </c>
      <c r="H86" s="57">
        <v>35.0431</v>
      </c>
      <c r="I86" s="57">
        <v>30.7798</v>
      </c>
      <c r="J86" s="33">
        <f t="shared" si="2"/>
        <v>7.6301</v>
      </c>
      <c r="K86" s="33">
        <f t="shared" si="3"/>
        <v>3.3668</v>
      </c>
    </row>
    <row r="87">
      <c r="A87" s="70">
        <v>44635.0</v>
      </c>
      <c r="B87" s="57">
        <v>2352.0</v>
      </c>
      <c r="C87" s="57" t="s">
        <v>177</v>
      </c>
      <c r="D87" s="57" t="s">
        <v>178</v>
      </c>
      <c r="E87" s="57" t="s">
        <v>179</v>
      </c>
      <c r="F87" s="57">
        <f t="shared" si="6"/>
        <v>1</v>
      </c>
      <c r="G87" s="57">
        <v>25.9218</v>
      </c>
      <c r="H87" s="57">
        <v>26.9229</v>
      </c>
      <c r="I87" s="57">
        <v>26.1501</v>
      </c>
      <c r="J87" s="33">
        <f t="shared" si="2"/>
        <v>1.0011</v>
      </c>
      <c r="K87" s="33">
        <f t="shared" si="3"/>
        <v>0.2283</v>
      </c>
    </row>
    <row r="88">
      <c r="A88" s="70">
        <v>44635.0</v>
      </c>
      <c r="B88" s="57">
        <v>2091.0</v>
      </c>
      <c r="C88" s="57" t="s">
        <v>177</v>
      </c>
      <c r="D88" s="57" t="s">
        <v>181</v>
      </c>
      <c r="E88" s="57" t="s">
        <v>182</v>
      </c>
      <c r="F88" s="57">
        <f t="shared" si="6"/>
        <v>0</v>
      </c>
      <c r="G88" s="57">
        <v>26.4714</v>
      </c>
      <c r="H88" s="57">
        <v>32.1862</v>
      </c>
      <c r="I88" s="57">
        <v>29.6765</v>
      </c>
      <c r="J88" s="33">
        <f t="shared" si="2"/>
        <v>5.7148</v>
      </c>
      <c r="K88" s="33">
        <f t="shared" si="3"/>
        <v>3.2051</v>
      </c>
    </row>
    <row r="89">
      <c r="A89" s="70">
        <v>44635.0</v>
      </c>
      <c r="B89" s="57">
        <v>2027.0</v>
      </c>
      <c r="C89" s="57" t="s">
        <v>177</v>
      </c>
      <c r="D89" s="57" t="s">
        <v>181</v>
      </c>
      <c r="E89" s="57" t="s">
        <v>179</v>
      </c>
      <c r="F89" s="57">
        <f t="shared" si="6"/>
        <v>0</v>
      </c>
      <c r="G89" s="57">
        <v>25.9397</v>
      </c>
      <c r="H89" s="57">
        <v>26.5212</v>
      </c>
      <c r="I89" s="57">
        <v>26.1069</v>
      </c>
      <c r="J89" s="33">
        <f t="shared" si="2"/>
        <v>0.5815</v>
      </c>
      <c r="K89" s="33">
        <f t="shared" si="3"/>
        <v>0.1672</v>
      </c>
    </row>
    <row r="90">
      <c r="A90" s="70">
        <v>44628.0</v>
      </c>
      <c r="B90" s="57">
        <v>2366.0</v>
      </c>
      <c r="C90" s="57" t="s">
        <v>177</v>
      </c>
      <c r="D90" s="57" t="s">
        <v>178</v>
      </c>
      <c r="E90" s="57" t="s">
        <v>182</v>
      </c>
      <c r="F90" s="57">
        <f t="shared" si="6"/>
        <v>1</v>
      </c>
      <c r="G90" s="57">
        <v>26.1558</v>
      </c>
      <c r="H90" s="57">
        <v>29.6391</v>
      </c>
      <c r="I90" s="57">
        <v>27.4731</v>
      </c>
      <c r="J90" s="33">
        <f t="shared" si="2"/>
        <v>3.4833</v>
      </c>
      <c r="K90" s="33">
        <f t="shared" si="3"/>
        <v>1.3173</v>
      </c>
    </row>
    <row r="91">
      <c r="A91" s="70">
        <v>44635.0</v>
      </c>
      <c r="B91" s="57">
        <v>2091.0</v>
      </c>
      <c r="C91" s="57" t="s">
        <v>177</v>
      </c>
      <c r="D91" s="57" t="s">
        <v>178</v>
      </c>
      <c r="E91" s="57" t="s">
        <v>182</v>
      </c>
      <c r="F91" s="57">
        <v>2.0</v>
      </c>
      <c r="G91" s="57">
        <v>25.7902</v>
      </c>
      <c r="H91" s="57">
        <v>29.6036</v>
      </c>
      <c r="I91" s="57">
        <v>27.7467</v>
      </c>
      <c r="J91" s="33">
        <f t="shared" si="2"/>
        <v>3.8134</v>
      </c>
      <c r="K91" s="33">
        <f t="shared" si="3"/>
        <v>1.9565</v>
      </c>
    </row>
    <row r="92">
      <c r="A92" s="70">
        <v>44635.0</v>
      </c>
      <c r="B92" s="57">
        <v>2352.0</v>
      </c>
      <c r="C92" s="57" t="s">
        <v>177</v>
      </c>
      <c r="D92" s="57" t="s">
        <v>181</v>
      </c>
      <c r="E92" s="57" t="s">
        <v>182</v>
      </c>
      <c r="F92" s="57">
        <f t="shared" ref="F92:F102" si="7">if(D92="old",1,0)</f>
        <v>0</v>
      </c>
      <c r="G92" s="57">
        <v>26.3541</v>
      </c>
      <c r="H92" s="57">
        <v>35.9124</v>
      </c>
      <c r="I92" s="57">
        <v>30.0931</v>
      </c>
      <c r="J92" s="33">
        <f t="shared" si="2"/>
        <v>9.5583</v>
      </c>
      <c r="K92" s="33">
        <f t="shared" si="3"/>
        <v>3.739</v>
      </c>
    </row>
    <row r="93">
      <c r="A93" s="70">
        <v>44635.0</v>
      </c>
      <c r="B93" s="57">
        <v>2383.0</v>
      </c>
      <c r="C93" s="57" t="s">
        <v>177</v>
      </c>
      <c r="D93" s="57" t="s">
        <v>181</v>
      </c>
      <c r="E93" s="57" t="s">
        <v>179</v>
      </c>
      <c r="F93" s="57">
        <f t="shared" si="7"/>
        <v>0</v>
      </c>
      <c r="G93" s="57">
        <v>25.8591</v>
      </c>
      <c r="H93" s="57">
        <v>26.5711</v>
      </c>
      <c r="I93" s="57">
        <v>25.9969</v>
      </c>
      <c r="J93" s="33">
        <f t="shared" si="2"/>
        <v>0.712</v>
      </c>
      <c r="K93" s="33">
        <f t="shared" si="3"/>
        <v>0.1378</v>
      </c>
    </row>
    <row r="94">
      <c r="A94" s="70">
        <v>44628.0</v>
      </c>
      <c r="B94" s="57">
        <v>2331.0</v>
      </c>
      <c r="C94" s="57" t="s">
        <v>180</v>
      </c>
      <c r="D94" s="57" t="s">
        <v>178</v>
      </c>
      <c r="E94" s="57" t="s">
        <v>182</v>
      </c>
      <c r="F94" s="57">
        <f t="shared" si="7"/>
        <v>1</v>
      </c>
      <c r="G94" s="57">
        <v>26.3554</v>
      </c>
      <c r="H94" s="57">
        <v>35.3283</v>
      </c>
      <c r="I94" s="57">
        <v>31.336</v>
      </c>
      <c r="J94" s="33">
        <f t="shared" si="2"/>
        <v>8.9729</v>
      </c>
      <c r="K94" s="33">
        <f t="shared" si="3"/>
        <v>4.9806</v>
      </c>
    </row>
    <row r="95">
      <c r="A95" s="70">
        <v>44631.0</v>
      </c>
      <c r="B95" s="57">
        <v>2331.0</v>
      </c>
      <c r="C95" s="57" t="s">
        <v>177</v>
      </c>
      <c r="D95" s="57" t="s">
        <v>181</v>
      </c>
      <c r="E95" s="57" t="s">
        <v>179</v>
      </c>
      <c r="F95" s="57">
        <f t="shared" si="7"/>
        <v>0</v>
      </c>
      <c r="G95" s="57">
        <v>26.1562</v>
      </c>
      <c r="H95" s="57">
        <v>26.5737</v>
      </c>
      <c r="I95" s="57">
        <v>26.1754</v>
      </c>
      <c r="J95" s="33">
        <f t="shared" si="2"/>
        <v>0.4175</v>
      </c>
      <c r="K95" s="33">
        <f t="shared" si="3"/>
        <v>0.0192</v>
      </c>
    </row>
    <row r="96">
      <c r="A96" s="70">
        <v>44635.0</v>
      </c>
      <c r="B96" s="57">
        <v>2089.0</v>
      </c>
      <c r="C96" s="57" t="s">
        <v>177</v>
      </c>
      <c r="D96" s="57" t="s">
        <v>181</v>
      </c>
      <c r="E96" s="57" t="s">
        <v>182</v>
      </c>
      <c r="F96" s="57">
        <f t="shared" si="7"/>
        <v>0</v>
      </c>
      <c r="G96" s="57">
        <v>26.2279</v>
      </c>
      <c r="H96" s="57">
        <v>33.0132</v>
      </c>
      <c r="I96" s="57">
        <v>29.9753</v>
      </c>
      <c r="J96" s="33">
        <f t="shared" si="2"/>
        <v>6.7853</v>
      </c>
      <c r="K96" s="33">
        <f t="shared" si="3"/>
        <v>3.7474</v>
      </c>
    </row>
    <row r="97">
      <c r="A97" s="70">
        <v>44628.0</v>
      </c>
      <c r="B97" s="57">
        <v>2007.0</v>
      </c>
      <c r="C97" s="57" t="s">
        <v>180</v>
      </c>
      <c r="D97" s="57" t="s">
        <v>181</v>
      </c>
      <c r="E97" s="57" t="s">
        <v>182</v>
      </c>
      <c r="F97" s="57">
        <f t="shared" si="7"/>
        <v>0</v>
      </c>
      <c r="G97" s="57">
        <v>26.1478</v>
      </c>
      <c r="H97" s="57">
        <v>34.9278</v>
      </c>
      <c r="I97" s="57">
        <v>29.7047</v>
      </c>
      <c r="J97" s="33">
        <f t="shared" si="2"/>
        <v>8.78</v>
      </c>
      <c r="K97" s="33">
        <f t="shared" si="3"/>
        <v>3.5569</v>
      </c>
    </row>
    <row r="98">
      <c r="A98" s="70">
        <v>44635.0</v>
      </c>
      <c r="B98" s="57">
        <v>2025.0</v>
      </c>
      <c r="C98" s="57" t="s">
        <v>177</v>
      </c>
      <c r="D98" s="57" t="s">
        <v>181</v>
      </c>
      <c r="E98" s="57" t="s">
        <v>182</v>
      </c>
      <c r="F98" s="57">
        <f t="shared" si="7"/>
        <v>0</v>
      </c>
      <c r="G98" s="57">
        <v>25.8938</v>
      </c>
      <c r="H98" s="57">
        <v>36.029</v>
      </c>
      <c r="I98" s="57">
        <v>30.113</v>
      </c>
      <c r="J98" s="33">
        <f t="shared" si="2"/>
        <v>10.1352</v>
      </c>
      <c r="K98" s="33">
        <f t="shared" si="3"/>
        <v>4.2192</v>
      </c>
    </row>
    <row r="99">
      <c r="A99" s="70">
        <v>44631.0</v>
      </c>
      <c r="B99" s="57">
        <v>2004.0</v>
      </c>
      <c r="C99" s="57" t="s">
        <v>180</v>
      </c>
      <c r="D99" s="57" t="s">
        <v>178</v>
      </c>
      <c r="E99" s="57" t="s">
        <v>179</v>
      </c>
      <c r="F99" s="57">
        <f t="shared" si="7"/>
        <v>1</v>
      </c>
      <c r="G99" s="57">
        <v>26.75</v>
      </c>
      <c r="H99" s="57">
        <v>28.7673</v>
      </c>
      <c r="I99" s="57">
        <v>27.5807</v>
      </c>
      <c r="J99" s="33">
        <f t="shared" si="2"/>
        <v>2.0173</v>
      </c>
      <c r="K99" s="33">
        <f t="shared" si="3"/>
        <v>0.8307</v>
      </c>
    </row>
    <row r="100">
      <c r="A100" s="70">
        <v>44635.0</v>
      </c>
      <c r="B100" s="57">
        <v>2384.0</v>
      </c>
      <c r="C100" s="57" t="s">
        <v>177</v>
      </c>
      <c r="D100" s="57" t="s">
        <v>181</v>
      </c>
      <c r="E100" s="57" t="s">
        <v>182</v>
      </c>
      <c r="F100" s="57">
        <f t="shared" si="7"/>
        <v>0</v>
      </c>
      <c r="G100" s="57">
        <v>26.3815</v>
      </c>
      <c r="H100" s="57">
        <v>34.6002</v>
      </c>
      <c r="I100" s="57">
        <v>29.4323</v>
      </c>
      <c r="J100" s="33">
        <f t="shared" si="2"/>
        <v>8.2187</v>
      </c>
      <c r="K100" s="33">
        <f t="shared" si="3"/>
        <v>3.0508</v>
      </c>
    </row>
    <row r="101">
      <c r="A101" s="70">
        <v>44635.0</v>
      </c>
      <c r="B101" s="57">
        <v>2020.0</v>
      </c>
      <c r="C101" s="57" t="s">
        <v>177</v>
      </c>
      <c r="D101" s="57" t="s">
        <v>181</v>
      </c>
      <c r="E101" s="57" t="s">
        <v>182</v>
      </c>
      <c r="F101" s="57">
        <f t="shared" si="7"/>
        <v>0</v>
      </c>
      <c r="G101" s="57">
        <v>26.0328</v>
      </c>
      <c r="H101" s="57">
        <v>33.4774</v>
      </c>
      <c r="I101" s="57">
        <v>29.1698</v>
      </c>
      <c r="J101" s="33">
        <f t="shared" si="2"/>
        <v>7.4446</v>
      </c>
      <c r="K101" s="33">
        <f t="shared" si="3"/>
        <v>3.137</v>
      </c>
    </row>
    <row r="102">
      <c r="A102" s="70">
        <v>44628.0</v>
      </c>
      <c r="B102" s="57">
        <v>2384.0</v>
      </c>
      <c r="C102" s="57" t="s">
        <v>177</v>
      </c>
      <c r="D102" s="57" t="s">
        <v>178</v>
      </c>
      <c r="E102" s="57" t="s">
        <v>179</v>
      </c>
      <c r="F102" s="57">
        <f t="shared" si="7"/>
        <v>1</v>
      </c>
      <c r="G102" s="57">
        <v>26.5323</v>
      </c>
      <c r="H102" s="57">
        <v>31.9689</v>
      </c>
      <c r="I102" s="57">
        <v>29.6867</v>
      </c>
      <c r="J102" s="33">
        <f t="shared" si="2"/>
        <v>5.4366</v>
      </c>
      <c r="K102" s="33">
        <f t="shared" si="3"/>
        <v>3.1544</v>
      </c>
    </row>
    <row r="103">
      <c r="A103" s="70">
        <v>44635.0</v>
      </c>
      <c r="B103" s="57">
        <v>2089.0</v>
      </c>
      <c r="C103" s="57" t="s">
        <v>177</v>
      </c>
      <c r="D103" s="57" t="s">
        <v>178</v>
      </c>
      <c r="E103" s="57" t="s">
        <v>182</v>
      </c>
      <c r="F103" s="57">
        <v>2.0</v>
      </c>
      <c r="G103" s="57">
        <v>26.6758</v>
      </c>
      <c r="H103" s="57">
        <v>28.5837</v>
      </c>
      <c r="I103" s="57">
        <v>28.0109</v>
      </c>
      <c r="J103" s="33">
        <f t="shared" si="2"/>
        <v>1.9079</v>
      </c>
      <c r="K103" s="33">
        <f t="shared" si="3"/>
        <v>1.3351</v>
      </c>
    </row>
    <row r="104">
      <c r="A104" s="70">
        <v>44635.0</v>
      </c>
      <c r="B104" s="57">
        <v>2382.0</v>
      </c>
      <c r="C104" s="57" t="s">
        <v>177</v>
      </c>
      <c r="D104" s="57" t="s">
        <v>181</v>
      </c>
      <c r="E104" s="57" t="s">
        <v>182</v>
      </c>
      <c r="F104" s="57">
        <f t="shared" ref="F104:F124" si="8">if(D104="old",1,0)</f>
        <v>0</v>
      </c>
      <c r="G104" s="57">
        <v>26.0049</v>
      </c>
      <c r="H104" s="57">
        <v>32.1601</v>
      </c>
      <c r="I104" s="57">
        <v>28.4612</v>
      </c>
      <c r="J104" s="33">
        <f t="shared" si="2"/>
        <v>6.1552</v>
      </c>
      <c r="K104" s="33">
        <f t="shared" si="3"/>
        <v>2.4563</v>
      </c>
    </row>
    <row r="105">
      <c r="A105" s="70">
        <v>44628.0</v>
      </c>
      <c r="B105" s="57">
        <v>2381.0</v>
      </c>
      <c r="C105" s="57" t="s">
        <v>177</v>
      </c>
      <c r="D105" s="57" t="s">
        <v>181</v>
      </c>
      <c r="E105" s="57" t="s">
        <v>182</v>
      </c>
      <c r="F105" s="57">
        <f t="shared" si="8"/>
        <v>0</v>
      </c>
      <c r="H105" s="57">
        <v>33.6098</v>
      </c>
      <c r="I105" s="57">
        <v>28.4749</v>
      </c>
      <c r="J105" s="33">
        <f t="shared" si="2"/>
        <v>33.6098</v>
      </c>
      <c r="K105" s="33">
        <f t="shared" si="3"/>
        <v>28.4749</v>
      </c>
    </row>
    <row r="106">
      <c r="A106" s="70">
        <v>44635.0</v>
      </c>
      <c r="B106" s="57">
        <v>2024.0</v>
      </c>
      <c r="C106" s="57" t="s">
        <v>177</v>
      </c>
      <c r="D106" s="57" t="s">
        <v>181</v>
      </c>
      <c r="E106" s="57" t="s">
        <v>182</v>
      </c>
      <c r="F106" s="57">
        <f t="shared" si="8"/>
        <v>0</v>
      </c>
      <c r="G106" s="57">
        <v>26.0771</v>
      </c>
      <c r="H106" s="57">
        <v>31.2128</v>
      </c>
      <c r="I106" s="57">
        <v>28.1324</v>
      </c>
      <c r="J106" s="33">
        <f t="shared" si="2"/>
        <v>5.1357</v>
      </c>
      <c r="K106" s="33">
        <f t="shared" si="3"/>
        <v>2.0553</v>
      </c>
    </row>
    <row r="107">
      <c r="A107" s="70">
        <v>44628.0</v>
      </c>
      <c r="B107" s="57">
        <v>2345.0</v>
      </c>
      <c r="C107" s="57" t="s">
        <v>180</v>
      </c>
      <c r="D107" s="57" t="s">
        <v>178</v>
      </c>
      <c r="E107" s="57" t="s">
        <v>179</v>
      </c>
      <c r="F107" s="57">
        <f t="shared" si="8"/>
        <v>1</v>
      </c>
      <c r="G107" s="57">
        <v>26.482</v>
      </c>
      <c r="H107" s="57">
        <v>28.1534</v>
      </c>
      <c r="I107" s="57">
        <v>27.4598</v>
      </c>
      <c r="J107" s="33">
        <f t="shared" si="2"/>
        <v>1.6714</v>
      </c>
      <c r="K107" s="33">
        <f t="shared" si="3"/>
        <v>0.9778</v>
      </c>
    </row>
    <row r="108">
      <c r="A108" s="70">
        <v>44635.0</v>
      </c>
      <c r="B108" s="57">
        <v>2025.0</v>
      </c>
      <c r="C108" s="57" t="s">
        <v>177</v>
      </c>
      <c r="D108" s="57" t="s">
        <v>181</v>
      </c>
      <c r="E108" s="57" t="s">
        <v>179</v>
      </c>
      <c r="F108" s="57">
        <f t="shared" si="8"/>
        <v>0</v>
      </c>
      <c r="G108" s="57">
        <v>26.4062</v>
      </c>
      <c r="H108" s="57">
        <v>27.2374</v>
      </c>
      <c r="I108" s="57">
        <v>26.7243</v>
      </c>
      <c r="J108" s="33">
        <f t="shared" si="2"/>
        <v>0.8312</v>
      </c>
      <c r="K108" s="33">
        <f t="shared" si="3"/>
        <v>0.3181</v>
      </c>
    </row>
    <row r="109">
      <c r="A109" s="70">
        <v>44628.0</v>
      </c>
      <c r="B109" s="57">
        <v>2384.0</v>
      </c>
      <c r="C109" s="57" t="s">
        <v>177</v>
      </c>
      <c r="D109" s="57" t="s">
        <v>181</v>
      </c>
      <c r="E109" s="57" t="s">
        <v>179</v>
      </c>
      <c r="F109" s="57">
        <f t="shared" si="8"/>
        <v>0</v>
      </c>
      <c r="G109" s="57">
        <v>26.2965</v>
      </c>
      <c r="H109" s="57">
        <v>26.8908</v>
      </c>
      <c r="I109" s="57">
        <v>26.4628</v>
      </c>
      <c r="J109" s="33">
        <f t="shared" si="2"/>
        <v>0.5943</v>
      </c>
      <c r="K109" s="33">
        <f t="shared" si="3"/>
        <v>0.1663</v>
      </c>
    </row>
    <row r="110">
      <c r="A110" s="70">
        <v>44628.0</v>
      </c>
      <c r="B110" s="57">
        <v>2331.0</v>
      </c>
      <c r="C110" s="57" t="s">
        <v>180</v>
      </c>
      <c r="D110" s="57" t="s">
        <v>178</v>
      </c>
      <c r="E110" s="57" t="s">
        <v>182</v>
      </c>
      <c r="F110" s="57">
        <f t="shared" si="8"/>
        <v>1</v>
      </c>
      <c r="G110" s="57">
        <v>25.861</v>
      </c>
      <c r="H110" s="57">
        <v>37.3412</v>
      </c>
      <c r="I110" s="57">
        <v>32.2502</v>
      </c>
      <c r="J110" s="33">
        <f t="shared" si="2"/>
        <v>11.4802</v>
      </c>
      <c r="K110" s="33">
        <f t="shared" si="3"/>
        <v>6.3892</v>
      </c>
    </row>
    <row r="111">
      <c r="A111" s="70">
        <v>44635.0</v>
      </c>
      <c r="B111" s="57">
        <v>2027.0</v>
      </c>
      <c r="C111" s="57" t="s">
        <v>177</v>
      </c>
      <c r="D111" s="57" t="s">
        <v>181</v>
      </c>
      <c r="E111" s="57" t="s">
        <v>182</v>
      </c>
      <c r="F111" s="57">
        <f t="shared" si="8"/>
        <v>0</v>
      </c>
      <c r="G111" s="57">
        <v>26.5188</v>
      </c>
      <c r="H111" s="57">
        <v>34.1571</v>
      </c>
      <c r="I111" s="57">
        <v>29.8981</v>
      </c>
      <c r="J111" s="33">
        <f t="shared" si="2"/>
        <v>7.6383</v>
      </c>
      <c r="K111" s="33">
        <f t="shared" si="3"/>
        <v>3.3793</v>
      </c>
    </row>
    <row r="112">
      <c r="A112" s="70">
        <v>44635.0</v>
      </c>
      <c r="B112" s="57">
        <v>2382.0</v>
      </c>
      <c r="C112" s="57" t="s">
        <v>177</v>
      </c>
      <c r="D112" s="57" t="s">
        <v>178</v>
      </c>
      <c r="E112" s="57" t="s">
        <v>179</v>
      </c>
      <c r="F112" s="57">
        <f t="shared" si="8"/>
        <v>1</v>
      </c>
      <c r="G112" s="57">
        <v>26.3395</v>
      </c>
      <c r="H112" s="57">
        <v>27.2141</v>
      </c>
      <c r="I112" s="57">
        <v>26.9061</v>
      </c>
      <c r="J112" s="33">
        <f t="shared" si="2"/>
        <v>0.8746</v>
      </c>
      <c r="K112" s="33">
        <f t="shared" si="3"/>
        <v>0.5666</v>
      </c>
    </row>
    <row r="113">
      <c r="A113" s="70">
        <v>44635.0</v>
      </c>
      <c r="B113" s="57">
        <v>2093.0</v>
      </c>
      <c r="C113" s="57" t="s">
        <v>177</v>
      </c>
      <c r="D113" s="57" t="s">
        <v>178</v>
      </c>
      <c r="E113" s="57" t="s">
        <v>179</v>
      </c>
      <c r="F113" s="57">
        <f t="shared" si="8"/>
        <v>1</v>
      </c>
      <c r="G113" s="57">
        <v>26.424</v>
      </c>
      <c r="H113" s="57">
        <v>27.6303</v>
      </c>
      <c r="I113" s="57">
        <v>27.1354</v>
      </c>
      <c r="J113" s="33">
        <f t="shared" si="2"/>
        <v>1.2063</v>
      </c>
      <c r="K113" s="33">
        <f t="shared" si="3"/>
        <v>0.7114</v>
      </c>
    </row>
    <row r="114">
      <c r="A114" s="70">
        <v>44628.0</v>
      </c>
      <c r="B114" s="57">
        <v>2376.0</v>
      </c>
      <c r="C114" s="57" t="s">
        <v>180</v>
      </c>
      <c r="D114" s="57" t="s">
        <v>178</v>
      </c>
      <c r="E114" s="57" t="s">
        <v>179</v>
      </c>
      <c r="F114" s="57">
        <f t="shared" si="8"/>
        <v>1</v>
      </c>
      <c r="G114" s="57">
        <v>26.0469</v>
      </c>
      <c r="H114" s="57">
        <v>27.1779</v>
      </c>
      <c r="I114" s="57">
        <v>26.6832</v>
      </c>
      <c r="J114" s="33">
        <f t="shared" si="2"/>
        <v>1.131</v>
      </c>
      <c r="K114" s="33">
        <f t="shared" si="3"/>
        <v>0.6363</v>
      </c>
    </row>
    <row r="115">
      <c r="A115" s="70">
        <v>44635.0</v>
      </c>
      <c r="B115" s="57">
        <v>2089.0</v>
      </c>
      <c r="D115" s="57" t="s">
        <v>181</v>
      </c>
      <c r="E115" s="57" t="s">
        <v>179</v>
      </c>
      <c r="F115" s="57">
        <f t="shared" si="8"/>
        <v>0</v>
      </c>
      <c r="G115" s="57">
        <v>25.7921</v>
      </c>
      <c r="H115" s="57">
        <v>27.1446</v>
      </c>
      <c r="I115" s="57">
        <v>26.5783</v>
      </c>
      <c r="J115" s="33">
        <f t="shared" si="2"/>
        <v>1.3525</v>
      </c>
      <c r="K115" s="33">
        <f t="shared" si="3"/>
        <v>0.7862</v>
      </c>
    </row>
    <row r="116">
      <c r="A116" s="70">
        <v>44635.0</v>
      </c>
      <c r="B116" s="57">
        <v>2021.0</v>
      </c>
      <c r="C116" s="57" t="s">
        <v>177</v>
      </c>
      <c r="D116" s="57" t="s">
        <v>178</v>
      </c>
      <c r="E116" s="57" t="s">
        <v>179</v>
      </c>
      <c r="F116" s="57">
        <f t="shared" si="8"/>
        <v>1</v>
      </c>
      <c r="G116" s="57">
        <v>26.2103</v>
      </c>
      <c r="H116" s="57">
        <v>28.2161</v>
      </c>
      <c r="I116" s="57">
        <v>27.0</v>
      </c>
      <c r="J116" s="33">
        <f t="shared" si="2"/>
        <v>2.0058</v>
      </c>
      <c r="K116" s="33">
        <f t="shared" si="3"/>
        <v>0.7897</v>
      </c>
    </row>
    <row r="117">
      <c r="A117" s="70">
        <v>44635.0</v>
      </c>
      <c r="B117" s="57">
        <v>2093.0</v>
      </c>
      <c r="C117" s="57" t="s">
        <v>177</v>
      </c>
      <c r="D117" s="57" t="s">
        <v>181</v>
      </c>
      <c r="E117" s="57" t="s">
        <v>182</v>
      </c>
      <c r="F117" s="57">
        <f t="shared" si="8"/>
        <v>0</v>
      </c>
      <c r="G117" s="57">
        <v>26.3925</v>
      </c>
      <c r="H117" s="57">
        <v>26.5626</v>
      </c>
      <c r="I117" s="57">
        <v>26.5079</v>
      </c>
      <c r="J117" s="33">
        <f t="shared" si="2"/>
        <v>0.1701</v>
      </c>
      <c r="K117" s="33">
        <f t="shared" si="3"/>
        <v>0.1154</v>
      </c>
    </row>
    <row r="118">
      <c r="A118" s="70">
        <v>44628.0</v>
      </c>
      <c r="B118" s="57">
        <v>2377.0</v>
      </c>
      <c r="C118" s="57" t="s">
        <v>177</v>
      </c>
      <c r="D118" s="57" t="s">
        <v>181</v>
      </c>
      <c r="E118" s="57" t="s">
        <v>182</v>
      </c>
      <c r="F118" s="57">
        <f t="shared" si="8"/>
        <v>0</v>
      </c>
      <c r="G118" s="57">
        <v>25.815</v>
      </c>
      <c r="H118" s="57">
        <v>26.9402</v>
      </c>
      <c r="I118" s="57">
        <v>26.2056</v>
      </c>
      <c r="J118" s="33">
        <f t="shared" si="2"/>
        <v>1.1252</v>
      </c>
      <c r="K118" s="33">
        <f t="shared" si="3"/>
        <v>0.3906</v>
      </c>
    </row>
    <row r="119">
      <c r="A119" s="70">
        <v>44635.0</v>
      </c>
      <c r="B119" s="57">
        <v>2093.0</v>
      </c>
      <c r="C119" s="57" t="s">
        <v>177</v>
      </c>
      <c r="D119" s="57" t="s">
        <v>181</v>
      </c>
      <c r="E119" s="57" t="s">
        <v>179</v>
      </c>
      <c r="F119" s="57">
        <f t="shared" si="8"/>
        <v>0</v>
      </c>
      <c r="G119" s="57">
        <v>25.9173</v>
      </c>
      <c r="H119" s="57">
        <v>25.9051</v>
      </c>
      <c r="I119" s="57">
        <v>25.9288</v>
      </c>
      <c r="J119" s="33">
        <f t="shared" si="2"/>
        <v>-0.0122</v>
      </c>
      <c r="K119" s="33">
        <f t="shared" si="3"/>
        <v>0.0115</v>
      </c>
    </row>
    <row r="120">
      <c r="A120" s="70">
        <v>44628.0</v>
      </c>
      <c r="B120" s="57">
        <v>2345.0</v>
      </c>
      <c r="C120" s="57" t="s">
        <v>177</v>
      </c>
      <c r="D120" s="57" t="s">
        <v>178</v>
      </c>
      <c r="E120" s="57" t="s">
        <v>179</v>
      </c>
      <c r="F120" s="57">
        <f t="shared" si="8"/>
        <v>1</v>
      </c>
      <c r="G120" s="57">
        <v>26.3148</v>
      </c>
      <c r="H120" s="57">
        <v>30.5026</v>
      </c>
      <c r="I120" s="57">
        <v>28.3984</v>
      </c>
      <c r="J120" s="33">
        <f t="shared" si="2"/>
        <v>4.1878</v>
      </c>
      <c r="K120" s="33">
        <f t="shared" si="3"/>
        <v>2.0836</v>
      </c>
    </row>
    <row r="121">
      <c r="A121" s="70">
        <v>44628.0</v>
      </c>
      <c r="B121" s="57">
        <v>2381.0</v>
      </c>
      <c r="C121" s="57" t="s">
        <v>180</v>
      </c>
      <c r="D121" s="57" t="s">
        <v>181</v>
      </c>
      <c r="E121" s="57" t="s">
        <v>179</v>
      </c>
      <c r="F121" s="57">
        <f t="shared" si="8"/>
        <v>0</v>
      </c>
      <c r="G121" s="57">
        <v>25.9375</v>
      </c>
      <c r="H121" s="57">
        <v>27.2907</v>
      </c>
      <c r="I121" s="57">
        <v>26.2772</v>
      </c>
      <c r="J121" s="33">
        <f t="shared" si="2"/>
        <v>1.3532</v>
      </c>
      <c r="K121" s="33">
        <f t="shared" si="3"/>
        <v>0.3397</v>
      </c>
    </row>
    <row r="122">
      <c r="A122" s="70">
        <v>44628.0</v>
      </c>
      <c r="B122" s="57">
        <v>2301.0</v>
      </c>
      <c r="C122" s="57" t="s">
        <v>180</v>
      </c>
      <c r="D122" s="57" t="s">
        <v>178</v>
      </c>
      <c r="E122" s="57" t="s">
        <v>179</v>
      </c>
      <c r="F122" s="57">
        <f t="shared" si="8"/>
        <v>1</v>
      </c>
      <c r="G122" s="57">
        <v>26.3736</v>
      </c>
      <c r="H122" s="57">
        <v>27.8293</v>
      </c>
      <c r="I122" s="57">
        <v>26.98</v>
      </c>
      <c r="J122" s="33">
        <f t="shared" si="2"/>
        <v>1.4557</v>
      </c>
      <c r="K122" s="33">
        <f t="shared" si="3"/>
        <v>0.6064</v>
      </c>
    </row>
    <row r="123">
      <c r="A123" s="70">
        <v>44635.0</v>
      </c>
      <c r="B123" s="57">
        <v>2022.0</v>
      </c>
      <c r="C123" s="57" t="s">
        <v>177</v>
      </c>
      <c r="D123" s="57" t="s">
        <v>181</v>
      </c>
      <c r="E123" s="57" t="s">
        <v>182</v>
      </c>
      <c r="F123" s="57">
        <f t="shared" si="8"/>
        <v>0</v>
      </c>
      <c r="G123" s="57">
        <v>26.5345</v>
      </c>
      <c r="H123" s="57">
        <v>33.6588</v>
      </c>
      <c r="I123" s="57">
        <v>29.7896</v>
      </c>
      <c r="J123" s="33">
        <f t="shared" si="2"/>
        <v>7.1243</v>
      </c>
      <c r="K123" s="33">
        <f t="shared" si="3"/>
        <v>3.2551</v>
      </c>
    </row>
    <row r="124">
      <c r="A124" s="70">
        <v>44628.0</v>
      </c>
      <c r="B124" s="57">
        <v>2377.0</v>
      </c>
      <c r="C124" s="57" t="s">
        <v>177</v>
      </c>
      <c r="D124" s="57" t="s">
        <v>178</v>
      </c>
      <c r="E124" s="57" t="s">
        <v>179</v>
      </c>
      <c r="F124" s="57">
        <f t="shared" si="8"/>
        <v>1</v>
      </c>
      <c r="G124" s="57">
        <v>26.2471</v>
      </c>
      <c r="H124" s="57">
        <v>29.8444</v>
      </c>
      <c r="I124" s="57">
        <v>28.3724</v>
      </c>
      <c r="J124" s="33">
        <f t="shared" si="2"/>
        <v>3.5973</v>
      </c>
      <c r="K124" s="33">
        <f t="shared" si="3"/>
        <v>2.1253</v>
      </c>
    </row>
    <row r="125">
      <c r="A125" s="70">
        <v>44635.0</v>
      </c>
      <c r="B125" s="57">
        <v>2092.0</v>
      </c>
      <c r="C125" s="57" t="s">
        <v>177</v>
      </c>
      <c r="D125" s="57" t="s">
        <v>178</v>
      </c>
      <c r="E125" s="57" t="s">
        <v>182</v>
      </c>
      <c r="F125" s="57">
        <v>2.0</v>
      </c>
      <c r="G125" s="57">
        <v>26.3995</v>
      </c>
      <c r="H125" s="57">
        <v>28.7797</v>
      </c>
      <c r="I125" s="57">
        <v>27.7431</v>
      </c>
      <c r="J125" s="33">
        <f t="shared" si="2"/>
        <v>2.3802</v>
      </c>
      <c r="K125" s="33">
        <f t="shared" si="3"/>
        <v>1.3436</v>
      </c>
    </row>
    <row r="126">
      <c r="A126" s="70">
        <v>44635.0</v>
      </c>
      <c r="B126" s="57">
        <v>2022.0</v>
      </c>
      <c r="C126" s="57" t="s">
        <v>177</v>
      </c>
      <c r="D126" s="57" t="s">
        <v>181</v>
      </c>
      <c r="E126" s="57" t="s">
        <v>179</v>
      </c>
      <c r="F126" s="57">
        <f t="shared" ref="F126:F295" si="9">if(D126="old",1,0)</f>
        <v>0</v>
      </c>
      <c r="G126" s="57">
        <v>25.8468</v>
      </c>
      <c r="H126" s="57">
        <v>26.8838</v>
      </c>
      <c r="I126" s="57">
        <v>26.0413</v>
      </c>
      <c r="J126" s="33">
        <f t="shared" si="2"/>
        <v>1.037</v>
      </c>
      <c r="K126" s="33">
        <f t="shared" si="3"/>
        <v>0.1945</v>
      </c>
    </row>
    <row r="127">
      <c r="A127" s="70">
        <v>44628.0</v>
      </c>
      <c r="B127" s="57">
        <v>2382.0</v>
      </c>
      <c r="C127" s="57" t="s">
        <v>177</v>
      </c>
      <c r="D127" s="57" t="s">
        <v>178</v>
      </c>
      <c r="E127" s="57" t="s">
        <v>182</v>
      </c>
      <c r="F127" s="57">
        <f t="shared" si="9"/>
        <v>1</v>
      </c>
      <c r="G127" s="57">
        <v>25.8928</v>
      </c>
      <c r="H127" s="57">
        <v>34.3957</v>
      </c>
      <c r="I127" s="57">
        <v>28.6951</v>
      </c>
      <c r="J127" s="33">
        <f t="shared" si="2"/>
        <v>8.5029</v>
      </c>
      <c r="K127" s="33">
        <f t="shared" si="3"/>
        <v>2.8023</v>
      </c>
    </row>
    <row r="128">
      <c r="A128" s="70">
        <v>44628.0</v>
      </c>
      <c r="B128" s="57">
        <v>2380.0</v>
      </c>
      <c r="C128" s="57" t="s">
        <v>177</v>
      </c>
      <c r="D128" s="57" t="s">
        <v>178</v>
      </c>
      <c r="E128" s="57" t="s">
        <v>179</v>
      </c>
      <c r="F128" s="57">
        <f t="shared" si="9"/>
        <v>1</v>
      </c>
      <c r="G128" s="57">
        <v>26.1886</v>
      </c>
      <c r="H128" s="57">
        <v>28.5517</v>
      </c>
      <c r="I128" s="57">
        <v>27.5106</v>
      </c>
      <c r="J128" s="33">
        <f t="shared" si="2"/>
        <v>2.3631</v>
      </c>
      <c r="K128" s="33">
        <f t="shared" si="3"/>
        <v>1.322</v>
      </c>
    </row>
    <row r="129">
      <c r="A129" s="70">
        <v>44635.0</v>
      </c>
      <c r="B129" s="57">
        <v>2023.0</v>
      </c>
      <c r="C129" s="57" t="s">
        <v>177</v>
      </c>
      <c r="D129" s="57" t="s">
        <v>178</v>
      </c>
      <c r="E129" s="57" t="s">
        <v>179</v>
      </c>
      <c r="F129" s="57">
        <f t="shared" si="9"/>
        <v>1</v>
      </c>
      <c r="G129" s="57">
        <v>25.899</v>
      </c>
      <c r="H129" s="57">
        <v>26.8049</v>
      </c>
      <c r="I129" s="57">
        <v>26.321</v>
      </c>
      <c r="J129" s="33">
        <f t="shared" si="2"/>
        <v>0.9059</v>
      </c>
      <c r="K129" s="33">
        <f t="shared" si="3"/>
        <v>0.422</v>
      </c>
    </row>
    <row r="130">
      <c r="A130" s="70">
        <v>44635.0</v>
      </c>
      <c r="B130" s="57">
        <v>2323.0</v>
      </c>
      <c r="C130" s="57" t="s">
        <v>177</v>
      </c>
      <c r="D130" s="57" t="s">
        <v>178</v>
      </c>
      <c r="E130" s="57" t="s">
        <v>182</v>
      </c>
      <c r="F130" s="57">
        <f t="shared" si="9"/>
        <v>1</v>
      </c>
      <c r="G130" s="57">
        <v>25.4171</v>
      </c>
      <c r="H130" s="57">
        <v>29.776</v>
      </c>
      <c r="I130" s="57">
        <v>27.8604</v>
      </c>
      <c r="J130" s="33">
        <f t="shared" si="2"/>
        <v>4.3589</v>
      </c>
      <c r="K130" s="33">
        <f t="shared" si="3"/>
        <v>2.4433</v>
      </c>
    </row>
    <row r="131">
      <c r="A131" s="70">
        <v>44631.0</v>
      </c>
      <c r="B131" s="57">
        <v>2023.0</v>
      </c>
      <c r="C131" s="57" t="s">
        <v>180</v>
      </c>
      <c r="D131" s="57" t="s">
        <v>178</v>
      </c>
      <c r="E131" s="57" t="s">
        <v>179</v>
      </c>
      <c r="F131" s="57">
        <f t="shared" si="9"/>
        <v>1</v>
      </c>
      <c r="G131" s="57">
        <v>15.2661</v>
      </c>
      <c r="H131" s="57">
        <v>17.5757</v>
      </c>
      <c r="I131" s="57">
        <v>16.2664</v>
      </c>
      <c r="J131" s="33">
        <f t="shared" si="2"/>
        <v>2.3096</v>
      </c>
      <c r="K131" s="33">
        <f t="shared" si="3"/>
        <v>1.0003</v>
      </c>
    </row>
    <row r="132">
      <c r="A132" s="70">
        <v>44631.0</v>
      </c>
      <c r="B132" s="57">
        <v>2023.0</v>
      </c>
      <c r="C132" s="57" t="s">
        <v>180</v>
      </c>
      <c r="D132" s="57" t="s">
        <v>181</v>
      </c>
      <c r="E132" s="57" t="s">
        <v>179</v>
      </c>
      <c r="F132" s="57">
        <f t="shared" si="9"/>
        <v>0</v>
      </c>
      <c r="G132" s="57">
        <v>15.4284</v>
      </c>
      <c r="H132" s="57">
        <v>16.2882</v>
      </c>
      <c r="I132" s="57">
        <v>15.7615</v>
      </c>
      <c r="J132" s="33">
        <f t="shared" si="2"/>
        <v>0.8598</v>
      </c>
      <c r="K132" s="33">
        <f t="shared" si="3"/>
        <v>0.3331</v>
      </c>
    </row>
    <row r="133">
      <c r="A133" s="70">
        <v>44631.0</v>
      </c>
      <c r="B133" s="57">
        <v>2024.0</v>
      </c>
      <c r="C133" s="57" t="s">
        <v>180</v>
      </c>
      <c r="D133" s="57" t="s">
        <v>178</v>
      </c>
      <c r="E133" s="57" t="s">
        <v>179</v>
      </c>
      <c r="F133" s="57">
        <f t="shared" si="9"/>
        <v>1</v>
      </c>
      <c r="G133" s="57">
        <v>15.8195</v>
      </c>
      <c r="H133" s="57">
        <v>16.585</v>
      </c>
      <c r="I133" s="57">
        <v>16.3862</v>
      </c>
      <c r="J133" s="33">
        <f t="shared" si="2"/>
        <v>0.7655</v>
      </c>
      <c r="K133" s="33">
        <f t="shared" si="3"/>
        <v>0.5667</v>
      </c>
    </row>
    <row r="134">
      <c r="A134" s="70">
        <v>44628.0</v>
      </c>
      <c r="B134" s="57">
        <v>2381.0</v>
      </c>
      <c r="C134" s="57" t="s">
        <v>177</v>
      </c>
      <c r="D134" s="57" t="s">
        <v>181</v>
      </c>
      <c r="E134" s="57" t="s">
        <v>182</v>
      </c>
      <c r="F134" s="57">
        <f t="shared" si="9"/>
        <v>0</v>
      </c>
      <c r="G134" s="57">
        <v>25.9892</v>
      </c>
      <c r="H134" s="57">
        <v>33.6098</v>
      </c>
      <c r="I134" s="57">
        <v>28.4749</v>
      </c>
      <c r="J134" s="33">
        <f t="shared" si="2"/>
        <v>7.6206</v>
      </c>
      <c r="K134" s="33">
        <f t="shared" si="3"/>
        <v>2.4857</v>
      </c>
    </row>
    <row r="135">
      <c r="A135" s="70">
        <v>44631.0</v>
      </c>
      <c r="B135" s="57">
        <v>2389.0</v>
      </c>
      <c r="C135" s="57" t="s">
        <v>180</v>
      </c>
      <c r="D135" s="57" t="s">
        <v>178</v>
      </c>
      <c r="E135" s="57" t="s">
        <v>179</v>
      </c>
      <c r="F135" s="57">
        <f t="shared" si="9"/>
        <v>1</v>
      </c>
      <c r="G135" s="57">
        <v>26.799</v>
      </c>
      <c r="H135" s="57">
        <v>27.7424</v>
      </c>
      <c r="I135" s="57">
        <v>27.4187</v>
      </c>
      <c r="J135" s="33">
        <f t="shared" si="2"/>
        <v>0.9434</v>
      </c>
      <c r="K135" s="33">
        <f t="shared" si="3"/>
        <v>0.6197</v>
      </c>
    </row>
    <row r="136">
      <c r="A136" s="70">
        <v>44631.0</v>
      </c>
      <c r="B136" s="57">
        <v>2379.0</v>
      </c>
      <c r="C136" s="57" t="s">
        <v>177</v>
      </c>
      <c r="D136" s="57" t="s">
        <v>181</v>
      </c>
      <c r="E136" s="57" t="s">
        <v>182</v>
      </c>
      <c r="F136" s="57">
        <f t="shared" si="9"/>
        <v>0</v>
      </c>
      <c r="G136" s="57">
        <v>26.7037</v>
      </c>
      <c r="H136" s="57">
        <v>34.3859</v>
      </c>
      <c r="I136" s="57">
        <v>30.0216</v>
      </c>
      <c r="J136" s="33">
        <f t="shared" si="2"/>
        <v>7.6822</v>
      </c>
      <c r="K136" s="33">
        <f t="shared" si="3"/>
        <v>3.3179</v>
      </c>
    </row>
    <row r="137">
      <c r="A137" s="70">
        <v>44631.0</v>
      </c>
      <c r="B137" s="57">
        <v>2020.0</v>
      </c>
      <c r="C137" s="57" t="s">
        <v>180</v>
      </c>
      <c r="D137" s="57" t="s">
        <v>181</v>
      </c>
      <c r="E137" s="57" t="s">
        <v>182</v>
      </c>
      <c r="F137" s="57">
        <f t="shared" si="9"/>
        <v>0</v>
      </c>
      <c r="G137" s="57">
        <v>25.9189</v>
      </c>
      <c r="H137" s="57">
        <v>39.1155</v>
      </c>
      <c r="I137" s="57">
        <v>31.6403</v>
      </c>
      <c r="J137" s="33">
        <f t="shared" si="2"/>
        <v>13.1966</v>
      </c>
      <c r="K137" s="33">
        <f t="shared" si="3"/>
        <v>5.7214</v>
      </c>
    </row>
    <row r="138">
      <c r="A138" s="70">
        <v>44631.0</v>
      </c>
      <c r="B138" s="57">
        <v>2378.0</v>
      </c>
      <c r="C138" s="57" t="s">
        <v>177</v>
      </c>
      <c r="D138" s="57" t="s">
        <v>181</v>
      </c>
      <c r="E138" s="57" t="s">
        <v>179</v>
      </c>
      <c r="F138" s="57">
        <f t="shared" si="9"/>
        <v>0</v>
      </c>
      <c r="G138" s="57">
        <v>26.0315</v>
      </c>
      <c r="H138" s="57">
        <v>27.2427</v>
      </c>
      <c r="I138" s="57">
        <v>26.3055</v>
      </c>
      <c r="J138" s="33">
        <f t="shared" si="2"/>
        <v>1.2112</v>
      </c>
      <c r="K138" s="33">
        <f t="shared" si="3"/>
        <v>0.274</v>
      </c>
    </row>
    <row r="139">
      <c r="A139" s="70">
        <v>44631.0</v>
      </c>
      <c r="B139" s="57">
        <v>2025.0</v>
      </c>
      <c r="C139" s="57" t="s">
        <v>180</v>
      </c>
      <c r="D139" s="57" t="s">
        <v>178</v>
      </c>
      <c r="E139" s="57" t="s">
        <v>179</v>
      </c>
      <c r="F139" s="57">
        <f t="shared" si="9"/>
        <v>1</v>
      </c>
      <c r="G139" s="57">
        <v>26.3477</v>
      </c>
      <c r="H139" s="57">
        <v>27.3011</v>
      </c>
      <c r="I139" s="57">
        <v>26.8559</v>
      </c>
      <c r="J139" s="33">
        <f t="shared" si="2"/>
        <v>0.9534</v>
      </c>
      <c r="K139" s="33">
        <f t="shared" si="3"/>
        <v>0.5082</v>
      </c>
    </row>
    <row r="140">
      <c r="A140" s="70">
        <v>44631.0</v>
      </c>
      <c r="B140" s="57">
        <v>2383.0</v>
      </c>
      <c r="C140" s="57" t="s">
        <v>177</v>
      </c>
      <c r="D140" s="57" t="s">
        <v>181</v>
      </c>
      <c r="E140" s="57" t="s">
        <v>179</v>
      </c>
      <c r="F140" s="57">
        <f t="shared" si="9"/>
        <v>0</v>
      </c>
      <c r="G140" s="57">
        <v>26.6503</v>
      </c>
      <c r="H140" s="57">
        <v>26.8188</v>
      </c>
      <c r="I140" s="57">
        <v>26.8068</v>
      </c>
      <c r="J140" s="33">
        <f t="shared" si="2"/>
        <v>0.1685</v>
      </c>
      <c r="K140" s="33">
        <f t="shared" si="3"/>
        <v>0.1565</v>
      </c>
    </row>
    <row r="141">
      <c r="A141" s="70">
        <v>44631.0</v>
      </c>
      <c r="B141" s="57">
        <v>2354.0</v>
      </c>
      <c r="C141" s="57" t="s">
        <v>177</v>
      </c>
      <c r="D141" s="57" t="s">
        <v>181</v>
      </c>
      <c r="E141" s="57" t="s">
        <v>179</v>
      </c>
      <c r="F141" s="57">
        <f t="shared" si="9"/>
        <v>0</v>
      </c>
      <c r="G141" s="57">
        <v>25.8248</v>
      </c>
      <c r="H141" s="57">
        <v>26.3744</v>
      </c>
      <c r="I141" s="57">
        <v>25.8735</v>
      </c>
      <c r="J141" s="33">
        <f t="shared" si="2"/>
        <v>0.5496</v>
      </c>
      <c r="K141" s="33">
        <f t="shared" si="3"/>
        <v>0.0487</v>
      </c>
    </row>
    <row r="142">
      <c r="A142" s="70">
        <v>44631.0</v>
      </c>
      <c r="B142" s="57">
        <v>2089.0</v>
      </c>
      <c r="C142" s="57" t="s">
        <v>180</v>
      </c>
      <c r="D142" s="57" t="s">
        <v>181</v>
      </c>
      <c r="E142" s="57" t="s">
        <v>179</v>
      </c>
      <c r="F142" s="57">
        <f t="shared" si="9"/>
        <v>0</v>
      </c>
      <c r="G142" s="57">
        <v>15.1028</v>
      </c>
      <c r="H142" s="57">
        <v>15.7034</v>
      </c>
      <c r="I142" s="57">
        <v>15.4661</v>
      </c>
      <c r="J142" s="33">
        <f t="shared" si="2"/>
        <v>0.6006</v>
      </c>
      <c r="K142" s="33">
        <f t="shared" si="3"/>
        <v>0.3633</v>
      </c>
    </row>
    <row r="143">
      <c r="A143" s="70">
        <v>44631.0</v>
      </c>
      <c r="B143" s="57">
        <v>2020.0</v>
      </c>
      <c r="C143" s="57" t="s">
        <v>180</v>
      </c>
      <c r="D143" s="57" t="s">
        <v>181</v>
      </c>
      <c r="E143" s="57" t="s">
        <v>179</v>
      </c>
      <c r="F143" s="57">
        <f t="shared" si="9"/>
        <v>0</v>
      </c>
      <c r="G143" s="57">
        <v>15.2598</v>
      </c>
      <c r="H143" s="57">
        <v>16.5178</v>
      </c>
      <c r="I143" s="57">
        <v>15.5826</v>
      </c>
      <c r="J143" s="33">
        <f t="shared" si="2"/>
        <v>1.258</v>
      </c>
      <c r="K143" s="33">
        <f t="shared" si="3"/>
        <v>0.3228</v>
      </c>
    </row>
    <row r="144">
      <c r="A144" s="70">
        <v>44628.0</v>
      </c>
      <c r="B144" s="57">
        <v>2331.0</v>
      </c>
      <c r="C144" s="57" t="s">
        <v>180</v>
      </c>
      <c r="D144" s="57" t="s">
        <v>178</v>
      </c>
      <c r="E144" s="57" t="s">
        <v>179</v>
      </c>
      <c r="F144" s="57">
        <f t="shared" si="9"/>
        <v>1</v>
      </c>
      <c r="G144" s="57">
        <v>26.4806</v>
      </c>
      <c r="H144" s="57">
        <v>28.222</v>
      </c>
      <c r="I144" s="57">
        <v>27.5115</v>
      </c>
      <c r="J144" s="33">
        <f t="shared" si="2"/>
        <v>1.7414</v>
      </c>
      <c r="K144" s="33">
        <f t="shared" si="3"/>
        <v>1.0309</v>
      </c>
    </row>
    <row r="145">
      <c r="A145" s="70">
        <v>44631.0</v>
      </c>
      <c r="B145" s="57">
        <v>2004.0</v>
      </c>
      <c r="C145" s="57" t="s">
        <v>180</v>
      </c>
      <c r="D145" s="57" t="s">
        <v>181</v>
      </c>
      <c r="E145" s="57" t="s">
        <v>182</v>
      </c>
      <c r="F145" s="57">
        <f t="shared" si="9"/>
        <v>0</v>
      </c>
      <c r="G145" s="57">
        <v>26.5358</v>
      </c>
      <c r="H145" s="57">
        <v>35.0647</v>
      </c>
      <c r="I145" s="57">
        <v>29.5673</v>
      </c>
      <c r="J145" s="33">
        <f t="shared" si="2"/>
        <v>8.5289</v>
      </c>
      <c r="K145" s="33">
        <f t="shared" si="3"/>
        <v>3.0315</v>
      </c>
    </row>
    <row r="146">
      <c r="A146" s="70">
        <v>44631.0</v>
      </c>
      <c r="B146" s="57">
        <v>2023.0</v>
      </c>
      <c r="C146" s="57" t="s">
        <v>180</v>
      </c>
      <c r="D146" s="57" t="s">
        <v>181</v>
      </c>
      <c r="E146" s="57" t="s">
        <v>182</v>
      </c>
      <c r="F146" s="57">
        <f t="shared" si="9"/>
        <v>0</v>
      </c>
      <c r="G146" s="57">
        <v>26.6805</v>
      </c>
      <c r="H146" s="57">
        <v>32.709</v>
      </c>
      <c r="I146" s="57">
        <v>29.5144</v>
      </c>
      <c r="J146" s="33">
        <f t="shared" si="2"/>
        <v>6.0285</v>
      </c>
      <c r="K146" s="33">
        <f t="shared" si="3"/>
        <v>2.8339</v>
      </c>
    </row>
    <row r="147">
      <c r="A147" s="70">
        <v>44631.0</v>
      </c>
      <c r="B147" s="57">
        <v>2021.0</v>
      </c>
      <c r="C147" s="57" t="s">
        <v>180</v>
      </c>
      <c r="D147" s="57" t="s">
        <v>178</v>
      </c>
      <c r="E147" s="57" t="s">
        <v>179</v>
      </c>
      <c r="F147" s="57">
        <f t="shared" si="9"/>
        <v>1</v>
      </c>
      <c r="G147" s="57">
        <v>25.9519</v>
      </c>
      <c r="H147" s="57">
        <v>29.5548</v>
      </c>
      <c r="I147" s="57">
        <v>27.958</v>
      </c>
      <c r="J147" s="33">
        <f t="shared" si="2"/>
        <v>3.6029</v>
      </c>
      <c r="K147" s="33">
        <f t="shared" si="3"/>
        <v>2.0061</v>
      </c>
    </row>
    <row r="148">
      <c r="A148" s="70">
        <v>44631.0</v>
      </c>
      <c r="B148" s="57">
        <v>2006.0</v>
      </c>
      <c r="C148" s="57" t="s">
        <v>180</v>
      </c>
      <c r="D148" s="57" t="s">
        <v>181</v>
      </c>
      <c r="E148" s="57" t="s">
        <v>182</v>
      </c>
      <c r="F148" s="57">
        <f t="shared" si="9"/>
        <v>0</v>
      </c>
      <c r="G148" s="57">
        <v>26.3033</v>
      </c>
      <c r="H148" s="57">
        <v>34.7691</v>
      </c>
      <c r="I148" s="57">
        <v>29.558</v>
      </c>
      <c r="J148" s="33">
        <f t="shared" si="2"/>
        <v>8.4658</v>
      </c>
      <c r="K148" s="33">
        <f t="shared" si="3"/>
        <v>3.2547</v>
      </c>
    </row>
    <row r="149">
      <c r="A149" s="70">
        <v>44631.0</v>
      </c>
      <c r="B149" s="57">
        <v>2021.0</v>
      </c>
      <c r="C149" s="57" t="s">
        <v>180</v>
      </c>
      <c r="D149" s="57" t="s">
        <v>181</v>
      </c>
      <c r="E149" s="57" t="s">
        <v>179</v>
      </c>
      <c r="F149" s="57">
        <f t="shared" si="9"/>
        <v>0</v>
      </c>
      <c r="G149" s="57">
        <v>25.9761</v>
      </c>
      <c r="H149" s="57">
        <v>27.0595</v>
      </c>
      <c r="I149" s="57">
        <v>26.2569</v>
      </c>
      <c r="J149" s="33">
        <f t="shared" si="2"/>
        <v>1.0834</v>
      </c>
      <c r="K149" s="33">
        <f t="shared" si="3"/>
        <v>0.2808</v>
      </c>
    </row>
    <row r="150">
      <c r="A150" s="70">
        <v>44631.0</v>
      </c>
      <c r="B150" s="57">
        <v>2025.0</v>
      </c>
      <c r="C150" s="57" t="s">
        <v>180</v>
      </c>
      <c r="D150" s="57" t="s">
        <v>181</v>
      </c>
      <c r="E150" s="57" t="s">
        <v>179</v>
      </c>
      <c r="F150" s="57">
        <f t="shared" si="9"/>
        <v>0</v>
      </c>
      <c r="G150" s="57">
        <v>26.3129</v>
      </c>
      <c r="H150" s="57">
        <v>27.673</v>
      </c>
      <c r="I150" s="57">
        <v>26.7929</v>
      </c>
      <c r="J150" s="33">
        <f t="shared" si="2"/>
        <v>1.3601</v>
      </c>
      <c r="K150" s="33">
        <f t="shared" si="3"/>
        <v>0.48</v>
      </c>
    </row>
    <row r="151">
      <c r="A151" s="70">
        <v>44631.0</v>
      </c>
      <c r="B151" s="57">
        <v>2389.0</v>
      </c>
      <c r="C151" s="57" t="s">
        <v>180</v>
      </c>
      <c r="D151" s="57" t="s">
        <v>178</v>
      </c>
      <c r="E151" s="57" t="s">
        <v>182</v>
      </c>
      <c r="F151" s="57">
        <f t="shared" si="9"/>
        <v>1</v>
      </c>
      <c r="G151" s="57">
        <v>26.1107</v>
      </c>
      <c r="H151" s="57">
        <v>31.0779</v>
      </c>
      <c r="I151" s="57">
        <v>28.7104</v>
      </c>
      <c r="J151" s="33">
        <f t="shared" si="2"/>
        <v>4.9672</v>
      </c>
      <c r="K151" s="33">
        <f t="shared" si="3"/>
        <v>2.5997</v>
      </c>
    </row>
    <row r="152">
      <c r="A152" s="70">
        <v>44620.0</v>
      </c>
      <c r="B152" s="57">
        <v>2354.0</v>
      </c>
      <c r="C152" s="57" t="s">
        <v>180</v>
      </c>
      <c r="D152" s="57" t="s">
        <v>183</v>
      </c>
      <c r="E152" s="57" t="s">
        <v>183</v>
      </c>
      <c r="F152" s="57">
        <f t="shared" si="9"/>
        <v>0</v>
      </c>
      <c r="G152" s="57">
        <v>68.2045</v>
      </c>
      <c r="H152" s="57">
        <v>87.7685</v>
      </c>
      <c r="I152" s="57">
        <v>79.5728</v>
      </c>
      <c r="J152" s="33">
        <f t="shared" si="2"/>
        <v>19.564</v>
      </c>
      <c r="K152" s="33">
        <f t="shared" si="3"/>
        <v>11.3683</v>
      </c>
    </row>
    <row r="153">
      <c r="A153" s="70">
        <v>44620.0</v>
      </c>
      <c r="B153" s="57">
        <v>2354.0</v>
      </c>
      <c r="C153" s="57" t="s">
        <v>180</v>
      </c>
      <c r="D153" s="57" t="s">
        <v>183</v>
      </c>
      <c r="E153" s="57" t="s">
        <v>183</v>
      </c>
      <c r="F153" s="57">
        <f t="shared" si="9"/>
        <v>0</v>
      </c>
      <c r="G153" s="57">
        <v>67.4957</v>
      </c>
      <c r="H153" s="57">
        <v>78.39</v>
      </c>
      <c r="I153" s="57">
        <v>73.8748</v>
      </c>
      <c r="J153" s="33">
        <f t="shared" si="2"/>
        <v>10.8943</v>
      </c>
      <c r="K153" s="33">
        <f t="shared" si="3"/>
        <v>6.3791</v>
      </c>
    </row>
    <row r="154">
      <c r="A154" s="70">
        <v>44620.0</v>
      </c>
      <c r="B154" s="57">
        <v>2381.0</v>
      </c>
      <c r="C154" s="57" t="s">
        <v>180</v>
      </c>
      <c r="D154" s="57" t="s">
        <v>183</v>
      </c>
      <c r="E154" s="57" t="s">
        <v>183</v>
      </c>
      <c r="F154" s="57">
        <f t="shared" si="9"/>
        <v>0</v>
      </c>
      <c r="G154" s="57">
        <v>68.277</v>
      </c>
      <c r="H154" s="57">
        <v>77.7112</v>
      </c>
      <c r="I154" s="57">
        <v>73.7552</v>
      </c>
      <c r="J154" s="33">
        <f t="shared" si="2"/>
        <v>9.4342</v>
      </c>
      <c r="K154" s="33">
        <f t="shared" si="3"/>
        <v>5.4782</v>
      </c>
    </row>
    <row r="155">
      <c r="A155" s="70">
        <v>44628.0</v>
      </c>
      <c r="B155" s="57">
        <v>2381.0</v>
      </c>
      <c r="C155" s="57" t="s">
        <v>177</v>
      </c>
      <c r="D155" s="57" t="s">
        <v>178</v>
      </c>
      <c r="E155" s="57" t="s">
        <v>182</v>
      </c>
      <c r="F155" s="57">
        <f t="shared" si="9"/>
        <v>1</v>
      </c>
      <c r="G155" s="57">
        <v>26.2971</v>
      </c>
      <c r="H155" s="57">
        <v>26.8225</v>
      </c>
      <c r="I155" s="57">
        <v>26.4057</v>
      </c>
      <c r="J155" s="33">
        <f t="shared" si="2"/>
        <v>0.5254</v>
      </c>
      <c r="K155" s="33">
        <f t="shared" si="3"/>
        <v>0.1086</v>
      </c>
    </row>
    <row r="156">
      <c r="A156" s="70">
        <v>44620.0</v>
      </c>
      <c r="B156" s="57">
        <v>2301.0</v>
      </c>
      <c r="C156" s="57" t="s">
        <v>180</v>
      </c>
      <c r="D156" s="57" t="s">
        <v>183</v>
      </c>
      <c r="E156" s="57" t="s">
        <v>183</v>
      </c>
      <c r="F156" s="57">
        <f t="shared" si="9"/>
        <v>0</v>
      </c>
      <c r="G156" s="57">
        <v>67.2529</v>
      </c>
      <c r="H156" s="57">
        <v>74.3662</v>
      </c>
      <c r="I156" s="57">
        <v>70.9967</v>
      </c>
      <c r="J156" s="33">
        <f t="shared" si="2"/>
        <v>7.1133</v>
      </c>
      <c r="K156" s="33">
        <f t="shared" si="3"/>
        <v>3.7438</v>
      </c>
    </row>
    <row r="157">
      <c r="A157" s="70">
        <v>44628.0</v>
      </c>
      <c r="B157" s="57">
        <v>2331.0</v>
      </c>
      <c r="C157" s="57" t="s">
        <v>177</v>
      </c>
      <c r="D157" s="57" t="s">
        <v>178</v>
      </c>
      <c r="E157" s="57" t="s">
        <v>182</v>
      </c>
      <c r="F157" s="57">
        <f t="shared" si="9"/>
        <v>1</v>
      </c>
      <c r="G157" s="57">
        <v>67.5125</v>
      </c>
      <c r="H157" s="57">
        <v>74.8453</v>
      </c>
      <c r="I157" s="57">
        <v>71.7638</v>
      </c>
      <c r="J157" s="33">
        <f t="shared" si="2"/>
        <v>7.3328</v>
      </c>
      <c r="K157" s="33">
        <f t="shared" si="3"/>
        <v>4.2513</v>
      </c>
    </row>
    <row r="158">
      <c r="A158" s="70">
        <v>44628.0</v>
      </c>
      <c r="B158" s="57">
        <v>2301.0</v>
      </c>
      <c r="C158" s="57" t="s">
        <v>177</v>
      </c>
      <c r="D158" s="57" t="s">
        <v>178</v>
      </c>
      <c r="E158" s="57" t="s">
        <v>182</v>
      </c>
      <c r="F158" s="57">
        <f t="shared" si="9"/>
        <v>1</v>
      </c>
      <c r="G158" s="57">
        <v>68.0227</v>
      </c>
      <c r="H158" s="57">
        <v>80.4974</v>
      </c>
      <c r="I158" s="57">
        <v>74.9668</v>
      </c>
      <c r="J158" s="33">
        <f t="shared" si="2"/>
        <v>12.4747</v>
      </c>
      <c r="K158" s="33">
        <f t="shared" si="3"/>
        <v>6.9441</v>
      </c>
    </row>
    <row r="159">
      <c r="A159" s="70">
        <v>44628.0</v>
      </c>
      <c r="B159" s="57">
        <v>2301.0</v>
      </c>
      <c r="C159" s="57" t="s">
        <v>177</v>
      </c>
      <c r="D159" s="57" t="s">
        <v>178</v>
      </c>
      <c r="E159" s="57" t="s">
        <v>179</v>
      </c>
      <c r="F159" s="57">
        <f t="shared" si="9"/>
        <v>1</v>
      </c>
      <c r="G159" s="57">
        <v>67.0112</v>
      </c>
      <c r="H159" s="57">
        <v>68.7194</v>
      </c>
      <c r="I159" s="57">
        <v>67.7746</v>
      </c>
      <c r="J159" s="33">
        <f t="shared" si="2"/>
        <v>1.7082</v>
      </c>
      <c r="K159" s="33">
        <f t="shared" si="3"/>
        <v>0.7634</v>
      </c>
    </row>
    <row r="160">
      <c r="A160" s="70">
        <v>44620.0</v>
      </c>
      <c r="B160" s="57">
        <v>3477.0</v>
      </c>
      <c r="C160" s="57" t="s">
        <v>180</v>
      </c>
      <c r="D160" s="57" t="s">
        <v>183</v>
      </c>
      <c r="E160" s="57" t="s">
        <v>183</v>
      </c>
      <c r="F160" s="57">
        <f t="shared" si="9"/>
        <v>0</v>
      </c>
      <c r="G160" s="57">
        <v>68.3792</v>
      </c>
      <c r="H160" s="57">
        <v>82.7717</v>
      </c>
      <c r="I160" s="57">
        <v>76.0849</v>
      </c>
      <c r="J160" s="33">
        <f t="shared" si="2"/>
        <v>14.3925</v>
      </c>
      <c r="K160" s="33">
        <f t="shared" si="3"/>
        <v>7.7057</v>
      </c>
    </row>
    <row r="161">
      <c r="A161" s="70">
        <v>44631.0</v>
      </c>
      <c r="B161" s="57">
        <v>2004.0</v>
      </c>
      <c r="C161" s="57" t="s">
        <v>180</v>
      </c>
      <c r="D161" s="57" t="s">
        <v>178</v>
      </c>
      <c r="E161" s="57" t="s">
        <v>179</v>
      </c>
      <c r="F161" s="57">
        <f t="shared" si="9"/>
        <v>1</v>
      </c>
      <c r="G161" s="57">
        <v>25.8117</v>
      </c>
      <c r="H161" s="57">
        <v>26.4</v>
      </c>
      <c r="I161" s="57">
        <v>25.8941</v>
      </c>
      <c r="J161" s="33">
        <f t="shared" si="2"/>
        <v>0.5883</v>
      </c>
      <c r="K161" s="33">
        <f t="shared" si="3"/>
        <v>0.0824</v>
      </c>
    </row>
    <row r="162">
      <c r="A162" s="70">
        <v>44620.0</v>
      </c>
      <c r="B162" s="57">
        <v>2301.0</v>
      </c>
      <c r="C162" s="57" t="s">
        <v>180</v>
      </c>
      <c r="D162" s="57" t="s">
        <v>183</v>
      </c>
      <c r="E162" s="57" t="s">
        <v>183</v>
      </c>
      <c r="F162" s="57">
        <f t="shared" si="9"/>
        <v>0</v>
      </c>
      <c r="G162" s="57">
        <v>67.1847</v>
      </c>
      <c r="H162" s="57">
        <v>80.2006</v>
      </c>
      <c r="I162" s="57">
        <v>74.3763</v>
      </c>
      <c r="J162" s="33">
        <f t="shared" si="2"/>
        <v>13.0159</v>
      </c>
      <c r="K162" s="33">
        <f t="shared" si="3"/>
        <v>7.1916</v>
      </c>
    </row>
    <row r="163">
      <c r="A163" s="70">
        <v>44620.0</v>
      </c>
      <c r="B163" s="57">
        <v>2331.0</v>
      </c>
      <c r="C163" s="57" t="s">
        <v>180</v>
      </c>
      <c r="D163" s="57" t="s">
        <v>183</v>
      </c>
      <c r="E163" s="57" t="s">
        <v>183</v>
      </c>
      <c r="F163" s="57">
        <f t="shared" si="9"/>
        <v>0</v>
      </c>
      <c r="G163" s="57">
        <v>68.0239</v>
      </c>
      <c r="H163" s="57">
        <v>88.4294</v>
      </c>
      <c r="I163" s="57">
        <v>79.9237</v>
      </c>
      <c r="J163" s="33">
        <f t="shared" si="2"/>
        <v>20.4055</v>
      </c>
      <c r="K163" s="33">
        <f t="shared" si="3"/>
        <v>11.8998</v>
      </c>
    </row>
    <row r="164">
      <c r="A164" s="70">
        <v>44631.0</v>
      </c>
      <c r="B164" s="57">
        <v>2004.0</v>
      </c>
      <c r="C164" s="57" t="s">
        <v>180</v>
      </c>
      <c r="D164" s="57" t="s">
        <v>181</v>
      </c>
      <c r="E164" s="57" t="s">
        <v>179</v>
      </c>
      <c r="F164" s="57">
        <f t="shared" si="9"/>
        <v>0</v>
      </c>
      <c r="G164" s="57">
        <v>15.4471</v>
      </c>
      <c r="H164" s="57">
        <v>16.6254</v>
      </c>
      <c r="I164" s="57">
        <v>15.9725</v>
      </c>
      <c r="J164" s="33">
        <f t="shared" si="2"/>
        <v>1.1783</v>
      </c>
      <c r="K164" s="33">
        <f t="shared" si="3"/>
        <v>0.5254</v>
      </c>
    </row>
    <row r="165">
      <c r="A165" s="70">
        <v>44620.0</v>
      </c>
      <c r="B165" s="57">
        <v>3480.0</v>
      </c>
      <c r="C165" s="57" t="s">
        <v>180</v>
      </c>
      <c r="D165" s="57" t="s">
        <v>183</v>
      </c>
      <c r="E165" s="57" t="s">
        <v>183</v>
      </c>
      <c r="F165" s="57">
        <f t="shared" si="9"/>
        <v>0</v>
      </c>
      <c r="G165" s="57">
        <v>68.4074</v>
      </c>
      <c r="H165" s="57">
        <v>84.4504</v>
      </c>
      <c r="I165" s="57">
        <v>78.542</v>
      </c>
      <c r="J165" s="33">
        <f t="shared" si="2"/>
        <v>16.043</v>
      </c>
      <c r="K165" s="33">
        <f t="shared" si="3"/>
        <v>10.1346</v>
      </c>
    </row>
    <row r="166">
      <c r="A166" s="70">
        <v>44620.0</v>
      </c>
      <c r="B166" s="57">
        <v>2376.0</v>
      </c>
      <c r="C166" s="57" t="s">
        <v>180</v>
      </c>
      <c r="D166" s="57" t="s">
        <v>183</v>
      </c>
      <c r="E166" s="57" t="s">
        <v>183</v>
      </c>
      <c r="F166" s="57">
        <f t="shared" si="9"/>
        <v>0</v>
      </c>
      <c r="G166" s="57">
        <v>68.0014</v>
      </c>
      <c r="H166" s="57">
        <v>89.5439</v>
      </c>
      <c r="I166" s="57">
        <v>80.1409</v>
      </c>
      <c r="J166" s="33">
        <f t="shared" si="2"/>
        <v>21.5425</v>
      </c>
      <c r="K166" s="33">
        <f t="shared" si="3"/>
        <v>12.1395</v>
      </c>
    </row>
    <row r="167">
      <c r="A167" s="70">
        <v>44631.0</v>
      </c>
      <c r="B167" s="57">
        <v>2021.0</v>
      </c>
      <c r="C167" s="57" t="s">
        <v>180</v>
      </c>
      <c r="D167" s="57" t="s">
        <v>181</v>
      </c>
      <c r="E167" s="57" t="s">
        <v>182</v>
      </c>
      <c r="F167" s="57">
        <f t="shared" si="9"/>
        <v>0</v>
      </c>
      <c r="G167" s="57">
        <v>26.2394</v>
      </c>
      <c r="H167" s="57">
        <v>38.0498</v>
      </c>
      <c r="I167" s="57">
        <v>31.5554</v>
      </c>
      <c r="J167" s="33">
        <f t="shared" si="2"/>
        <v>11.8104</v>
      </c>
      <c r="K167" s="33">
        <f t="shared" si="3"/>
        <v>5.316</v>
      </c>
    </row>
    <row r="168">
      <c r="A168" s="70">
        <v>44620.0</v>
      </c>
      <c r="B168" s="57">
        <v>2352.0</v>
      </c>
      <c r="C168" s="57" t="s">
        <v>180</v>
      </c>
      <c r="D168" s="57" t="s">
        <v>183</v>
      </c>
      <c r="E168" s="57" t="s">
        <v>183</v>
      </c>
      <c r="F168" s="57">
        <f t="shared" si="9"/>
        <v>0</v>
      </c>
      <c r="G168" s="57">
        <v>68.4078</v>
      </c>
      <c r="H168" s="57">
        <v>82.6206</v>
      </c>
      <c r="I168" s="57">
        <v>76.6991</v>
      </c>
      <c r="J168" s="33">
        <f t="shared" si="2"/>
        <v>14.2128</v>
      </c>
      <c r="K168" s="33">
        <f t="shared" si="3"/>
        <v>8.2913</v>
      </c>
    </row>
    <row r="169">
      <c r="A169" s="70">
        <v>44631.0</v>
      </c>
      <c r="B169" s="57">
        <v>2004.0</v>
      </c>
      <c r="C169" s="57" t="s">
        <v>180</v>
      </c>
      <c r="D169" s="57" t="s">
        <v>181</v>
      </c>
      <c r="E169" s="57" t="s">
        <v>179</v>
      </c>
      <c r="F169" s="57">
        <f t="shared" si="9"/>
        <v>0</v>
      </c>
      <c r="G169" s="57">
        <v>26.4105</v>
      </c>
      <c r="H169" s="57">
        <v>27.699</v>
      </c>
      <c r="I169" s="57">
        <v>26.8088</v>
      </c>
      <c r="J169" s="33">
        <f t="shared" si="2"/>
        <v>1.2885</v>
      </c>
      <c r="K169" s="33">
        <f t="shared" si="3"/>
        <v>0.3983</v>
      </c>
    </row>
    <row r="170">
      <c r="A170" s="70">
        <v>44620.0</v>
      </c>
      <c r="B170" s="57">
        <v>2331.0</v>
      </c>
      <c r="C170" s="57" t="s">
        <v>177</v>
      </c>
      <c r="D170" s="57" t="s">
        <v>178</v>
      </c>
      <c r="E170" s="57" t="s">
        <v>179</v>
      </c>
      <c r="F170" s="57">
        <f t="shared" si="9"/>
        <v>1</v>
      </c>
      <c r="G170" s="57">
        <v>67.4408</v>
      </c>
      <c r="H170" s="57">
        <v>68.6829</v>
      </c>
      <c r="I170" s="57">
        <v>68.1102</v>
      </c>
      <c r="J170" s="33">
        <f t="shared" si="2"/>
        <v>1.2421</v>
      </c>
      <c r="K170" s="33">
        <f t="shared" si="3"/>
        <v>0.6694</v>
      </c>
    </row>
    <row r="171">
      <c r="A171" s="70">
        <v>44631.0</v>
      </c>
      <c r="B171" s="57">
        <v>2354.0</v>
      </c>
      <c r="C171" s="57" t="s">
        <v>177</v>
      </c>
      <c r="D171" s="57" t="s">
        <v>178</v>
      </c>
      <c r="E171" s="57" t="s">
        <v>182</v>
      </c>
      <c r="F171" s="57">
        <f t="shared" si="9"/>
        <v>1</v>
      </c>
      <c r="G171" s="57">
        <v>25.67</v>
      </c>
      <c r="H171" s="57">
        <v>31.4341</v>
      </c>
      <c r="I171" s="57">
        <v>28.8168</v>
      </c>
      <c r="J171" s="33">
        <f t="shared" si="2"/>
        <v>5.7641</v>
      </c>
      <c r="K171" s="33">
        <f t="shared" si="3"/>
        <v>3.1468</v>
      </c>
    </row>
    <row r="172">
      <c r="A172" s="70">
        <v>44631.0</v>
      </c>
      <c r="B172" s="57">
        <v>2027.0</v>
      </c>
      <c r="C172" s="57" t="s">
        <v>180</v>
      </c>
      <c r="D172" s="57" t="s">
        <v>181</v>
      </c>
      <c r="E172" s="57" t="s">
        <v>182</v>
      </c>
      <c r="F172" s="57">
        <f t="shared" si="9"/>
        <v>0</v>
      </c>
      <c r="G172" s="57">
        <v>26.1045</v>
      </c>
      <c r="H172" s="57">
        <v>37.1388</v>
      </c>
      <c r="I172" s="57">
        <v>31.8112</v>
      </c>
      <c r="J172" s="33">
        <f t="shared" si="2"/>
        <v>11.0343</v>
      </c>
      <c r="K172" s="33">
        <f t="shared" si="3"/>
        <v>5.7067</v>
      </c>
    </row>
    <row r="173">
      <c r="A173" s="70">
        <v>44631.0</v>
      </c>
      <c r="B173" s="57">
        <v>2378.0</v>
      </c>
      <c r="C173" s="57" t="s">
        <v>177</v>
      </c>
      <c r="D173" s="57" t="s">
        <v>181</v>
      </c>
      <c r="E173" s="57" t="s">
        <v>182</v>
      </c>
      <c r="F173" s="57">
        <f t="shared" si="9"/>
        <v>0</v>
      </c>
      <c r="G173" s="57">
        <v>26.8177</v>
      </c>
      <c r="H173" s="57">
        <v>32.4149</v>
      </c>
      <c r="I173" s="57">
        <v>29.0657</v>
      </c>
      <c r="J173" s="33">
        <f t="shared" si="2"/>
        <v>5.5972</v>
      </c>
      <c r="K173" s="33">
        <f t="shared" si="3"/>
        <v>2.248</v>
      </c>
    </row>
    <row r="174">
      <c r="A174" s="70">
        <v>44628.0</v>
      </c>
      <c r="B174" s="57">
        <v>2377.0</v>
      </c>
      <c r="C174" s="57" t="s">
        <v>177</v>
      </c>
      <c r="D174" s="57" t="s">
        <v>178</v>
      </c>
      <c r="E174" s="57" t="s">
        <v>182</v>
      </c>
      <c r="F174" s="57">
        <f t="shared" si="9"/>
        <v>1</v>
      </c>
      <c r="G174" s="57">
        <v>25.7444</v>
      </c>
      <c r="H174" s="57">
        <v>32.3051</v>
      </c>
      <c r="I174" s="57">
        <v>29.3714</v>
      </c>
      <c r="J174" s="33">
        <f t="shared" si="2"/>
        <v>6.5607</v>
      </c>
      <c r="K174" s="33">
        <f t="shared" si="3"/>
        <v>3.627</v>
      </c>
    </row>
    <row r="175">
      <c r="A175" s="70">
        <v>44620.0</v>
      </c>
      <c r="B175" s="57">
        <v>2345.0</v>
      </c>
      <c r="C175" s="57" t="s">
        <v>180</v>
      </c>
      <c r="D175" s="57" t="s">
        <v>183</v>
      </c>
      <c r="E175" s="57" t="s">
        <v>183</v>
      </c>
      <c r="F175" s="57">
        <f t="shared" si="9"/>
        <v>0</v>
      </c>
      <c r="G175" s="57">
        <v>67.8816</v>
      </c>
      <c r="H175" s="57">
        <v>80.4246</v>
      </c>
      <c r="I175" s="57">
        <v>75.0837</v>
      </c>
      <c r="J175" s="33">
        <f t="shared" si="2"/>
        <v>12.543</v>
      </c>
      <c r="K175" s="33">
        <f t="shared" si="3"/>
        <v>7.2021</v>
      </c>
    </row>
    <row r="176">
      <c r="A176" s="70">
        <v>44631.0</v>
      </c>
      <c r="B176" s="57">
        <v>2007.0</v>
      </c>
      <c r="C176" s="57" t="s">
        <v>180</v>
      </c>
      <c r="D176" s="57" t="s">
        <v>181</v>
      </c>
      <c r="E176" s="57" t="s">
        <v>179</v>
      </c>
      <c r="F176" s="57">
        <f t="shared" si="9"/>
        <v>0</v>
      </c>
      <c r="G176" s="57">
        <v>15.1858</v>
      </c>
      <c r="H176" s="57">
        <v>16.1964</v>
      </c>
      <c r="I176" s="57">
        <v>15.5312</v>
      </c>
      <c r="J176" s="33">
        <f t="shared" si="2"/>
        <v>1.0106</v>
      </c>
      <c r="K176" s="33">
        <f t="shared" si="3"/>
        <v>0.3454</v>
      </c>
    </row>
    <row r="177">
      <c r="A177" s="70">
        <v>44628.0</v>
      </c>
      <c r="B177" s="57">
        <v>2331.0</v>
      </c>
      <c r="C177" s="57" t="s">
        <v>177</v>
      </c>
      <c r="D177" s="57" t="s">
        <v>181</v>
      </c>
      <c r="E177" s="57" t="s">
        <v>179</v>
      </c>
      <c r="F177" s="57">
        <f t="shared" si="9"/>
        <v>0</v>
      </c>
      <c r="G177" s="57">
        <v>68.8236</v>
      </c>
      <c r="H177" s="57">
        <v>68.8772</v>
      </c>
      <c r="I177" s="57">
        <v>69.0008</v>
      </c>
      <c r="J177" s="33">
        <f t="shared" si="2"/>
        <v>0.0536</v>
      </c>
      <c r="K177" s="33">
        <f t="shared" si="3"/>
        <v>0.1772</v>
      </c>
    </row>
    <row r="178">
      <c r="A178" s="70">
        <v>44620.0</v>
      </c>
      <c r="B178" s="57">
        <v>2366.0</v>
      </c>
      <c r="C178" s="57" t="s">
        <v>180</v>
      </c>
      <c r="D178" s="57" t="s">
        <v>183</v>
      </c>
      <c r="E178" s="57" t="s">
        <v>183</v>
      </c>
      <c r="F178" s="57">
        <f t="shared" si="9"/>
        <v>0</v>
      </c>
      <c r="G178" s="57">
        <v>67.8021</v>
      </c>
      <c r="H178" s="57">
        <v>79.815</v>
      </c>
      <c r="I178" s="57">
        <v>74.7255</v>
      </c>
      <c r="J178" s="33">
        <f t="shared" si="2"/>
        <v>12.0129</v>
      </c>
      <c r="K178" s="33">
        <f t="shared" si="3"/>
        <v>6.9234</v>
      </c>
    </row>
    <row r="179">
      <c r="A179" s="70">
        <v>44620.0</v>
      </c>
      <c r="B179" s="57">
        <v>2377.0</v>
      </c>
      <c r="C179" s="57" t="s">
        <v>180</v>
      </c>
      <c r="D179" s="57" t="s">
        <v>183</v>
      </c>
      <c r="E179" s="57" t="s">
        <v>183</v>
      </c>
      <c r="F179" s="57">
        <f t="shared" si="9"/>
        <v>0</v>
      </c>
      <c r="G179" s="57">
        <v>67.898</v>
      </c>
      <c r="H179" s="57">
        <v>80.7456</v>
      </c>
      <c r="I179" s="57">
        <v>75.3793</v>
      </c>
      <c r="J179" s="33">
        <f t="shared" si="2"/>
        <v>12.8476</v>
      </c>
      <c r="K179" s="33">
        <f t="shared" si="3"/>
        <v>7.4813</v>
      </c>
    </row>
    <row r="180">
      <c r="A180" s="70">
        <v>44620.0</v>
      </c>
      <c r="B180" s="57">
        <v>2322.0</v>
      </c>
      <c r="C180" s="57" t="s">
        <v>180</v>
      </c>
      <c r="D180" s="57" t="s">
        <v>183</v>
      </c>
      <c r="E180" s="57" t="s">
        <v>183</v>
      </c>
      <c r="F180" s="57">
        <f t="shared" si="9"/>
        <v>0</v>
      </c>
      <c r="G180" s="57">
        <v>67.1409</v>
      </c>
      <c r="H180" s="57">
        <v>79.9347</v>
      </c>
      <c r="I180" s="57">
        <v>68.8353</v>
      </c>
      <c r="J180" s="33">
        <f t="shared" si="2"/>
        <v>12.7938</v>
      </c>
      <c r="K180" s="33">
        <f t="shared" si="3"/>
        <v>1.6944</v>
      </c>
    </row>
    <row r="181">
      <c r="A181" s="70">
        <v>44628.0</v>
      </c>
      <c r="B181" s="57">
        <v>2331.0</v>
      </c>
      <c r="C181" s="57" t="s">
        <v>180</v>
      </c>
      <c r="D181" s="57" t="s">
        <v>181</v>
      </c>
      <c r="E181" s="57" t="s">
        <v>182</v>
      </c>
      <c r="F181" s="57">
        <f t="shared" si="9"/>
        <v>0</v>
      </c>
      <c r="G181" s="57">
        <v>67.9903</v>
      </c>
      <c r="H181" s="57">
        <v>70.8504</v>
      </c>
      <c r="I181" s="57">
        <v>68.835</v>
      </c>
      <c r="J181" s="33">
        <f t="shared" si="2"/>
        <v>2.8601</v>
      </c>
      <c r="K181" s="33">
        <f t="shared" si="3"/>
        <v>0.8447</v>
      </c>
    </row>
    <row r="182">
      <c r="A182" s="70">
        <v>44620.0</v>
      </c>
      <c r="B182" s="57">
        <v>2345.0</v>
      </c>
      <c r="C182" s="57" t="s">
        <v>180</v>
      </c>
      <c r="D182" s="57" t="s">
        <v>183</v>
      </c>
      <c r="E182" s="57" t="s">
        <v>183</v>
      </c>
      <c r="F182" s="57">
        <f t="shared" si="9"/>
        <v>0</v>
      </c>
      <c r="G182" s="57">
        <v>67.9258</v>
      </c>
      <c r="H182" s="57">
        <v>76.5392</v>
      </c>
      <c r="I182" s="57">
        <v>72.583</v>
      </c>
      <c r="J182" s="33">
        <f t="shared" si="2"/>
        <v>8.6134</v>
      </c>
      <c r="K182" s="33">
        <f t="shared" si="3"/>
        <v>4.6572</v>
      </c>
    </row>
    <row r="183">
      <c r="A183" s="70">
        <v>44631.0</v>
      </c>
      <c r="B183" s="57">
        <v>2006.0</v>
      </c>
      <c r="C183" s="57" t="s">
        <v>177</v>
      </c>
      <c r="D183" s="57" t="s">
        <v>181</v>
      </c>
      <c r="E183" s="57" t="s">
        <v>179</v>
      </c>
      <c r="F183" s="57">
        <f t="shared" si="9"/>
        <v>0</v>
      </c>
      <c r="G183" s="57">
        <v>26.8527</v>
      </c>
      <c r="H183" s="57">
        <v>33.307</v>
      </c>
      <c r="I183" s="57">
        <v>28.8581</v>
      </c>
      <c r="J183" s="33">
        <f t="shared" si="2"/>
        <v>6.4543</v>
      </c>
      <c r="K183" s="33">
        <f t="shared" si="3"/>
        <v>2.0054</v>
      </c>
    </row>
    <row r="184">
      <c r="A184" s="70">
        <v>44631.0</v>
      </c>
      <c r="B184" s="57">
        <v>2024.0</v>
      </c>
      <c r="C184" s="57" t="s">
        <v>180</v>
      </c>
      <c r="D184" s="57" t="s">
        <v>181</v>
      </c>
      <c r="E184" s="57" t="s">
        <v>179</v>
      </c>
      <c r="F184" s="57">
        <f t="shared" si="9"/>
        <v>0</v>
      </c>
      <c r="G184" s="57">
        <v>15.8585</v>
      </c>
      <c r="H184" s="57">
        <v>16.7922</v>
      </c>
      <c r="I184" s="57">
        <v>16.1633</v>
      </c>
      <c r="J184" s="33">
        <f t="shared" si="2"/>
        <v>0.9337</v>
      </c>
      <c r="K184" s="33">
        <f t="shared" si="3"/>
        <v>0.3048</v>
      </c>
    </row>
    <row r="185">
      <c r="A185" s="70">
        <v>44631.0</v>
      </c>
      <c r="B185" s="57">
        <v>2093.0</v>
      </c>
      <c r="C185" s="57" t="s">
        <v>180</v>
      </c>
      <c r="D185" s="57" t="s">
        <v>178</v>
      </c>
      <c r="E185" s="57" t="s">
        <v>182</v>
      </c>
      <c r="F185" s="57">
        <f t="shared" si="9"/>
        <v>1</v>
      </c>
      <c r="G185" s="57">
        <v>26.1642</v>
      </c>
      <c r="H185" s="57">
        <v>32.5943</v>
      </c>
      <c r="I185" s="57">
        <v>30.2046</v>
      </c>
      <c r="J185" s="33">
        <f t="shared" si="2"/>
        <v>6.4301</v>
      </c>
      <c r="K185" s="33">
        <f t="shared" si="3"/>
        <v>4.0404</v>
      </c>
    </row>
    <row r="186">
      <c r="A186" s="70">
        <v>44655.0</v>
      </c>
      <c r="B186" s="57">
        <v>2006.0</v>
      </c>
      <c r="C186" s="57" t="s">
        <v>177</v>
      </c>
      <c r="D186" s="57" t="s">
        <v>181</v>
      </c>
      <c r="E186" s="57" t="s">
        <v>182</v>
      </c>
      <c r="F186" s="57">
        <f t="shared" si="9"/>
        <v>0</v>
      </c>
      <c r="G186" s="57">
        <v>26.4567</v>
      </c>
      <c r="H186" s="57">
        <v>35.6789</v>
      </c>
      <c r="I186" s="57">
        <v>30.9273</v>
      </c>
      <c r="J186" s="33">
        <f t="shared" si="2"/>
        <v>9.2222</v>
      </c>
      <c r="K186" s="33">
        <f t="shared" si="3"/>
        <v>4.4706</v>
      </c>
    </row>
    <row r="187">
      <c r="A187" s="70">
        <v>44655.0</v>
      </c>
      <c r="B187" s="57">
        <v>2022.0</v>
      </c>
      <c r="C187" s="57" t="s">
        <v>177</v>
      </c>
      <c r="D187" s="57" t="s">
        <v>181</v>
      </c>
      <c r="E187" s="57" t="s">
        <v>179</v>
      </c>
      <c r="F187" s="57">
        <f t="shared" si="9"/>
        <v>0</v>
      </c>
      <c r="G187" s="57">
        <v>26.4226</v>
      </c>
      <c r="H187" s="57">
        <v>27.1654</v>
      </c>
      <c r="I187" s="57">
        <v>26.5596</v>
      </c>
      <c r="J187" s="33">
        <f t="shared" si="2"/>
        <v>0.7428</v>
      </c>
      <c r="K187" s="33">
        <f t="shared" si="3"/>
        <v>0.137</v>
      </c>
    </row>
    <row r="188">
      <c r="A188" s="70">
        <v>44650.0</v>
      </c>
      <c r="B188" s="57">
        <v>2301.0</v>
      </c>
      <c r="C188" s="57" t="s">
        <v>177</v>
      </c>
      <c r="D188" s="57" t="s">
        <v>178</v>
      </c>
      <c r="E188" s="57" t="s">
        <v>182</v>
      </c>
      <c r="F188" s="57">
        <f t="shared" si="9"/>
        <v>1</v>
      </c>
      <c r="G188" s="57">
        <v>26.1807</v>
      </c>
      <c r="H188" s="57">
        <v>32.3827</v>
      </c>
      <c r="I188" s="57">
        <v>29.6658</v>
      </c>
      <c r="J188" s="33">
        <f t="shared" si="2"/>
        <v>6.202</v>
      </c>
      <c r="K188" s="33">
        <f t="shared" si="3"/>
        <v>3.4851</v>
      </c>
    </row>
    <row r="189">
      <c r="A189" s="70">
        <v>44655.0</v>
      </c>
      <c r="B189" s="57">
        <v>2023.0</v>
      </c>
      <c r="C189" s="57" t="s">
        <v>177</v>
      </c>
      <c r="D189" s="57" t="s">
        <v>178</v>
      </c>
      <c r="E189" s="57" t="s">
        <v>182</v>
      </c>
      <c r="F189" s="57">
        <f t="shared" si="9"/>
        <v>1</v>
      </c>
      <c r="G189" s="57">
        <v>26.3237</v>
      </c>
      <c r="H189" s="57">
        <v>37.1137</v>
      </c>
      <c r="I189" s="57">
        <v>32.1436</v>
      </c>
      <c r="J189" s="33">
        <f t="shared" si="2"/>
        <v>10.79</v>
      </c>
      <c r="K189" s="33">
        <f t="shared" si="3"/>
        <v>5.8199</v>
      </c>
    </row>
    <row r="190">
      <c r="A190" s="70">
        <v>44650.0</v>
      </c>
      <c r="B190" s="57">
        <v>2372.0</v>
      </c>
      <c r="C190" s="57" t="s">
        <v>177</v>
      </c>
      <c r="D190" s="57" t="s">
        <v>181</v>
      </c>
      <c r="E190" s="57" t="s">
        <v>182</v>
      </c>
      <c r="F190" s="57">
        <f t="shared" si="9"/>
        <v>0</v>
      </c>
      <c r="G190" s="57">
        <v>26.6864</v>
      </c>
      <c r="H190" s="57">
        <v>34.8793</v>
      </c>
      <c r="I190" s="57">
        <v>29.7515</v>
      </c>
      <c r="J190" s="33">
        <f t="shared" si="2"/>
        <v>8.1929</v>
      </c>
      <c r="K190" s="33">
        <f t="shared" si="3"/>
        <v>3.0651</v>
      </c>
    </row>
    <row r="191">
      <c r="A191" s="70">
        <v>44650.0</v>
      </c>
      <c r="B191" s="57">
        <v>2370.0</v>
      </c>
      <c r="C191" s="57" t="s">
        <v>177</v>
      </c>
      <c r="D191" s="57" t="s">
        <v>181</v>
      </c>
      <c r="E191" s="57" t="s">
        <v>179</v>
      </c>
      <c r="F191" s="57">
        <f t="shared" si="9"/>
        <v>0</v>
      </c>
      <c r="G191" s="57">
        <v>24.4081</v>
      </c>
      <c r="H191" s="57">
        <v>25.6442</v>
      </c>
      <c r="I191" s="57">
        <v>25.5005</v>
      </c>
      <c r="J191" s="33">
        <f t="shared" si="2"/>
        <v>1.2361</v>
      </c>
      <c r="K191" s="33">
        <f t="shared" si="3"/>
        <v>1.0924</v>
      </c>
    </row>
    <row r="192">
      <c r="A192" s="70">
        <v>44650.0</v>
      </c>
      <c r="B192" s="57">
        <v>2382.0</v>
      </c>
      <c r="C192" s="57" t="s">
        <v>177</v>
      </c>
      <c r="D192" s="57" t="s">
        <v>181</v>
      </c>
      <c r="E192" s="57" t="s">
        <v>179</v>
      </c>
      <c r="F192" s="57">
        <f t="shared" si="9"/>
        <v>0</v>
      </c>
      <c r="G192" s="57">
        <v>25.9085</v>
      </c>
      <c r="H192" s="57">
        <v>26.5133</v>
      </c>
      <c r="I192" s="57">
        <v>26.2952</v>
      </c>
      <c r="J192" s="33">
        <f t="shared" si="2"/>
        <v>0.6048</v>
      </c>
      <c r="K192" s="33">
        <f t="shared" si="3"/>
        <v>0.3867</v>
      </c>
    </row>
    <row r="193">
      <c r="A193" s="70">
        <v>44650.0</v>
      </c>
      <c r="B193" s="57">
        <v>2352.0</v>
      </c>
      <c r="C193" s="57" t="s">
        <v>177</v>
      </c>
      <c r="D193" s="57" t="s">
        <v>178</v>
      </c>
      <c r="E193" s="57" t="s">
        <v>179</v>
      </c>
      <c r="F193" s="57">
        <f t="shared" si="9"/>
        <v>1</v>
      </c>
      <c r="G193" s="57">
        <v>25.8574</v>
      </c>
      <c r="H193" s="57">
        <v>26.0737</v>
      </c>
      <c r="I193" s="57">
        <v>26.1947</v>
      </c>
      <c r="J193" s="33">
        <f t="shared" si="2"/>
        <v>0.2163</v>
      </c>
      <c r="K193" s="33">
        <f t="shared" si="3"/>
        <v>0.3373</v>
      </c>
    </row>
    <row r="194">
      <c r="A194" s="70">
        <v>44655.0</v>
      </c>
      <c r="B194" s="57">
        <v>2025.0</v>
      </c>
      <c r="C194" s="57" t="s">
        <v>177</v>
      </c>
      <c r="D194" s="57" t="s">
        <v>181</v>
      </c>
      <c r="E194" s="57" t="s">
        <v>179</v>
      </c>
      <c r="F194" s="57">
        <f t="shared" si="9"/>
        <v>0</v>
      </c>
      <c r="G194" s="57">
        <v>26.4262</v>
      </c>
      <c r="H194" s="57">
        <v>27.048</v>
      </c>
      <c r="I194" s="57">
        <v>26.6761</v>
      </c>
      <c r="J194" s="33">
        <f t="shared" si="2"/>
        <v>0.6218</v>
      </c>
      <c r="K194" s="33">
        <f t="shared" si="3"/>
        <v>0.2499</v>
      </c>
    </row>
    <row r="195">
      <c r="A195" s="70">
        <v>44655.0</v>
      </c>
      <c r="B195" s="57">
        <v>2030.0</v>
      </c>
      <c r="C195" s="57" t="s">
        <v>177</v>
      </c>
      <c r="D195" s="57" t="s">
        <v>178</v>
      </c>
      <c r="E195" s="57" t="s">
        <v>182</v>
      </c>
      <c r="F195" s="57">
        <f t="shared" si="9"/>
        <v>1</v>
      </c>
      <c r="G195" s="57">
        <v>25.9704</v>
      </c>
      <c r="H195" s="57">
        <v>28.2555</v>
      </c>
      <c r="I195" s="57">
        <v>27.0322</v>
      </c>
      <c r="J195" s="33">
        <f t="shared" si="2"/>
        <v>2.2851</v>
      </c>
      <c r="K195" s="33">
        <f t="shared" si="3"/>
        <v>1.0618</v>
      </c>
    </row>
    <row r="196">
      <c r="A196" s="70">
        <v>44650.0</v>
      </c>
      <c r="B196" s="57">
        <v>2009.0</v>
      </c>
      <c r="C196" s="57" t="s">
        <v>177</v>
      </c>
      <c r="D196" s="57" t="s">
        <v>178</v>
      </c>
      <c r="E196" s="57" t="s">
        <v>179</v>
      </c>
      <c r="F196" s="57">
        <f t="shared" si="9"/>
        <v>1</v>
      </c>
      <c r="G196" s="57">
        <v>26.3355</v>
      </c>
      <c r="H196" s="57">
        <v>26.992</v>
      </c>
      <c r="I196" s="57">
        <v>26.6559</v>
      </c>
      <c r="J196" s="33">
        <f t="shared" si="2"/>
        <v>0.6565</v>
      </c>
      <c r="K196" s="33">
        <f t="shared" si="3"/>
        <v>0.3204</v>
      </c>
    </row>
    <row r="197">
      <c r="A197" s="70">
        <v>44655.0</v>
      </c>
      <c r="B197" s="57">
        <v>1478.0</v>
      </c>
      <c r="C197" s="57" t="s">
        <v>180</v>
      </c>
      <c r="D197" s="57" t="s">
        <v>178</v>
      </c>
      <c r="E197" s="57" t="s">
        <v>179</v>
      </c>
      <c r="F197" s="57">
        <f t="shared" si="9"/>
        <v>1</v>
      </c>
      <c r="G197" s="57">
        <v>26.4458</v>
      </c>
      <c r="H197" s="57">
        <v>28.0763</v>
      </c>
      <c r="I197" s="57">
        <v>27.0048</v>
      </c>
      <c r="J197" s="33">
        <f t="shared" si="2"/>
        <v>1.6305</v>
      </c>
      <c r="K197" s="33">
        <f t="shared" si="3"/>
        <v>0.559</v>
      </c>
    </row>
    <row r="198">
      <c r="A198" s="70">
        <v>44650.0</v>
      </c>
      <c r="B198" s="57">
        <v>2009.0</v>
      </c>
      <c r="C198" s="57" t="s">
        <v>177</v>
      </c>
      <c r="D198" s="57" t="s">
        <v>181</v>
      </c>
      <c r="E198" s="57" t="s">
        <v>179</v>
      </c>
      <c r="F198" s="57">
        <f t="shared" si="9"/>
        <v>0</v>
      </c>
      <c r="G198" s="57">
        <v>26.1852</v>
      </c>
      <c r="H198" s="57">
        <v>27.054</v>
      </c>
      <c r="I198" s="57">
        <v>26.3529</v>
      </c>
      <c r="J198" s="33">
        <f t="shared" si="2"/>
        <v>0.8688</v>
      </c>
      <c r="K198" s="33">
        <f t="shared" si="3"/>
        <v>0.1677</v>
      </c>
    </row>
    <row r="199">
      <c r="A199" s="70">
        <v>44655.0</v>
      </c>
      <c r="B199" s="57">
        <v>2086.0</v>
      </c>
      <c r="C199" s="57" t="s">
        <v>177</v>
      </c>
      <c r="D199" s="57" t="s">
        <v>178</v>
      </c>
      <c r="E199" s="57" t="s">
        <v>179</v>
      </c>
      <c r="F199" s="57">
        <f t="shared" si="9"/>
        <v>1</v>
      </c>
      <c r="G199" s="57">
        <v>25.7503</v>
      </c>
      <c r="H199" s="57">
        <v>27.0016</v>
      </c>
      <c r="I199" s="57">
        <v>26.1037</v>
      </c>
      <c r="J199" s="33">
        <f t="shared" si="2"/>
        <v>1.2513</v>
      </c>
      <c r="K199" s="33">
        <f t="shared" si="3"/>
        <v>0.3534</v>
      </c>
    </row>
    <row r="200">
      <c r="A200" s="70">
        <v>44650.0</v>
      </c>
      <c r="B200" s="57">
        <v>2371.0</v>
      </c>
      <c r="C200" s="57" t="s">
        <v>177</v>
      </c>
      <c r="D200" s="57" t="s">
        <v>181</v>
      </c>
      <c r="E200" s="57" t="s">
        <v>179</v>
      </c>
      <c r="F200" s="57">
        <f t="shared" si="9"/>
        <v>0</v>
      </c>
      <c r="G200" s="57">
        <v>15.6233</v>
      </c>
      <c r="H200" s="57">
        <v>16.078</v>
      </c>
      <c r="I200" s="57">
        <v>15.7581</v>
      </c>
      <c r="J200" s="33">
        <f t="shared" si="2"/>
        <v>0.4547</v>
      </c>
      <c r="K200" s="33">
        <f t="shared" si="3"/>
        <v>0.1348</v>
      </c>
    </row>
    <row r="201">
      <c r="A201" s="70">
        <v>44655.0</v>
      </c>
      <c r="B201" s="57">
        <v>2026.0</v>
      </c>
      <c r="C201" s="57" t="s">
        <v>177</v>
      </c>
      <c r="D201" s="57" t="s">
        <v>181</v>
      </c>
      <c r="E201" s="57" t="s">
        <v>182</v>
      </c>
      <c r="F201" s="57">
        <f t="shared" si="9"/>
        <v>0</v>
      </c>
      <c r="G201" s="57">
        <v>26.211</v>
      </c>
      <c r="H201" s="57">
        <v>32.7802</v>
      </c>
      <c r="I201" s="57">
        <v>29.2379</v>
      </c>
      <c r="J201" s="33">
        <f t="shared" si="2"/>
        <v>6.5692</v>
      </c>
      <c r="K201" s="33">
        <f t="shared" si="3"/>
        <v>3.0269</v>
      </c>
    </row>
    <row r="202">
      <c r="A202" s="70">
        <v>44650.0</v>
      </c>
      <c r="B202" s="57">
        <v>2354.0</v>
      </c>
      <c r="C202" s="57" t="s">
        <v>177</v>
      </c>
      <c r="D202" s="57" t="s">
        <v>181</v>
      </c>
      <c r="E202" s="57" t="s">
        <v>182</v>
      </c>
      <c r="F202" s="57">
        <f t="shared" si="9"/>
        <v>0</v>
      </c>
      <c r="G202" s="57">
        <v>26.2709</v>
      </c>
      <c r="H202" s="57">
        <v>28.4329</v>
      </c>
      <c r="I202" s="57">
        <v>27.1188</v>
      </c>
      <c r="J202" s="33">
        <f t="shared" si="2"/>
        <v>2.162</v>
      </c>
      <c r="K202" s="33">
        <f t="shared" si="3"/>
        <v>0.8479</v>
      </c>
    </row>
    <row r="203">
      <c r="A203" s="70">
        <v>44655.0</v>
      </c>
      <c r="B203" s="57">
        <v>2024.0</v>
      </c>
      <c r="C203" s="57" t="s">
        <v>177</v>
      </c>
      <c r="D203" s="57" t="s">
        <v>181</v>
      </c>
      <c r="E203" s="57" t="s">
        <v>182</v>
      </c>
      <c r="F203" s="57">
        <f t="shared" si="9"/>
        <v>0</v>
      </c>
      <c r="G203" s="57">
        <v>25.6994</v>
      </c>
      <c r="H203" s="57">
        <v>32.3349</v>
      </c>
      <c r="I203" s="57">
        <v>28.5153</v>
      </c>
      <c r="J203" s="33">
        <f t="shared" si="2"/>
        <v>6.6355</v>
      </c>
      <c r="K203" s="33">
        <f t="shared" si="3"/>
        <v>2.8159</v>
      </c>
    </row>
    <row r="204">
      <c r="A204" s="70">
        <v>44650.0</v>
      </c>
      <c r="B204" s="57">
        <v>2369.0</v>
      </c>
      <c r="C204" s="57" t="s">
        <v>177</v>
      </c>
      <c r="D204" s="57" t="s">
        <v>178</v>
      </c>
      <c r="E204" s="57" t="s">
        <v>179</v>
      </c>
      <c r="F204" s="57">
        <f t="shared" si="9"/>
        <v>1</v>
      </c>
      <c r="G204" s="57">
        <v>26.4857</v>
      </c>
      <c r="H204" s="57">
        <v>26.685</v>
      </c>
      <c r="I204" s="57">
        <v>27.0793</v>
      </c>
      <c r="J204" s="33">
        <f t="shared" si="2"/>
        <v>0.1993</v>
      </c>
      <c r="K204" s="33">
        <f t="shared" si="3"/>
        <v>0.5936</v>
      </c>
    </row>
    <row r="205">
      <c r="A205" s="70">
        <v>44655.0</v>
      </c>
      <c r="B205" s="57">
        <v>2015.0</v>
      </c>
      <c r="C205" s="57" t="s">
        <v>180</v>
      </c>
      <c r="D205" s="57" t="s">
        <v>181</v>
      </c>
      <c r="E205" s="57" t="s">
        <v>179</v>
      </c>
      <c r="F205" s="57">
        <f t="shared" si="9"/>
        <v>0</v>
      </c>
      <c r="G205" s="57">
        <v>26.9002</v>
      </c>
      <c r="H205" s="57">
        <v>28.6888</v>
      </c>
      <c r="I205" s="57">
        <v>27.6169</v>
      </c>
      <c r="J205" s="33">
        <f t="shared" si="2"/>
        <v>1.7886</v>
      </c>
      <c r="K205" s="33">
        <f t="shared" si="3"/>
        <v>0.7167</v>
      </c>
    </row>
    <row r="206">
      <c r="A206" s="70">
        <v>44650.0</v>
      </c>
      <c r="B206" s="57">
        <v>2360.0</v>
      </c>
      <c r="C206" s="57" t="s">
        <v>177</v>
      </c>
      <c r="D206" s="57" t="s">
        <v>178</v>
      </c>
      <c r="E206" s="57" t="s">
        <v>179</v>
      </c>
      <c r="F206" s="57">
        <f t="shared" si="9"/>
        <v>1</v>
      </c>
      <c r="G206" s="57">
        <v>26.1919</v>
      </c>
      <c r="H206" s="57">
        <v>26.7648</v>
      </c>
      <c r="I206" s="57">
        <v>26.6532</v>
      </c>
      <c r="J206" s="33">
        <f t="shared" si="2"/>
        <v>0.5729</v>
      </c>
      <c r="K206" s="33">
        <f t="shared" si="3"/>
        <v>0.4613</v>
      </c>
    </row>
    <row r="207">
      <c r="A207" s="70">
        <v>44655.0</v>
      </c>
      <c r="B207" s="57">
        <v>2012.0</v>
      </c>
      <c r="C207" s="57" t="s">
        <v>177</v>
      </c>
      <c r="D207" s="57" t="s">
        <v>181</v>
      </c>
      <c r="E207" s="57" t="s">
        <v>182</v>
      </c>
      <c r="F207" s="57">
        <f t="shared" si="9"/>
        <v>0</v>
      </c>
      <c r="G207" s="57">
        <v>25.9477</v>
      </c>
      <c r="H207" s="57">
        <v>32.1707</v>
      </c>
      <c r="I207" s="57">
        <v>28.1282</v>
      </c>
      <c r="J207" s="33">
        <f t="shared" si="2"/>
        <v>6.223</v>
      </c>
      <c r="K207" s="33">
        <f t="shared" si="3"/>
        <v>2.1805</v>
      </c>
    </row>
    <row r="208">
      <c r="A208" s="70">
        <v>44655.0</v>
      </c>
      <c r="B208" s="57">
        <v>2027.0</v>
      </c>
      <c r="C208" s="57" t="s">
        <v>177</v>
      </c>
      <c r="D208" s="57" t="s">
        <v>178</v>
      </c>
      <c r="E208" s="57" t="s">
        <v>179</v>
      </c>
      <c r="F208" s="57">
        <f t="shared" si="9"/>
        <v>1</v>
      </c>
      <c r="G208" s="57">
        <v>15.6078</v>
      </c>
      <c r="H208" s="57">
        <v>15.8382</v>
      </c>
      <c r="I208" s="57">
        <v>15.9218</v>
      </c>
      <c r="J208" s="33">
        <f t="shared" si="2"/>
        <v>0.2304</v>
      </c>
      <c r="K208" s="33">
        <f t="shared" si="3"/>
        <v>0.314</v>
      </c>
    </row>
    <row r="209">
      <c r="A209" s="70">
        <v>44655.0</v>
      </c>
      <c r="B209" s="57">
        <v>2008.0</v>
      </c>
      <c r="C209" s="57" t="s">
        <v>177</v>
      </c>
      <c r="D209" s="57" t="s">
        <v>181</v>
      </c>
      <c r="E209" s="57" t="s">
        <v>179</v>
      </c>
      <c r="F209" s="57">
        <f t="shared" si="9"/>
        <v>0</v>
      </c>
      <c r="G209" s="57">
        <v>25.6375</v>
      </c>
      <c r="H209" s="57">
        <v>26.4761</v>
      </c>
      <c r="I209" s="57">
        <v>25.8226</v>
      </c>
      <c r="J209" s="33">
        <f t="shared" si="2"/>
        <v>0.8386</v>
      </c>
      <c r="K209" s="33">
        <f t="shared" si="3"/>
        <v>0.1851</v>
      </c>
    </row>
    <row r="210">
      <c r="A210" s="70">
        <v>44650.0</v>
      </c>
      <c r="B210" s="57">
        <v>2378.0</v>
      </c>
      <c r="C210" s="57" t="s">
        <v>177</v>
      </c>
      <c r="D210" s="57" t="s">
        <v>178</v>
      </c>
      <c r="E210" s="57" t="s">
        <v>179</v>
      </c>
      <c r="F210" s="57">
        <f t="shared" si="9"/>
        <v>1</v>
      </c>
      <c r="G210" s="57">
        <v>26.5167</v>
      </c>
      <c r="H210" s="57">
        <v>27.4468</v>
      </c>
      <c r="I210" s="57">
        <v>26.9452</v>
      </c>
      <c r="J210" s="33">
        <f t="shared" si="2"/>
        <v>0.9301</v>
      </c>
      <c r="K210" s="33">
        <f t="shared" si="3"/>
        <v>0.4285</v>
      </c>
    </row>
    <row r="211">
      <c r="A211" s="70">
        <v>44650.0</v>
      </c>
      <c r="B211" s="57">
        <v>2343.0</v>
      </c>
      <c r="C211" s="57" t="s">
        <v>177</v>
      </c>
      <c r="D211" s="57" t="s">
        <v>181</v>
      </c>
      <c r="E211" s="57" t="s">
        <v>179</v>
      </c>
      <c r="F211" s="57">
        <f t="shared" si="9"/>
        <v>0</v>
      </c>
      <c r="G211" s="57">
        <v>26.3505</v>
      </c>
      <c r="H211" s="57">
        <v>27.5913</v>
      </c>
      <c r="I211" s="57">
        <v>26.6473</v>
      </c>
      <c r="J211" s="33">
        <f t="shared" si="2"/>
        <v>1.2408</v>
      </c>
      <c r="K211" s="33">
        <f t="shared" si="3"/>
        <v>0.2968</v>
      </c>
    </row>
    <row r="212">
      <c r="A212" s="70">
        <v>44655.0</v>
      </c>
      <c r="B212" s="57">
        <v>2031.0</v>
      </c>
      <c r="C212" s="57" t="s">
        <v>177</v>
      </c>
      <c r="D212" s="57" t="s">
        <v>181</v>
      </c>
      <c r="E212" s="57" t="s">
        <v>182</v>
      </c>
      <c r="F212" s="57">
        <f t="shared" si="9"/>
        <v>0</v>
      </c>
      <c r="G212" s="57">
        <v>26.209</v>
      </c>
      <c r="H212" s="57">
        <v>30.9414</v>
      </c>
      <c r="I212" s="57">
        <v>28.2355</v>
      </c>
      <c r="J212" s="33">
        <f t="shared" si="2"/>
        <v>4.7324</v>
      </c>
      <c r="K212" s="33">
        <f t="shared" si="3"/>
        <v>2.0265</v>
      </c>
    </row>
    <row r="213">
      <c r="A213" s="70">
        <v>44655.0</v>
      </c>
      <c r="B213" s="57">
        <v>2011.0</v>
      </c>
      <c r="C213" s="57" t="s">
        <v>177</v>
      </c>
      <c r="D213" s="57" t="s">
        <v>181</v>
      </c>
      <c r="E213" s="57" t="s">
        <v>182</v>
      </c>
      <c r="F213" s="57">
        <f t="shared" si="9"/>
        <v>0</v>
      </c>
      <c r="G213" s="57">
        <v>25.9872</v>
      </c>
      <c r="H213" s="57">
        <v>30.302</v>
      </c>
      <c r="I213" s="57">
        <v>27.77</v>
      </c>
      <c r="J213" s="33">
        <f t="shared" si="2"/>
        <v>4.3148</v>
      </c>
      <c r="K213" s="33">
        <f t="shared" si="3"/>
        <v>1.7828</v>
      </c>
    </row>
    <row r="214">
      <c r="A214" s="70">
        <v>44650.0</v>
      </c>
      <c r="B214" s="57">
        <v>2380.0</v>
      </c>
      <c r="C214" s="57" t="s">
        <v>177</v>
      </c>
      <c r="D214" s="57" t="s">
        <v>181</v>
      </c>
      <c r="E214" s="57" t="s">
        <v>182</v>
      </c>
      <c r="F214" s="57">
        <f t="shared" si="9"/>
        <v>0</v>
      </c>
      <c r="G214" s="57">
        <v>26.1391</v>
      </c>
      <c r="H214" s="57">
        <v>26.6951</v>
      </c>
      <c r="I214" s="57">
        <v>26.3138</v>
      </c>
      <c r="J214" s="33">
        <f t="shared" si="2"/>
        <v>0.556</v>
      </c>
      <c r="K214" s="33">
        <f t="shared" si="3"/>
        <v>0.1747</v>
      </c>
    </row>
    <row r="215">
      <c r="A215" s="70">
        <v>44655.0</v>
      </c>
      <c r="B215" s="57">
        <v>2090.0</v>
      </c>
      <c r="C215" s="57" t="s">
        <v>177</v>
      </c>
      <c r="D215" s="57" t="s">
        <v>178</v>
      </c>
      <c r="E215" s="57" t="s">
        <v>179</v>
      </c>
      <c r="F215" s="57">
        <f t="shared" si="9"/>
        <v>1</v>
      </c>
      <c r="G215" s="57">
        <v>26.1816</v>
      </c>
      <c r="H215" s="57">
        <v>27.433</v>
      </c>
      <c r="I215" s="57">
        <v>26.9313</v>
      </c>
      <c r="J215" s="33">
        <f t="shared" si="2"/>
        <v>1.2514</v>
      </c>
      <c r="K215" s="33">
        <f t="shared" si="3"/>
        <v>0.7497</v>
      </c>
    </row>
    <row r="216">
      <c r="A216" s="70">
        <v>44650.0</v>
      </c>
      <c r="B216" s="57">
        <v>2009.0</v>
      </c>
      <c r="C216" s="57" t="s">
        <v>177</v>
      </c>
      <c r="D216" s="57" t="s">
        <v>181</v>
      </c>
      <c r="E216" s="57" t="s">
        <v>182</v>
      </c>
      <c r="F216" s="57">
        <f t="shared" si="9"/>
        <v>0</v>
      </c>
      <c r="G216" s="57">
        <v>25.8433</v>
      </c>
      <c r="H216" s="57">
        <v>29.7626</v>
      </c>
      <c r="I216" s="57">
        <v>27.3928</v>
      </c>
      <c r="J216" s="33">
        <f t="shared" si="2"/>
        <v>3.9193</v>
      </c>
      <c r="K216" s="33">
        <f t="shared" si="3"/>
        <v>1.5495</v>
      </c>
    </row>
    <row r="217">
      <c r="A217" s="70">
        <v>44655.0</v>
      </c>
      <c r="B217" s="57">
        <v>2092.0</v>
      </c>
      <c r="C217" s="57" t="s">
        <v>177</v>
      </c>
      <c r="D217" s="57" t="s">
        <v>178</v>
      </c>
      <c r="E217" s="57" t="s">
        <v>182</v>
      </c>
      <c r="F217" s="57">
        <f t="shared" si="9"/>
        <v>1</v>
      </c>
      <c r="G217" s="57">
        <v>25.9272</v>
      </c>
      <c r="H217" s="57">
        <v>30.7864</v>
      </c>
      <c r="I217" s="57">
        <v>28.66</v>
      </c>
      <c r="J217" s="33">
        <f t="shared" si="2"/>
        <v>4.8592</v>
      </c>
      <c r="K217" s="33">
        <f t="shared" si="3"/>
        <v>2.7328</v>
      </c>
    </row>
    <row r="218">
      <c r="A218" s="70">
        <v>44655.0</v>
      </c>
      <c r="B218" s="57">
        <v>1478.0</v>
      </c>
      <c r="C218" s="57" t="s">
        <v>177</v>
      </c>
      <c r="D218" s="57" t="s">
        <v>178</v>
      </c>
      <c r="E218" s="57" t="s">
        <v>179</v>
      </c>
      <c r="F218" s="57">
        <f t="shared" si="9"/>
        <v>1</v>
      </c>
      <c r="G218" s="57">
        <v>25.7092</v>
      </c>
      <c r="H218" s="57">
        <v>27.986</v>
      </c>
      <c r="I218" s="57">
        <v>26.5743</v>
      </c>
      <c r="J218" s="33">
        <f t="shared" si="2"/>
        <v>2.2768</v>
      </c>
      <c r="K218" s="33">
        <f t="shared" si="3"/>
        <v>0.8651</v>
      </c>
    </row>
    <row r="219">
      <c r="A219" s="70">
        <v>44655.0</v>
      </c>
      <c r="B219" s="57">
        <v>2012.0</v>
      </c>
      <c r="C219" s="57" t="s">
        <v>177</v>
      </c>
      <c r="D219" s="57" t="s">
        <v>178</v>
      </c>
      <c r="E219" s="57" t="s">
        <v>179</v>
      </c>
      <c r="F219" s="57">
        <f t="shared" si="9"/>
        <v>1</v>
      </c>
      <c r="G219" s="57">
        <v>25.8866</v>
      </c>
      <c r="H219" s="57">
        <v>27.9276</v>
      </c>
      <c r="I219" s="57">
        <v>26.8505</v>
      </c>
      <c r="J219" s="33">
        <f t="shared" si="2"/>
        <v>2.041</v>
      </c>
      <c r="K219" s="33">
        <f t="shared" si="3"/>
        <v>0.9639</v>
      </c>
    </row>
    <row r="220">
      <c r="A220" s="70">
        <v>44650.0</v>
      </c>
      <c r="B220" s="57">
        <v>2352.0</v>
      </c>
      <c r="C220" s="57" t="s">
        <v>177</v>
      </c>
      <c r="D220" s="57" t="s">
        <v>178</v>
      </c>
      <c r="E220" s="57" t="s">
        <v>182</v>
      </c>
      <c r="F220" s="57">
        <f t="shared" si="9"/>
        <v>1</v>
      </c>
      <c r="G220" s="57">
        <v>25.6363</v>
      </c>
      <c r="H220" s="57">
        <v>28.831</v>
      </c>
      <c r="I220" s="57">
        <v>27.559</v>
      </c>
      <c r="J220" s="33">
        <f t="shared" si="2"/>
        <v>3.1947</v>
      </c>
      <c r="K220" s="33">
        <f t="shared" si="3"/>
        <v>1.9227</v>
      </c>
    </row>
    <row r="221">
      <c r="A221" s="70">
        <v>44655.0</v>
      </c>
      <c r="B221" s="57">
        <v>2087.0</v>
      </c>
      <c r="C221" s="57" t="s">
        <v>180</v>
      </c>
      <c r="D221" s="57" t="s">
        <v>181</v>
      </c>
      <c r="E221" s="57" t="s">
        <v>179</v>
      </c>
      <c r="F221" s="57">
        <f t="shared" si="9"/>
        <v>0</v>
      </c>
      <c r="G221" s="57">
        <v>25.8913</v>
      </c>
      <c r="H221" s="57">
        <v>27.5338</v>
      </c>
      <c r="I221" s="57">
        <v>26.2715</v>
      </c>
      <c r="J221" s="33">
        <f t="shared" si="2"/>
        <v>1.6425</v>
      </c>
      <c r="K221" s="33">
        <f t="shared" si="3"/>
        <v>0.3802</v>
      </c>
    </row>
    <row r="222">
      <c r="A222" s="70">
        <v>44655.0</v>
      </c>
      <c r="B222" s="57">
        <v>2029.0</v>
      </c>
      <c r="C222" s="57" t="s">
        <v>177</v>
      </c>
      <c r="D222" s="57" t="s">
        <v>181</v>
      </c>
      <c r="E222" s="57" t="s">
        <v>179</v>
      </c>
      <c r="F222" s="57">
        <f t="shared" si="9"/>
        <v>0</v>
      </c>
      <c r="G222" s="57">
        <v>25.8444</v>
      </c>
      <c r="H222" s="57">
        <v>25.786</v>
      </c>
      <c r="I222" s="57">
        <v>25.9813</v>
      </c>
      <c r="J222" s="33">
        <f t="shared" si="2"/>
        <v>-0.0584</v>
      </c>
      <c r="K222" s="33">
        <f t="shared" si="3"/>
        <v>0.1369</v>
      </c>
    </row>
    <row r="223">
      <c r="A223" s="70">
        <v>44650.0</v>
      </c>
      <c r="B223" s="57">
        <v>2352.0</v>
      </c>
      <c r="C223" s="57" t="s">
        <v>177</v>
      </c>
      <c r="D223" s="57" t="s">
        <v>181</v>
      </c>
      <c r="E223" s="57" t="s">
        <v>179</v>
      </c>
      <c r="F223" s="57">
        <f t="shared" si="9"/>
        <v>0</v>
      </c>
      <c r="G223" s="57">
        <v>25.9494</v>
      </c>
      <c r="H223" s="57">
        <v>26.484</v>
      </c>
      <c r="I223" s="57">
        <v>26.1225</v>
      </c>
      <c r="J223" s="33">
        <f t="shared" si="2"/>
        <v>0.5346</v>
      </c>
      <c r="K223" s="33">
        <f t="shared" si="3"/>
        <v>0.1731</v>
      </c>
    </row>
    <row r="224">
      <c r="A224" s="70">
        <v>44655.0</v>
      </c>
      <c r="B224" s="57">
        <v>2024.0</v>
      </c>
      <c r="C224" s="57" t="s">
        <v>177</v>
      </c>
      <c r="D224" s="57" t="s">
        <v>178</v>
      </c>
      <c r="E224" s="57" t="s">
        <v>179</v>
      </c>
      <c r="F224" s="57">
        <f t="shared" si="9"/>
        <v>1</v>
      </c>
      <c r="G224" s="57">
        <v>26.222</v>
      </c>
      <c r="H224" s="57">
        <v>27.5784</v>
      </c>
      <c r="I224" s="57">
        <v>26.8518</v>
      </c>
      <c r="J224" s="33">
        <f t="shared" si="2"/>
        <v>1.3564</v>
      </c>
      <c r="K224" s="33">
        <f t="shared" si="3"/>
        <v>0.6298</v>
      </c>
    </row>
    <row r="225">
      <c r="A225" s="70">
        <v>44655.0</v>
      </c>
      <c r="B225" s="57">
        <v>2088.0</v>
      </c>
      <c r="C225" s="57" t="s">
        <v>180</v>
      </c>
      <c r="D225" s="57" t="s">
        <v>181</v>
      </c>
      <c r="E225" s="57" t="s">
        <v>179</v>
      </c>
      <c r="F225" s="57">
        <f t="shared" si="9"/>
        <v>0</v>
      </c>
      <c r="G225" s="57">
        <v>15.6167</v>
      </c>
      <c r="H225" s="57">
        <v>17.2003</v>
      </c>
      <c r="I225" s="57">
        <v>16.0128</v>
      </c>
      <c r="J225" s="33">
        <f t="shared" si="2"/>
        <v>1.5836</v>
      </c>
      <c r="K225" s="33">
        <f t="shared" si="3"/>
        <v>0.3961</v>
      </c>
    </row>
    <row r="226">
      <c r="A226" s="70">
        <v>44655.0</v>
      </c>
      <c r="B226" s="57">
        <v>2022.0</v>
      </c>
      <c r="C226" s="57" t="s">
        <v>177</v>
      </c>
      <c r="D226" s="57" t="s">
        <v>178</v>
      </c>
      <c r="E226" s="57" t="s">
        <v>179</v>
      </c>
      <c r="F226" s="57">
        <f t="shared" si="9"/>
        <v>1</v>
      </c>
      <c r="G226" s="57">
        <v>25.9464</v>
      </c>
      <c r="H226" s="57">
        <v>27.7704</v>
      </c>
      <c r="I226" s="57">
        <v>26.7712</v>
      </c>
      <c r="J226" s="33">
        <f t="shared" si="2"/>
        <v>1.824</v>
      </c>
      <c r="K226" s="33">
        <f t="shared" si="3"/>
        <v>0.8248</v>
      </c>
    </row>
    <row r="227">
      <c r="A227" s="70">
        <v>44650.0</v>
      </c>
      <c r="B227" s="57">
        <v>2367.0</v>
      </c>
      <c r="C227" s="57" t="s">
        <v>177</v>
      </c>
      <c r="D227" s="57" t="s">
        <v>178</v>
      </c>
      <c r="E227" s="57" t="s">
        <v>179</v>
      </c>
      <c r="F227" s="57">
        <f t="shared" si="9"/>
        <v>1</v>
      </c>
      <c r="G227" s="57">
        <v>25.9771</v>
      </c>
      <c r="H227" s="57">
        <v>27.1091</v>
      </c>
      <c r="I227" s="57">
        <v>26.8212</v>
      </c>
      <c r="J227" s="33">
        <f t="shared" si="2"/>
        <v>1.132</v>
      </c>
      <c r="K227" s="33">
        <f t="shared" si="3"/>
        <v>0.8441</v>
      </c>
    </row>
    <row r="228">
      <c r="A228" s="70">
        <v>44650.0</v>
      </c>
      <c r="B228" s="57">
        <v>2354.0</v>
      </c>
      <c r="C228" s="57" t="s">
        <v>177</v>
      </c>
      <c r="D228" s="57" t="s">
        <v>181</v>
      </c>
      <c r="E228" s="57" t="s">
        <v>179</v>
      </c>
      <c r="F228" s="57">
        <f t="shared" si="9"/>
        <v>0</v>
      </c>
      <c r="G228" s="57">
        <v>26.501</v>
      </c>
      <c r="H228" s="57">
        <v>26.2767</v>
      </c>
      <c r="I228" s="57">
        <v>26.5444</v>
      </c>
      <c r="J228" s="33">
        <f t="shared" si="2"/>
        <v>-0.2243</v>
      </c>
      <c r="K228" s="33">
        <f t="shared" si="3"/>
        <v>0.0434</v>
      </c>
    </row>
    <row r="229">
      <c r="A229" s="70">
        <v>44655.0</v>
      </c>
      <c r="B229" s="57">
        <v>2093.0</v>
      </c>
      <c r="C229" s="57" t="s">
        <v>177</v>
      </c>
      <c r="D229" s="57" t="s">
        <v>181</v>
      </c>
      <c r="E229" s="57" t="s">
        <v>182</v>
      </c>
      <c r="F229" s="57">
        <f t="shared" si="9"/>
        <v>0</v>
      </c>
      <c r="G229" s="57">
        <v>26.0688</v>
      </c>
      <c r="H229" s="57">
        <v>26.4363</v>
      </c>
      <c r="I229" s="57">
        <v>26.1669</v>
      </c>
      <c r="J229" s="33">
        <f t="shared" si="2"/>
        <v>0.3675</v>
      </c>
      <c r="K229" s="33">
        <f t="shared" si="3"/>
        <v>0.0981</v>
      </c>
    </row>
    <row r="230">
      <c r="A230" s="70">
        <v>44650.0</v>
      </c>
      <c r="B230" s="57">
        <v>2377.0</v>
      </c>
      <c r="C230" s="57" t="s">
        <v>177</v>
      </c>
      <c r="D230" s="57" t="s">
        <v>178</v>
      </c>
      <c r="E230" s="57" t="s">
        <v>179</v>
      </c>
      <c r="F230" s="57">
        <f t="shared" si="9"/>
        <v>1</v>
      </c>
      <c r="G230" s="57">
        <v>26.5507</v>
      </c>
      <c r="H230" s="57">
        <v>26.9622</v>
      </c>
      <c r="I230" s="57">
        <v>27.0137</v>
      </c>
      <c r="J230" s="33">
        <f t="shared" si="2"/>
        <v>0.4115</v>
      </c>
      <c r="K230" s="33">
        <f t="shared" si="3"/>
        <v>0.463</v>
      </c>
    </row>
    <row r="231">
      <c r="A231" s="70">
        <v>44655.0</v>
      </c>
      <c r="B231" s="57">
        <v>2008.0</v>
      </c>
      <c r="C231" s="57" t="s">
        <v>177</v>
      </c>
      <c r="D231" s="57" t="s">
        <v>181</v>
      </c>
      <c r="E231" s="57" t="s">
        <v>182</v>
      </c>
      <c r="F231" s="57">
        <f t="shared" si="9"/>
        <v>0</v>
      </c>
      <c r="G231" s="57">
        <v>26.1805</v>
      </c>
      <c r="H231" s="57">
        <v>31.7341</v>
      </c>
      <c r="I231" s="57">
        <v>28.3494</v>
      </c>
      <c r="J231" s="33">
        <f t="shared" si="2"/>
        <v>5.5536</v>
      </c>
      <c r="K231" s="33">
        <f t="shared" si="3"/>
        <v>2.1689</v>
      </c>
    </row>
    <row r="232">
      <c r="A232" s="70">
        <v>44650.0</v>
      </c>
      <c r="B232" s="57">
        <v>2367.0</v>
      </c>
      <c r="C232" s="57" t="s">
        <v>177</v>
      </c>
      <c r="D232" s="57" t="s">
        <v>181</v>
      </c>
      <c r="E232" s="57" t="s">
        <v>179</v>
      </c>
      <c r="F232" s="57">
        <f t="shared" si="9"/>
        <v>0</v>
      </c>
      <c r="G232" s="57">
        <v>25.8818</v>
      </c>
      <c r="H232" s="57">
        <v>26.0257</v>
      </c>
      <c r="I232" s="57">
        <v>25.9787</v>
      </c>
      <c r="J232" s="33">
        <f t="shared" si="2"/>
        <v>0.1439</v>
      </c>
      <c r="K232" s="33">
        <f t="shared" si="3"/>
        <v>0.0969</v>
      </c>
    </row>
    <row r="233">
      <c r="A233" s="70">
        <v>44655.0</v>
      </c>
      <c r="B233" s="57">
        <v>2021.0</v>
      </c>
      <c r="C233" s="57" t="s">
        <v>177</v>
      </c>
      <c r="D233" s="57" t="s">
        <v>181</v>
      </c>
      <c r="E233" s="57" t="s">
        <v>182</v>
      </c>
      <c r="F233" s="57">
        <f t="shared" si="9"/>
        <v>0</v>
      </c>
      <c r="G233" s="57">
        <v>26.0852</v>
      </c>
      <c r="H233" s="57">
        <v>32.2483</v>
      </c>
      <c r="I233" s="57">
        <v>29.0333</v>
      </c>
      <c r="J233" s="33">
        <f t="shared" si="2"/>
        <v>6.1631</v>
      </c>
      <c r="K233" s="33">
        <f t="shared" si="3"/>
        <v>2.9481</v>
      </c>
    </row>
    <row r="234">
      <c r="A234" s="70">
        <v>44655.0</v>
      </c>
      <c r="B234" s="57">
        <v>2027.0</v>
      </c>
      <c r="C234" s="57" t="s">
        <v>177</v>
      </c>
      <c r="D234" s="57" t="s">
        <v>181</v>
      </c>
      <c r="E234" s="57" t="s">
        <v>182</v>
      </c>
      <c r="F234" s="57">
        <f t="shared" si="9"/>
        <v>0</v>
      </c>
      <c r="G234" s="57">
        <v>26.7475</v>
      </c>
      <c r="H234" s="57">
        <v>32.2856</v>
      </c>
      <c r="I234" s="57">
        <v>29.3767</v>
      </c>
      <c r="J234" s="33">
        <f t="shared" si="2"/>
        <v>5.5381</v>
      </c>
      <c r="K234" s="33">
        <f t="shared" si="3"/>
        <v>2.6292</v>
      </c>
    </row>
    <row r="235">
      <c r="A235" s="70">
        <v>44650.0</v>
      </c>
      <c r="B235" s="57">
        <v>2360.0</v>
      </c>
      <c r="C235" s="57" t="s">
        <v>177</v>
      </c>
      <c r="D235" s="57" t="s">
        <v>181</v>
      </c>
      <c r="E235" s="57" t="s">
        <v>179</v>
      </c>
      <c r="F235" s="57">
        <f t="shared" si="9"/>
        <v>0</v>
      </c>
      <c r="G235" s="57">
        <v>25.6488</v>
      </c>
      <c r="H235" s="57">
        <v>26.7416</v>
      </c>
      <c r="I235" s="57">
        <v>25.938</v>
      </c>
      <c r="J235" s="33">
        <f t="shared" si="2"/>
        <v>1.0928</v>
      </c>
      <c r="K235" s="33">
        <f t="shared" si="3"/>
        <v>0.2892</v>
      </c>
    </row>
    <row r="236">
      <c r="A236" s="70">
        <v>44655.0</v>
      </c>
      <c r="B236" s="57">
        <v>2085.0</v>
      </c>
      <c r="C236" s="57" t="s">
        <v>177</v>
      </c>
      <c r="D236" s="57" t="s">
        <v>181</v>
      </c>
      <c r="E236" s="57" t="s">
        <v>179</v>
      </c>
      <c r="F236" s="57">
        <f t="shared" si="9"/>
        <v>0</v>
      </c>
      <c r="G236" s="57">
        <v>25.8777</v>
      </c>
      <c r="H236" s="57">
        <v>27.4682</v>
      </c>
      <c r="I236" s="57">
        <v>26.4456</v>
      </c>
      <c r="J236" s="33">
        <f t="shared" si="2"/>
        <v>1.5905</v>
      </c>
      <c r="K236" s="33">
        <f t="shared" si="3"/>
        <v>0.5679</v>
      </c>
    </row>
    <row r="237">
      <c r="A237" s="70">
        <v>44655.0</v>
      </c>
      <c r="B237" s="57">
        <v>2031.0</v>
      </c>
      <c r="C237" s="57" t="s">
        <v>60</v>
      </c>
      <c r="D237" s="57" t="s">
        <v>181</v>
      </c>
      <c r="E237" s="57" t="s">
        <v>182</v>
      </c>
      <c r="F237" s="57">
        <f t="shared" si="9"/>
        <v>0</v>
      </c>
      <c r="G237" s="57">
        <v>25.4177</v>
      </c>
      <c r="H237" s="57">
        <v>34.2715</v>
      </c>
      <c r="I237" s="57">
        <v>29.7535</v>
      </c>
      <c r="J237" s="33">
        <f t="shared" si="2"/>
        <v>8.8538</v>
      </c>
      <c r="K237" s="33">
        <f t="shared" si="3"/>
        <v>4.3358</v>
      </c>
    </row>
    <row r="238">
      <c r="A238" s="70">
        <v>44650.0</v>
      </c>
      <c r="B238" s="57">
        <v>2379.0</v>
      </c>
      <c r="C238" s="57" t="s">
        <v>177</v>
      </c>
      <c r="D238" s="57" t="s">
        <v>181</v>
      </c>
      <c r="E238" s="57" t="s">
        <v>179</v>
      </c>
      <c r="F238" s="57">
        <f t="shared" si="9"/>
        <v>0</v>
      </c>
      <c r="G238" s="57">
        <v>26.259</v>
      </c>
      <c r="H238" s="57">
        <v>27.135</v>
      </c>
      <c r="I238" s="57">
        <v>26.6255</v>
      </c>
      <c r="J238" s="33">
        <f t="shared" si="2"/>
        <v>0.876</v>
      </c>
      <c r="K238" s="33">
        <f t="shared" si="3"/>
        <v>0.3665</v>
      </c>
    </row>
    <row r="239">
      <c r="A239" s="70">
        <v>44650.0</v>
      </c>
      <c r="B239" s="57">
        <v>2382.0</v>
      </c>
      <c r="C239" s="57" t="s">
        <v>177</v>
      </c>
      <c r="D239" s="57" t="s">
        <v>181</v>
      </c>
      <c r="E239" s="57" t="s">
        <v>182</v>
      </c>
      <c r="F239" s="57">
        <f t="shared" si="9"/>
        <v>0</v>
      </c>
      <c r="G239" s="57">
        <v>26.1517</v>
      </c>
      <c r="H239" s="57">
        <v>35.35</v>
      </c>
      <c r="I239" s="57">
        <v>30.4801</v>
      </c>
      <c r="J239" s="33">
        <f t="shared" si="2"/>
        <v>9.1983</v>
      </c>
      <c r="K239" s="33">
        <f t="shared" si="3"/>
        <v>4.3284</v>
      </c>
    </row>
    <row r="240">
      <c r="A240" s="70">
        <v>44655.0</v>
      </c>
      <c r="B240" s="57">
        <v>2026.0</v>
      </c>
      <c r="C240" s="57" t="s">
        <v>177</v>
      </c>
      <c r="D240" s="57" t="s">
        <v>181</v>
      </c>
      <c r="E240" s="57" t="s">
        <v>179</v>
      </c>
      <c r="F240" s="57">
        <f t="shared" si="9"/>
        <v>0</v>
      </c>
      <c r="G240" s="57">
        <v>25.8989</v>
      </c>
      <c r="H240" s="57">
        <v>26.7923</v>
      </c>
      <c r="I240" s="57">
        <v>26.4325</v>
      </c>
      <c r="J240" s="33">
        <f t="shared" si="2"/>
        <v>0.8934</v>
      </c>
      <c r="K240" s="33">
        <f t="shared" si="3"/>
        <v>0.5336</v>
      </c>
    </row>
    <row r="241">
      <c r="A241" s="70">
        <v>44650.0</v>
      </c>
      <c r="B241" s="57">
        <v>2380.0</v>
      </c>
      <c r="C241" s="57" t="s">
        <v>177</v>
      </c>
      <c r="D241" s="57" t="s">
        <v>178</v>
      </c>
      <c r="E241" s="57" t="s">
        <v>179</v>
      </c>
      <c r="F241" s="57">
        <f t="shared" si="9"/>
        <v>1</v>
      </c>
      <c r="G241" s="57">
        <v>26.2828</v>
      </c>
      <c r="H241" s="57">
        <v>28.0345</v>
      </c>
      <c r="I241" s="57">
        <v>27.2429</v>
      </c>
      <c r="J241" s="33">
        <f t="shared" si="2"/>
        <v>1.7517</v>
      </c>
      <c r="K241" s="33">
        <f t="shared" si="3"/>
        <v>0.9601</v>
      </c>
    </row>
    <row r="242">
      <c r="A242" s="70">
        <v>44650.0</v>
      </c>
      <c r="B242" s="57">
        <v>2301.0</v>
      </c>
      <c r="C242" s="57" t="s">
        <v>177</v>
      </c>
      <c r="D242" s="57" t="s">
        <v>178</v>
      </c>
      <c r="E242" s="57" t="s">
        <v>179</v>
      </c>
      <c r="F242" s="57">
        <f t="shared" si="9"/>
        <v>1</v>
      </c>
      <c r="G242" s="57">
        <v>25.9276</v>
      </c>
      <c r="H242" s="57">
        <v>29.2492</v>
      </c>
      <c r="I242" s="57">
        <v>27.9163</v>
      </c>
      <c r="J242" s="33">
        <f t="shared" si="2"/>
        <v>3.3216</v>
      </c>
      <c r="K242" s="33">
        <f t="shared" si="3"/>
        <v>1.9887</v>
      </c>
    </row>
    <row r="243">
      <c r="A243" s="70">
        <v>44650.0</v>
      </c>
      <c r="B243" s="57">
        <v>2381.0</v>
      </c>
      <c r="C243" s="57" t="s">
        <v>177</v>
      </c>
      <c r="D243" s="57" t="s">
        <v>181</v>
      </c>
      <c r="E243" s="57" t="s">
        <v>182</v>
      </c>
      <c r="F243" s="57">
        <f t="shared" si="9"/>
        <v>0</v>
      </c>
      <c r="G243" s="57">
        <v>25.6438</v>
      </c>
      <c r="H243" s="57">
        <v>30.6729</v>
      </c>
      <c r="I243" s="57">
        <v>27.8425</v>
      </c>
      <c r="J243" s="33">
        <f t="shared" si="2"/>
        <v>5.0291</v>
      </c>
      <c r="K243" s="33">
        <f t="shared" si="3"/>
        <v>2.1987</v>
      </c>
    </row>
    <row r="244">
      <c r="A244" s="70">
        <v>44655.0</v>
      </c>
      <c r="B244" s="57">
        <v>2086.0</v>
      </c>
      <c r="C244" s="57" t="s">
        <v>180</v>
      </c>
      <c r="D244" s="57" t="s">
        <v>181</v>
      </c>
      <c r="E244" s="57" t="s">
        <v>182</v>
      </c>
      <c r="F244" s="57">
        <f t="shared" si="9"/>
        <v>0</v>
      </c>
      <c r="G244" s="57">
        <v>26.9347</v>
      </c>
      <c r="H244" s="57">
        <v>31.2924</v>
      </c>
      <c r="I244" s="57">
        <v>28.4447</v>
      </c>
      <c r="J244" s="33">
        <f t="shared" si="2"/>
        <v>4.3577</v>
      </c>
      <c r="K244" s="33">
        <f t="shared" si="3"/>
        <v>1.51</v>
      </c>
    </row>
    <row r="245">
      <c r="A245" s="70">
        <v>44650.0</v>
      </c>
      <c r="B245" s="57">
        <v>2331.0</v>
      </c>
      <c r="C245" s="57" t="s">
        <v>177</v>
      </c>
      <c r="D245" s="57" t="s">
        <v>178</v>
      </c>
      <c r="E245" s="57" t="s">
        <v>179</v>
      </c>
      <c r="F245" s="57">
        <f t="shared" si="9"/>
        <v>1</v>
      </c>
      <c r="G245" s="57">
        <v>26.4426</v>
      </c>
      <c r="H245" s="57">
        <v>27.91</v>
      </c>
      <c r="I245" s="57">
        <v>27.2667</v>
      </c>
      <c r="J245" s="33">
        <f t="shared" si="2"/>
        <v>1.4674</v>
      </c>
      <c r="K245" s="33">
        <f t="shared" si="3"/>
        <v>0.8241</v>
      </c>
    </row>
    <row r="246">
      <c r="A246" s="70">
        <v>44650.0</v>
      </c>
      <c r="B246" s="57">
        <v>2377.0</v>
      </c>
      <c r="C246" s="57" t="s">
        <v>177</v>
      </c>
      <c r="D246" s="57" t="s">
        <v>178</v>
      </c>
      <c r="E246" s="57" t="s">
        <v>182</v>
      </c>
      <c r="F246" s="57">
        <f t="shared" si="9"/>
        <v>1</v>
      </c>
      <c r="G246" s="57">
        <v>26.258</v>
      </c>
      <c r="H246" s="57">
        <v>30.127</v>
      </c>
      <c r="I246" s="57">
        <v>28.7726</v>
      </c>
      <c r="J246" s="33">
        <f t="shared" si="2"/>
        <v>3.869</v>
      </c>
      <c r="K246" s="33">
        <f t="shared" si="3"/>
        <v>2.5146</v>
      </c>
    </row>
    <row r="247">
      <c r="A247" s="70">
        <v>44650.0</v>
      </c>
      <c r="B247" s="57">
        <v>2347.0</v>
      </c>
      <c r="C247" s="57" t="s">
        <v>177</v>
      </c>
      <c r="D247" s="57" t="s">
        <v>178</v>
      </c>
      <c r="E247" s="57" t="s">
        <v>179</v>
      </c>
      <c r="F247" s="57">
        <f t="shared" si="9"/>
        <v>1</v>
      </c>
      <c r="G247" s="57">
        <v>25.4573</v>
      </c>
      <c r="H247" s="57">
        <v>26.2432</v>
      </c>
      <c r="I247" s="57">
        <v>25.8986</v>
      </c>
      <c r="J247" s="33">
        <f t="shared" si="2"/>
        <v>0.7859</v>
      </c>
      <c r="K247" s="33">
        <f t="shared" si="3"/>
        <v>0.4413</v>
      </c>
    </row>
    <row r="248">
      <c r="A248" s="70">
        <v>44655.0</v>
      </c>
      <c r="B248" s="57">
        <v>2029.0</v>
      </c>
      <c r="C248" s="57" t="s">
        <v>177</v>
      </c>
      <c r="D248" s="57" t="s">
        <v>178</v>
      </c>
      <c r="E248" s="57" t="s">
        <v>179</v>
      </c>
      <c r="F248" s="57">
        <f t="shared" si="9"/>
        <v>1</v>
      </c>
      <c r="G248" s="57">
        <v>25.6111</v>
      </c>
      <c r="H248" s="57">
        <v>26.8622</v>
      </c>
      <c r="I248" s="57">
        <v>25.9689</v>
      </c>
      <c r="J248" s="33">
        <f t="shared" si="2"/>
        <v>1.2511</v>
      </c>
      <c r="K248" s="33">
        <f t="shared" si="3"/>
        <v>0.3578</v>
      </c>
    </row>
    <row r="249">
      <c r="A249" s="70">
        <v>44650.0</v>
      </c>
      <c r="B249" s="57">
        <v>2378.0</v>
      </c>
      <c r="C249" s="57" t="s">
        <v>177</v>
      </c>
      <c r="D249" s="57" t="s">
        <v>181</v>
      </c>
      <c r="E249" s="57" t="s">
        <v>179</v>
      </c>
      <c r="F249" s="57">
        <f t="shared" si="9"/>
        <v>0</v>
      </c>
      <c r="G249" s="57">
        <v>26.3482</v>
      </c>
      <c r="H249" s="57">
        <v>26.9736</v>
      </c>
      <c r="I249" s="57">
        <v>26.5797</v>
      </c>
      <c r="J249" s="33">
        <f t="shared" si="2"/>
        <v>0.6254</v>
      </c>
      <c r="K249" s="33">
        <f t="shared" si="3"/>
        <v>0.2315</v>
      </c>
    </row>
    <row r="250">
      <c r="A250" s="70">
        <v>44655.0</v>
      </c>
      <c r="B250" s="57">
        <v>2085.0</v>
      </c>
      <c r="C250" s="57" t="s">
        <v>177</v>
      </c>
      <c r="D250" s="57" t="s">
        <v>178</v>
      </c>
      <c r="E250" s="57" t="s">
        <v>179</v>
      </c>
      <c r="F250" s="57">
        <f t="shared" si="9"/>
        <v>1</v>
      </c>
      <c r="G250" s="57">
        <v>26.3298</v>
      </c>
      <c r="H250" s="57">
        <v>29.0464</v>
      </c>
      <c r="I250" s="57">
        <v>27.391</v>
      </c>
      <c r="J250" s="33">
        <f t="shared" si="2"/>
        <v>2.7166</v>
      </c>
      <c r="K250" s="33">
        <f t="shared" si="3"/>
        <v>1.0612</v>
      </c>
    </row>
    <row r="251">
      <c r="A251" s="70">
        <v>44655.0</v>
      </c>
      <c r="B251" s="57">
        <v>2023.0</v>
      </c>
      <c r="C251" s="57" t="s">
        <v>177</v>
      </c>
      <c r="D251" s="57" t="s">
        <v>181</v>
      </c>
      <c r="E251" s="57" t="s">
        <v>182</v>
      </c>
      <c r="F251" s="57">
        <f t="shared" si="9"/>
        <v>0</v>
      </c>
      <c r="G251" s="57">
        <v>26.0538</v>
      </c>
      <c r="H251" s="57">
        <v>31.2959</v>
      </c>
      <c r="I251" s="57">
        <v>28.5464</v>
      </c>
      <c r="J251" s="33">
        <f t="shared" si="2"/>
        <v>5.2421</v>
      </c>
      <c r="K251" s="33">
        <f t="shared" si="3"/>
        <v>2.4926</v>
      </c>
    </row>
    <row r="252">
      <c r="A252" s="70">
        <v>44655.0</v>
      </c>
      <c r="B252" s="57">
        <v>2015.0</v>
      </c>
      <c r="C252" s="57" t="s">
        <v>177</v>
      </c>
      <c r="D252" s="57" t="s">
        <v>181</v>
      </c>
      <c r="E252" s="57" t="s">
        <v>179</v>
      </c>
      <c r="F252" s="57">
        <f t="shared" si="9"/>
        <v>0</v>
      </c>
      <c r="G252" s="57">
        <v>25.6978</v>
      </c>
      <c r="H252" s="57">
        <v>27.0999</v>
      </c>
      <c r="I252" s="57">
        <v>26.187</v>
      </c>
      <c r="J252" s="33">
        <f t="shared" si="2"/>
        <v>1.4021</v>
      </c>
      <c r="K252" s="33">
        <f t="shared" si="3"/>
        <v>0.4892</v>
      </c>
    </row>
    <row r="253">
      <c r="A253" s="70">
        <v>44650.0</v>
      </c>
      <c r="B253" s="57">
        <v>2010.0</v>
      </c>
      <c r="C253" s="57" t="s">
        <v>177</v>
      </c>
      <c r="D253" s="57" t="s">
        <v>181</v>
      </c>
      <c r="E253" s="57" t="s">
        <v>182</v>
      </c>
      <c r="F253" s="57">
        <f t="shared" si="9"/>
        <v>0</v>
      </c>
      <c r="G253" s="57">
        <v>25.5471</v>
      </c>
      <c r="H253" s="57">
        <v>31.4654</v>
      </c>
      <c r="I253" s="57">
        <v>27.9843</v>
      </c>
      <c r="J253" s="33">
        <f t="shared" si="2"/>
        <v>5.9183</v>
      </c>
      <c r="K253" s="33">
        <f t="shared" si="3"/>
        <v>2.4372</v>
      </c>
    </row>
    <row r="254">
      <c r="A254" s="70">
        <v>44655.0</v>
      </c>
      <c r="B254" s="57">
        <v>2086.0</v>
      </c>
      <c r="C254" s="57" t="s">
        <v>180</v>
      </c>
      <c r="D254" s="57" t="s">
        <v>178</v>
      </c>
      <c r="E254" s="57" t="s">
        <v>179</v>
      </c>
      <c r="F254" s="57">
        <f t="shared" si="9"/>
        <v>1</v>
      </c>
      <c r="G254" s="57">
        <v>25.4031</v>
      </c>
      <c r="H254" s="57">
        <v>26.9152</v>
      </c>
      <c r="I254" s="57">
        <v>25.8696</v>
      </c>
      <c r="J254" s="33">
        <f t="shared" si="2"/>
        <v>1.5121</v>
      </c>
      <c r="K254" s="33">
        <f t="shared" si="3"/>
        <v>0.4665</v>
      </c>
    </row>
    <row r="255">
      <c r="A255" s="70">
        <v>44650.0</v>
      </c>
      <c r="B255" s="57">
        <v>2378.0</v>
      </c>
      <c r="C255" s="57" t="s">
        <v>177</v>
      </c>
      <c r="D255" s="57" t="s">
        <v>181</v>
      </c>
      <c r="E255" s="57" t="s">
        <v>182</v>
      </c>
      <c r="F255" s="57">
        <f t="shared" si="9"/>
        <v>0</v>
      </c>
      <c r="G255" s="57">
        <v>26.7036</v>
      </c>
      <c r="H255" s="57">
        <v>32.7202</v>
      </c>
      <c r="I255" s="57">
        <v>29.5988</v>
      </c>
      <c r="J255" s="33">
        <f t="shared" si="2"/>
        <v>6.0166</v>
      </c>
      <c r="K255" s="33">
        <f t="shared" si="3"/>
        <v>2.8952</v>
      </c>
    </row>
    <row r="256">
      <c r="A256" s="70">
        <v>44650.0</v>
      </c>
      <c r="B256" s="57">
        <v>2383.0</v>
      </c>
      <c r="C256" s="57" t="s">
        <v>177</v>
      </c>
      <c r="D256" s="57" t="s">
        <v>181</v>
      </c>
      <c r="E256" s="57" t="s">
        <v>179</v>
      </c>
      <c r="F256" s="57">
        <f t="shared" si="9"/>
        <v>0</v>
      </c>
      <c r="G256" s="57">
        <v>25.8817</v>
      </c>
      <c r="H256" s="57">
        <v>26.641</v>
      </c>
      <c r="I256" s="57">
        <v>26.1742</v>
      </c>
      <c r="J256" s="33">
        <f t="shared" si="2"/>
        <v>0.7593</v>
      </c>
      <c r="K256" s="33">
        <f t="shared" si="3"/>
        <v>0.2925</v>
      </c>
    </row>
    <row r="257">
      <c r="A257" s="70">
        <v>44655.0</v>
      </c>
      <c r="B257" s="57">
        <v>2005.0</v>
      </c>
      <c r="C257" s="57" t="s">
        <v>177</v>
      </c>
      <c r="D257" s="57" t="s">
        <v>181</v>
      </c>
      <c r="E257" s="57" t="s">
        <v>179</v>
      </c>
      <c r="F257" s="57">
        <f t="shared" si="9"/>
        <v>0</v>
      </c>
      <c r="G257" s="57">
        <v>25.8242</v>
      </c>
      <c r="H257" s="57">
        <v>26.6378</v>
      </c>
      <c r="I257" s="57">
        <v>26.2995</v>
      </c>
      <c r="J257" s="33">
        <f t="shared" si="2"/>
        <v>0.8136</v>
      </c>
      <c r="K257" s="33">
        <f t="shared" si="3"/>
        <v>0.4753</v>
      </c>
    </row>
    <row r="258">
      <c r="A258" s="70">
        <v>44655.0</v>
      </c>
      <c r="B258" s="57">
        <v>1478.0</v>
      </c>
      <c r="C258" s="57" t="s">
        <v>177</v>
      </c>
      <c r="D258" s="57" t="s">
        <v>181</v>
      </c>
      <c r="E258" s="57" t="s">
        <v>182</v>
      </c>
      <c r="F258" s="57">
        <f t="shared" si="9"/>
        <v>0</v>
      </c>
      <c r="G258" s="57">
        <v>26.4725</v>
      </c>
      <c r="H258" s="57">
        <v>31.2208</v>
      </c>
      <c r="I258" s="57">
        <v>28.1972</v>
      </c>
      <c r="J258" s="33">
        <f t="shared" si="2"/>
        <v>4.7483</v>
      </c>
      <c r="K258" s="33">
        <f t="shared" si="3"/>
        <v>1.7247</v>
      </c>
    </row>
    <row r="259">
      <c r="A259" s="70">
        <v>44650.0</v>
      </c>
      <c r="B259" s="57">
        <v>2380.0</v>
      </c>
      <c r="C259" s="57" t="s">
        <v>177</v>
      </c>
      <c r="D259" s="57" t="s">
        <v>181</v>
      </c>
      <c r="E259" s="57" t="s">
        <v>179</v>
      </c>
      <c r="F259" s="57">
        <f t="shared" si="9"/>
        <v>0</v>
      </c>
      <c r="G259" s="57">
        <v>25.6021</v>
      </c>
      <c r="H259" s="57">
        <v>26.0319</v>
      </c>
      <c r="I259" s="57">
        <v>25.6063</v>
      </c>
      <c r="J259" s="33">
        <f t="shared" si="2"/>
        <v>0.4298</v>
      </c>
      <c r="K259" s="33">
        <f t="shared" si="3"/>
        <v>0.0042</v>
      </c>
    </row>
    <row r="260">
      <c r="A260" s="70">
        <v>44655.0</v>
      </c>
      <c r="B260" s="57">
        <v>2090.0</v>
      </c>
      <c r="C260" s="57" t="s">
        <v>177</v>
      </c>
      <c r="D260" s="57" t="s">
        <v>181</v>
      </c>
      <c r="E260" s="57" t="s">
        <v>182</v>
      </c>
      <c r="F260" s="57">
        <f t="shared" si="9"/>
        <v>0</v>
      </c>
      <c r="G260" s="57">
        <v>26.1731</v>
      </c>
      <c r="H260" s="57">
        <v>31.5378</v>
      </c>
      <c r="I260" s="57">
        <v>28.3028</v>
      </c>
      <c r="J260" s="33">
        <f t="shared" si="2"/>
        <v>5.3647</v>
      </c>
      <c r="K260" s="33">
        <f t="shared" si="3"/>
        <v>2.1297</v>
      </c>
    </row>
    <row r="261">
      <c r="A261" s="70">
        <v>44655.0</v>
      </c>
      <c r="B261" s="57">
        <v>2091.0</v>
      </c>
      <c r="C261" s="57" t="s">
        <v>177</v>
      </c>
      <c r="D261" s="57" t="s">
        <v>178</v>
      </c>
      <c r="E261" s="57" t="s">
        <v>182</v>
      </c>
      <c r="F261" s="57">
        <f t="shared" si="9"/>
        <v>1</v>
      </c>
      <c r="G261" s="57">
        <v>26.3417</v>
      </c>
      <c r="H261" s="57">
        <v>32.4927</v>
      </c>
      <c r="I261" s="57">
        <v>29.7754</v>
      </c>
      <c r="J261" s="33">
        <f t="shared" si="2"/>
        <v>6.151</v>
      </c>
      <c r="K261" s="33">
        <f t="shared" si="3"/>
        <v>3.4337</v>
      </c>
    </row>
    <row r="262">
      <c r="A262" s="70">
        <v>44655.0</v>
      </c>
      <c r="B262" s="57">
        <v>2028.0</v>
      </c>
      <c r="C262" s="57" t="s">
        <v>177</v>
      </c>
      <c r="D262" s="57" t="s">
        <v>181</v>
      </c>
      <c r="E262" s="57" t="s">
        <v>182</v>
      </c>
      <c r="F262" s="57">
        <f t="shared" si="9"/>
        <v>0</v>
      </c>
      <c r="G262" s="57">
        <v>25.7088</v>
      </c>
      <c r="H262" s="57">
        <v>33.5222</v>
      </c>
      <c r="I262" s="57">
        <v>29.4964</v>
      </c>
      <c r="J262" s="33">
        <f t="shared" si="2"/>
        <v>7.8134</v>
      </c>
      <c r="K262" s="33">
        <f t="shared" si="3"/>
        <v>3.7876</v>
      </c>
    </row>
    <row r="263">
      <c r="A263" s="70">
        <v>44655.0</v>
      </c>
      <c r="B263" s="57">
        <v>2025.0</v>
      </c>
      <c r="C263" s="57" t="s">
        <v>177</v>
      </c>
      <c r="D263" s="57" t="s">
        <v>178</v>
      </c>
      <c r="E263" s="57" t="s">
        <v>179</v>
      </c>
      <c r="F263" s="57">
        <f t="shared" si="9"/>
        <v>1</v>
      </c>
      <c r="G263" s="57">
        <v>25.8549</v>
      </c>
      <c r="H263" s="57">
        <v>26.5966</v>
      </c>
      <c r="I263" s="57">
        <v>26.284</v>
      </c>
      <c r="J263" s="33">
        <f t="shared" si="2"/>
        <v>0.7417</v>
      </c>
      <c r="K263" s="33">
        <f t="shared" si="3"/>
        <v>0.4291</v>
      </c>
    </row>
    <row r="264">
      <c r="A264" s="70">
        <v>44655.0</v>
      </c>
      <c r="B264" s="57">
        <v>2008.0</v>
      </c>
      <c r="C264" s="57" t="s">
        <v>177</v>
      </c>
      <c r="D264" s="57" t="s">
        <v>181</v>
      </c>
      <c r="E264" s="57" t="s">
        <v>179</v>
      </c>
      <c r="F264" s="57">
        <f t="shared" si="9"/>
        <v>0</v>
      </c>
      <c r="G264" s="57">
        <v>26.0541</v>
      </c>
      <c r="H264" s="57">
        <v>26.7667</v>
      </c>
      <c r="I264" s="57">
        <v>26.2666</v>
      </c>
      <c r="J264" s="33">
        <f t="shared" si="2"/>
        <v>0.7126</v>
      </c>
      <c r="K264" s="33">
        <f t="shared" si="3"/>
        <v>0.2125</v>
      </c>
    </row>
    <row r="265">
      <c r="A265" s="70">
        <v>44655.0</v>
      </c>
      <c r="B265" s="57">
        <v>2021.0</v>
      </c>
      <c r="C265" s="57" t="s">
        <v>177</v>
      </c>
      <c r="D265" s="57" t="s">
        <v>178</v>
      </c>
      <c r="E265" s="57" t="s">
        <v>179</v>
      </c>
      <c r="F265" s="57">
        <f t="shared" si="9"/>
        <v>1</v>
      </c>
      <c r="G265" s="57">
        <v>26.3305</v>
      </c>
      <c r="H265" s="57">
        <v>27.9059</v>
      </c>
      <c r="I265" s="57">
        <v>27.0318</v>
      </c>
      <c r="J265" s="33">
        <f t="shared" si="2"/>
        <v>1.5754</v>
      </c>
      <c r="K265" s="33">
        <f t="shared" si="3"/>
        <v>0.7013</v>
      </c>
    </row>
    <row r="266">
      <c r="A266" s="70">
        <v>44650.0</v>
      </c>
      <c r="B266" s="57">
        <v>2384.0</v>
      </c>
      <c r="C266" s="57" t="s">
        <v>177</v>
      </c>
      <c r="D266" s="57" t="s">
        <v>178</v>
      </c>
      <c r="E266" s="57" t="s">
        <v>179</v>
      </c>
      <c r="F266" s="57">
        <f t="shared" si="9"/>
        <v>1</v>
      </c>
      <c r="G266" s="57">
        <v>26.3141</v>
      </c>
      <c r="H266" s="57">
        <v>26.9523</v>
      </c>
      <c r="I266" s="57">
        <v>26.8327</v>
      </c>
      <c r="J266" s="33">
        <f t="shared" si="2"/>
        <v>0.6382</v>
      </c>
      <c r="K266" s="33">
        <f t="shared" si="3"/>
        <v>0.5186</v>
      </c>
    </row>
    <row r="267">
      <c r="A267" s="70">
        <v>44650.0</v>
      </c>
      <c r="B267" s="57">
        <v>2345.0</v>
      </c>
      <c r="C267" s="57" t="s">
        <v>177</v>
      </c>
      <c r="D267" s="57" t="s">
        <v>181</v>
      </c>
      <c r="E267" s="57" t="s">
        <v>182</v>
      </c>
      <c r="F267" s="57">
        <f t="shared" si="9"/>
        <v>0</v>
      </c>
      <c r="G267" s="57">
        <v>26.2519</v>
      </c>
      <c r="H267" s="57">
        <v>26.2885</v>
      </c>
      <c r="I267" s="57">
        <v>26.2674</v>
      </c>
      <c r="J267" s="33">
        <f t="shared" si="2"/>
        <v>0.0366</v>
      </c>
      <c r="K267" s="33">
        <f t="shared" si="3"/>
        <v>0.0155</v>
      </c>
    </row>
    <row r="268">
      <c r="A268" s="70">
        <v>44650.0</v>
      </c>
      <c r="B268" s="57">
        <v>2369.0</v>
      </c>
      <c r="C268" s="57" t="s">
        <v>177</v>
      </c>
      <c r="D268" s="57" t="s">
        <v>181</v>
      </c>
      <c r="E268" s="57" t="s">
        <v>179</v>
      </c>
      <c r="F268" s="57">
        <f t="shared" si="9"/>
        <v>0</v>
      </c>
      <c r="G268" s="57">
        <v>26.0811</v>
      </c>
      <c r="H268" s="57">
        <v>26.5731</v>
      </c>
      <c r="I268" s="57">
        <v>26.2584</v>
      </c>
      <c r="J268" s="33">
        <f t="shared" si="2"/>
        <v>0.492</v>
      </c>
      <c r="K268" s="33">
        <f t="shared" si="3"/>
        <v>0.1773</v>
      </c>
    </row>
    <row r="269">
      <c r="A269" s="70">
        <v>44655.0</v>
      </c>
      <c r="B269" s="57">
        <v>2015.0</v>
      </c>
      <c r="C269" s="57" t="s">
        <v>180</v>
      </c>
      <c r="D269" s="57" t="s">
        <v>178</v>
      </c>
      <c r="E269" s="57" t="s">
        <v>179</v>
      </c>
      <c r="F269" s="57">
        <f t="shared" si="9"/>
        <v>1</v>
      </c>
      <c r="G269" s="57">
        <v>26.4094</v>
      </c>
      <c r="H269" s="57">
        <v>27.0268</v>
      </c>
      <c r="I269" s="57">
        <v>26.8792</v>
      </c>
      <c r="J269" s="33">
        <f t="shared" si="2"/>
        <v>0.6174</v>
      </c>
      <c r="K269" s="33">
        <f t="shared" si="3"/>
        <v>0.4698</v>
      </c>
    </row>
    <row r="270">
      <c r="A270" s="70">
        <v>44650.0</v>
      </c>
      <c r="B270" s="57">
        <v>2331.0</v>
      </c>
      <c r="C270" s="57" t="s">
        <v>177</v>
      </c>
      <c r="D270" s="57" t="s">
        <v>178</v>
      </c>
      <c r="E270" s="57" t="s">
        <v>182</v>
      </c>
      <c r="F270" s="57">
        <f t="shared" si="9"/>
        <v>1</v>
      </c>
      <c r="G270" s="57">
        <v>26.2202</v>
      </c>
      <c r="H270" s="57">
        <v>33.5789</v>
      </c>
      <c r="I270" s="57">
        <v>30.1824</v>
      </c>
      <c r="J270" s="33">
        <f t="shared" si="2"/>
        <v>7.3587</v>
      </c>
      <c r="K270" s="33">
        <f t="shared" si="3"/>
        <v>3.9622</v>
      </c>
    </row>
    <row r="271">
      <c r="A271" s="70">
        <v>44650.0</v>
      </c>
      <c r="B271" s="57">
        <v>2010.0</v>
      </c>
      <c r="C271" s="57" t="s">
        <v>177</v>
      </c>
      <c r="D271" s="57" t="s">
        <v>181</v>
      </c>
      <c r="E271" s="57" t="s">
        <v>179</v>
      </c>
      <c r="F271" s="57">
        <f t="shared" si="9"/>
        <v>0</v>
      </c>
      <c r="G271" s="57">
        <v>25.98</v>
      </c>
      <c r="H271" s="57">
        <v>26.7261</v>
      </c>
      <c r="I271" s="57">
        <v>26.2236</v>
      </c>
      <c r="J271" s="33">
        <f t="shared" si="2"/>
        <v>0.7461</v>
      </c>
      <c r="K271" s="33">
        <f t="shared" si="3"/>
        <v>0.2436</v>
      </c>
    </row>
    <row r="272">
      <c r="A272" s="70">
        <v>44650.0</v>
      </c>
      <c r="B272" s="57">
        <v>2383.0</v>
      </c>
      <c r="C272" s="57" t="s">
        <v>177</v>
      </c>
      <c r="D272" s="57" t="s">
        <v>178</v>
      </c>
      <c r="E272" s="57" t="s">
        <v>179</v>
      </c>
      <c r="F272" s="57">
        <f t="shared" si="9"/>
        <v>1</v>
      </c>
      <c r="G272" s="57">
        <v>25.7459</v>
      </c>
      <c r="H272" s="57">
        <v>27.4124</v>
      </c>
      <c r="I272" s="57">
        <v>26.3603</v>
      </c>
      <c r="J272" s="33">
        <f t="shared" si="2"/>
        <v>1.6665</v>
      </c>
      <c r="K272" s="33">
        <f t="shared" si="3"/>
        <v>0.6144</v>
      </c>
    </row>
    <row r="273">
      <c r="A273" s="70">
        <v>44650.0</v>
      </c>
      <c r="B273" s="57">
        <v>2360.0</v>
      </c>
      <c r="C273" s="57" t="s">
        <v>177</v>
      </c>
      <c r="D273" s="57" t="s">
        <v>181</v>
      </c>
      <c r="E273" s="57" t="s">
        <v>182</v>
      </c>
      <c r="F273" s="57">
        <f t="shared" si="9"/>
        <v>0</v>
      </c>
      <c r="G273" s="57">
        <v>25.9234</v>
      </c>
      <c r="H273" s="57">
        <v>31.6506</v>
      </c>
      <c r="I273" s="57">
        <v>28.5804</v>
      </c>
      <c r="J273" s="33">
        <f t="shared" si="2"/>
        <v>5.7272</v>
      </c>
      <c r="K273" s="33">
        <f t="shared" si="3"/>
        <v>2.657</v>
      </c>
    </row>
    <row r="274">
      <c r="A274" s="70">
        <v>44655.0</v>
      </c>
      <c r="B274" s="57">
        <v>2088.0</v>
      </c>
      <c r="C274" s="57" t="s">
        <v>180</v>
      </c>
      <c r="D274" s="57" t="s">
        <v>178</v>
      </c>
      <c r="E274" s="57" t="s">
        <v>179</v>
      </c>
      <c r="F274" s="57">
        <f t="shared" si="9"/>
        <v>1</v>
      </c>
      <c r="G274" s="57">
        <v>15.3961</v>
      </c>
      <c r="H274" s="57">
        <v>17.3795</v>
      </c>
      <c r="I274" s="57">
        <v>16.1952</v>
      </c>
      <c r="J274" s="33">
        <f t="shared" si="2"/>
        <v>1.9834</v>
      </c>
      <c r="K274" s="33">
        <f t="shared" si="3"/>
        <v>0.7991</v>
      </c>
    </row>
    <row r="275">
      <c r="A275" s="70">
        <v>44655.0</v>
      </c>
      <c r="B275" s="57">
        <v>2008.0</v>
      </c>
      <c r="C275" s="57" t="s">
        <v>177</v>
      </c>
      <c r="D275" s="57" t="s">
        <v>181</v>
      </c>
      <c r="E275" s="57" t="s">
        <v>182</v>
      </c>
      <c r="F275" s="57">
        <f t="shared" si="9"/>
        <v>0</v>
      </c>
      <c r="G275" s="57">
        <v>26.7896</v>
      </c>
      <c r="H275" s="57">
        <v>34.6008</v>
      </c>
      <c r="I275" s="57">
        <v>30.702</v>
      </c>
      <c r="J275" s="33">
        <f t="shared" si="2"/>
        <v>7.8112</v>
      </c>
      <c r="K275" s="33">
        <f t="shared" si="3"/>
        <v>3.9124</v>
      </c>
    </row>
    <row r="276">
      <c r="A276" s="70">
        <v>44655.0</v>
      </c>
      <c r="B276" s="57">
        <v>2013.0</v>
      </c>
      <c r="C276" s="57" t="s">
        <v>177</v>
      </c>
      <c r="D276" s="57" t="s">
        <v>181</v>
      </c>
      <c r="E276" s="57" t="s">
        <v>179</v>
      </c>
      <c r="F276" s="57">
        <f t="shared" si="9"/>
        <v>0</v>
      </c>
      <c r="G276" s="57">
        <v>26.355</v>
      </c>
      <c r="H276" s="57">
        <v>26.9731</v>
      </c>
      <c r="I276" s="57">
        <v>26.5619</v>
      </c>
      <c r="J276" s="33">
        <f t="shared" si="2"/>
        <v>0.6181</v>
      </c>
      <c r="K276" s="33">
        <f t="shared" si="3"/>
        <v>0.2069</v>
      </c>
    </row>
    <row r="277">
      <c r="A277" s="70">
        <v>44655.0</v>
      </c>
      <c r="B277" s="57">
        <v>2004.0</v>
      </c>
      <c r="C277" s="57" t="s">
        <v>177</v>
      </c>
      <c r="D277" s="57" t="s">
        <v>181</v>
      </c>
      <c r="E277" s="57" t="s">
        <v>182</v>
      </c>
      <c r="F277" s="57">
        <f t="shared" si="9"/>
        <v>0</v>
      </c>
      <c r="G277" s="57">
        <v>26.6971</v>
      </c>
      <c r="H277" s="57">
        <v>34.1899</v>
      </c>
      <c r="I277" s="57">
        <v>30.1322</v>
      </c>
      <c r="J277" s="33">
        <f t="shared" si="2"/>
        <v>7.4928</v>
      </c>
      <c r="K277" s="33">
        <f t="shared" si="3"/>
        <v>3.4351</v>
      </c>
    </row>
    <row r="278">
      <c r="A278" s="70">
        <v>44650.0</v>
      </c>
      <c r="B278" s="57">
        <v>2376.0</v>
      </c>
      <c r="C278" s="57" t="s">
        <v>177</v>
      </c>
      <c r="D278" s="57" t="s">
        <v>178</v>
      </c>
      <c r="E278" s="57" t="s">
        <v>179</v>
      </c>
      <c r="F278" s="57">
        <f t="shared" si="9"/>
        <v>1</v>
      </c>
      <c r="G278" s="57">
        <v>26.0548</v>
      </c>
      <c r="H278" s="57">
        <v>27.4084</v>
      </c>
      <c r="I278" s="57">
        <v>26.5901</v>
      </c>
      <c r="J278" s="33">
        <f t="shared" si="2"/>
        <v>1.3536</v>
      </c>
      <c r="K278" s="33">
        <f t="shared" si="3"/>
        <v>0.5353</v>
      </c>
    </row>
    <row r="279">
      <c r="A279" s="70">
        <v>44650.0</v>
      </c>
      <c r="B279" s="57">
        <v>2346.0</v>
      </c>
      <c r="C279" s="57" t="s">
        <v>177</v>
      </c>
      <c r="D279" s="57" t="s">
        <v>181</v>
      </c>
      <c r="E279" s="57" t="s">
        <v>179</v>
      </c>
      <c r="F279" s="57">
        <f t="shared" si="9"/>
        <v>0</v>
      </c>
      <c r="G279" s="57">
        <v>25.8494</v>
      </c>
      <c r="H279" s="57">
        <v>25.5561</v>
      </c>
      <c r="I279" s="57">
        <v>25.9071</v>
      </c>
      <c r="J279" s="33">
        <f t="shared" si="2"/>
        <v>-0.2933</v>
      </c>
      <c r="K279" s="33">
        <f t="shared" si="3"/>
        <v>0.0577</v>
      </c>
    </row>
    <row r="280">
      <c r="A280" s="70">
        <v>44650.0</v>
      </c>
      <c r="B280" s="57">
        <v>2346.0</v>
      </c>
      <c r="C280" s="57" t="s">
        <v>177</v>
      </c>
      <c r="D280" s="57" t="s">
        <v>178</v>
      </c>
      <c r="E280" s="57" t="s">
        <v>182</v>
      </c>
      <c r="F280" s="57">
        <f t="shared" si="9"/>
        <v>1</v>
      </c>
      <c r="G280" s="57">
        <v>25.7233</v>
      </c>
      <c r="H280" s="57">
        <v>26.1726</v>
      </c>
      <c r="I280" s="57">
        <v>25.9465</v>
      </c>
      <c r="J280" s="33">
        <f t="shared" si="2"/>
        <v>0.4493</v>
      </c>
      <c r="K280" s="33">
        <f t="shared" si="3"/>
        <v>0.2232</v>
      </c>
    </row>
    <row r="281">
      <c r="A281" s="70">
        <v>44655.0</v>
      </c>
      <c r="B281" s="57">
        <v>2093.0</v>
      </c>
      <c r="C281" s="57" t="s">
        <v>177</v>
      </c>
      <c r="D281" s="57" t="s">
        <v>178</v>
      </c>
      <c r="E281" s="57" t="s">
        <v>182</v>
      </c>
      <c r="F281" s="57">
        <f t="shared" si="9"/>
        <v>1</v>
      </c>
      <c r="G281" s="57">
        <v>26.3433</v>
      </c>
      <c r="H281" s="57">
        <v>31.0835</v>
      </c>
      <c r="I281" s="57">
        <v>29.0988</v>
      </c>
      <c r="J281" s="33">
        <f t="shared" si="2"/>
        <v>4.7402</v>
      </c>
      <c r="K281" s="33">
        <f t="shared" si="3"/>
        <v>2.7555</v>
      </c>
    </row>
    <row r="282">
      <c r="A282" s="70">
        <v>44655.0</v>
      </c>
      <c r="B282" s="57">
        <v>2091.0</v>
      </c>
      <c r="C282" s="57" t="s">
        <v>177</v>
      </c>
      <c r="D282" s="57" t="s">
        <v>178</v>
      </c>
      <c r="E282" s="57" t="s">
        <v>179</v>
      </c>
      <c r="F282" s="57">
        <f t="shared" si="9"/>
        <v>1</v>
      </c>
      <c r="G282" s="57">
        <v>25.9205</v>
      </c>
      <c r="H282" s="57">
        <v>27.571</v>
      </c>
      <c r="I282" s="57">
        <v>26.5655</v>
      </c>
      <c r="J282" s="33">
        <f t="shared" si="2"/>
        <v>1.6505</v>
      </c>
      <c r="K282" s="33">
        <f t="shared" si="3"/>
        <v>0.645</v>
      </c>
    </row>
    <row r="283">
      <c r="A283" s="70">
        <v>44655.0</v>
      </c>
      <c r="B283" s="57">
        <v>2031.0</v>
      </c>
      <c r="C283" s="57" t="s">
        <v>60</v>
      </c>
      <c r="D283" s="57" t="s">
        <v>181</v>
      </c>
      <c r="E283" s="57" t="s">
        <v>182</v>
      </c>
      <c r="F283" s="57">
        <f t="shared" si="9"/>
        <v>0</v>
      </c>
      <c r="G283" s="57">
        <v>15.5202</v>
      </c>
      <c r="H283" s="57">
        <v>15.8781</v>
      </c>
      <c r="I283" s="57">
        <v>15.8775</v>
      </c>
      <c r="J283" s="33">
        <f t="shared" si="2"/>
        <v>0.3579</v>
      </c>
      <c r="K283" s="33">
        <f t="shared" si="3"/>
        <v>0.3573</v>
      </c>
    </row>
    <row r="284">
      <c r="A284" s="70">
        <v>44650.0</v>
      </c>
      <c r="B284" s="57">
        <v>2346.0</v>
      </c>
      <c r="C284" s="57" t="s">
        <v>177</v>
      </c>
      <c r="D284" s="57" t="s">
        <v>178</v>
      </c>
      <c r="E284" s="57" t="s">
        <v>179</v>
      </c>
      <c r="F284" s="57">
        <f t="shared" si="9"/>
        <v>1</v>
      </c>
      <c r="G284" s="57">
        <v>26.5944</v>
      </c>
      <c r="H284" s="57">
        <v>27.476</v>
      </c>
      <c r="I284" s="57">
        <v>27.2611</v>
      </c>
      <c r="J284" s="33">
        <f t="shared" si="2"/>
        <v>0.8816</v>
      </c>
      <c r="K284" s="33">
        <f t="shared" si="3"/>
        <v>0.6667</v>
      </c>
    </row>
    <row r="285">
      <c r="A285" s="70">
        <v>44650.0</v>
      </c>
      <c r="B285" s="57">
        <v>2010.0</v>
      </c>
      <c r="C285" s="57" t="s">
        <v>177</v>
      </c>
      <c r="D285" s="57" t="s">
        <v>178</v>
      </c>
      <c r="E285" s="57" t="s">
        <v>179</v>
      </c>
      <c r="F285" s="57">
        <f t="shared" si="9"/>
        <v>1</v>
      </c>
      <c r="G285" s="57">
        <v>25.9486</v>
      </c>
      <c r="H285" s="57">
        <v>26.419</v>
      </c>
      <c r="I285" s="57">
        <v>26.135</v>
      </c>
      <c r="J285" s="33">
        <f t="shared" si="2"/>
        <v>0.4704</v>
      </c>
      <c r="K285" s="33">
        <f t="shared" si="3"/>
        <v>0.1864</v>
      </c>
    </row>
    <row r="286">
      <c r="A286" s="70">
        <v>44655.0</v>
      </c>
      <c r="B286" s="57">
        <v>2013.0</v>
      </c>
      <c r="C286" s="57" t="s">
        <v>177</v>
      </c>
      <c r="D286" s="57" t="s">
        <v>181</v>
      </c>
      <c r="E286" s="57" t="s">
        <v>182</v>
      </c>
      <c r="F286" s="57">
        <f t="shared" si="9"/>
        <v>0</v>
      </c>
      <c r="G286" s="57">
        <v>26.4542</v>
      </c>
      <c r="H286" s="57">
        <v>29.4439</v>
      </c>
      <c r="I286" s="57">
        <v>27.4593</v>
      </c>
      <c r="J286" s="33">
        <f t="shared" si="2"/>
        <v>2.9897</v>
      </c>
      <c r="K286" s="33">
        <f t="shared" si="3"/>
        <v>1.0051</v>
      </c>
    </row>
    <row r="287">
      <c r="A287" s="70">
        <v>44655.0</v>
      </c>
      <c r="B287" s="57">
        <v>2092.0</v>
      </c>
      <c r="C287" s="57" t="s">
        <v>177</v>
      </c>
      <c r="D287" s="57" t="s">
        <v>181</v>
      </c>
      <c r="E287" s="57" t="s">
        <v>179</v>
      </c>
      <c r="F287" s="57">
        <f t="shared" si="9"/>
        <v>0</v>
      </c>
      <c r="G287" s="57">
        <v>25.1796</v>
      </c>
      <c r="H287" s="57">
        <v>25.4185</v>
      </c>
      <c r="I287" s="57">
        <v>25.2479</v>
      </c>
      <c r="J287" s="33">
        <f t="shared" si="2"/>
        <v>0.2389</v>
      </c>
      <c r="K287" s="33">
        <f t="shared" si="3"/>
        <v>0.0683</v>
      </c>
    </row>
    <row r="288">
      <c r="A288" s="70">
        <v>44655.0</v>
      </c>
      <c r="B288" s="57">
        <v>2026.0</v>
      </c>
      <c r="C288" s="57" t="s">
        <v>177</v>
      </c>
      <c r="D288" s="57" t="s">
        <v>181</v>
      </c>
      <c r="E288" s="57" t="s">
        <v>182</v>
      </c>
      <c r="F288" s="57">
        <f t="shared" si="9"/>
        <v>0</v>
      </c>
      <c r="G288" s="57">
        <v>25.7074</v>
      </c>
      <c r="H288" s="57">
        <v>27.9593</v>
      </c>
      <c r="I288" s="57">
        <v>26.759</v>
      </c>
      <c r="J288" s="33">
        <f t="shared" si="2"/>
        <v>2.2519</v>
      </c>
      <c r="K288" s="33">
        <f t="shared" si="3"/>
        <v>1.0516</v>
      </c>
    </row>
    <row r="289">
      <c r="A289" s="70">
        <v>44655.0</v>
      </c>
      <c r="B289" s="57">
        <v>2013.0</v>
      </c>
      <c r="C289" s="57" t="s">
        <v>177</v>
      </c>
      <c r="D289" s="57" t="s">
        <v>178</v>
      </c>
      <c r="E289" s="57" t="s">
        <v>179</v>
      </c>
      <c r="F289" s="57">
        <f t="shared" si="9"/>
        <v>1</v>
      </c>
      <c r="G289" s="57">
        <v>25.6237</v>
      </c>
      <c r="H289" s="57">
        <v>28.488</v>
      </c>
      <c r="I289" s="57">
        <v>26.8815</v>
      </c>
      <c r="J289" s="33">
        <f t="shared" si="2"/>
        <v>2.8643</v>
      </c>
      <c r="K289" s="33">
        <f t="shared" si="3"/>
        <v>1.2578</v>
      </c>
    </row>
    <row r="290">
      <c r="A290" s="70">
        <v>44655.0</v>
      </c>
      <c r="B290" s="57">
        <v>2022.0</v>
      </c>
      <c r="C290" s="57" t="s">
        <v>177</v>
      </c>
      <c r="D290" s="57" t="s">
        <v>181</v>
      </c>
      <c r="E290" s="57" t="s">
        <v>182</v>
      </c>
      <c r="F290" s="57">
        <f t="shared" si="9"/>
        <v>0</v>
      </c>
      <c r="G290" s="57">
        <v>26.1673</v>
      </c>
      <c r="H290" s="57">
        <v>31.6713</v>
      </c>
      <c r="I290" s="57">
        <v>28.7058</v>
      </c>
      <c r="J290" s="33">
        <f t="shared" si="2"/>
        <v>5.504</v>
      </c>
      <c r="K290" s="33">
        <f t="shared" si="3"/>
        <v>2.5385</v>
      </c>
    </row>
    <row r="291">
      <c r="A291" s="70">
        <v>44650.0</v>
      </c>
      <c r="B291" s="57">
        <v>2384.0</v>
      </c>
      <c r="C291" s="57" t="s">
        <v>177</v>
      </c>
      <c r="D291" s="57" t="s">
        <v>181</v>
      </c>
      <c r="E291" s="57" t="s">
        <v>179</v>
      </c>
      <c r="F291" s="57">
        <f t="shared" si="9"/>
        <v>0</v>
      </c>
      <c r="G291" s="57">
        <v>26.1664</v>
      </c>
      <c r="H291" s="57">
        <v>26.2832</v>
      </c>
      <c r="I291" s="57">
        <v>26.248</v>
      </c>
      <c r="J291" s="33">
        <f t="shared" si="2"/>
        <v>0.1168</v>
      </c>
      <c r="K291" s="33">
        <f t="shared" si="3"/>
        <v>0.0816</v>
      </c>
    </row>
    <row r="292">
      <c r="A292" s="70">
        <v>44655.0</v>
      </c>
      <c r="B292" s="57">
        <v>2026.0</v>
      </c>
      <c r="C292" s="57" t="s">
        <v>177</v>
      </c>
      <c r="D292" s="57" t="s">
        <v>178</v>
      </c>
      <c r="E292" s="57" t="s">
        <v>179</v>
      </c>
      <c r="F292" s="57">
        <f t="shared" si="9"/>
        <v>1</v>
      </c>
      <c r="G292" s="57">
        <v>26.0857</v>
      </c>
      <c r="H292" s="57">
        <v>26.9894</v>
      </c>
      <c r="I292" s="57">
        <v>26.5122</v>
      </c>
      <c r="J292" s="33">
        <f t="shared" si="2"/>
        <v>0.9037</v>
      </c>
      <c r="K292" s="33">
        <f t="shared" si="3"/>
        <v>0.4265</v>
      </c>
    </row>
    <row r="293">
      <c r="A293" s="70">
        <v>44655.0</v>
      </c>
      <c r="B293" s="57">
        <v>1478.0</v>
      </c>
      <c r="C293" s="57" t="s">
        <v>180</v>
      </c>
      <c r="D293" s="57" t="s">
        <v>181</v>
      </c>
      <c r="E293" s="57" t="s">
        <v>179</v>
      </c>
      <c r="F293" s="57">
        <f t="shared" si="9"/>
        <v>0</v>
      </c>
      <c r="G293" s="57">
        <v>26.5554</v>
      </c>
      <c r="H293" s="57">
        <v>27.4331</v>
      </c>
      <c r="I293" s="57">
        <v>26.7978</v>
      </c>
      <c r="J293" s="33">
        <f t="shared" si="2"/>
        <v>0.8777</v>
      </c>
      <c r="K293" s="33">
        <f t="shared" si="3"/>
        <v>0.2424</v>
      </c>
    </row>
    <row r="294">
      <c r="A294" s="70">
        <v>44655.0</v>
      </c>
      <c r="B294" s="57">
        <v>2012.0</v>
      </c>
      <c r="C294" s="57" t="s">
        <v>180</v>
      </c>
      <c r="D294" s="57" t="s">
        <v>178</v>
      </c>
      <c r="E294" s="57" t="s">
        <v>179</v>
      </c>
      <c r="F294" s="57">
        <f t="shared" si="9"/>
        <v>1</v>
      </c>
      <c r="G294" s="57">
        <v>26.448</v>
      </c>
      <c r="H294" s="57">
        <v>28.2341</v>
      </c>
      <c r="I294" s="57">
        <v>27.3721</v>
      </c>
      <c r="J294" s="33">
        <f t="shared" si="2"/>
        <v>1.7861</v>
      </c>
      <c r="K294" s="33">
        <f t="shared" si="3"/>
        <v>0.9241</v>
      </c>
    </row>
    <row r="295">
      <c r="A295" s="70">
        <v>44655.0</v>
      </c>
      <c r="B295" s="57">
        <v>2007.0</v>
      </c>
      <c r="C295" s="57" t="s">
        <v>177</v>
      </c>
      <c r="D295" s="57" t="s">
        <v>181</v>
      </c>
      <c r="E295" s="57" t="s">
        <v>179</v>
      </c>
      <c r="F295" s="57">
        <f t="shared" si="9"/>
        <v>0</v>
      </c>
      <c r="G295" s="57">
        <v>25.4379</v>
      </c>
      <c r="H295" s="57">
        <v>26.1078</v>
      </c>
      <c r="I295" s="57">
        <v>25.7119</v>
      </c>
      <c r="J295" s="33">
        <f t="shared" si="2"/>
        <v>0.6699</v>
      </c>
      <c r="K295" s="33">
        <f t="shared" si="3"/>
        <v>0.274</v>
      </c>
    </row>
    <row r="296">
      <c r="A296" s="70">
        <v>44655.0</v>
      </c>
      <c r="B296" s="57">
        <v>2086.0</v>
      </c>
      <c r="C296" s="57" t="s">
        <v>180</v>
      </c>
      <c r="D296" s="57" t="s">
        <v>181</v>
      </c>
      <c r="E296" s="57" t="s">
        <v>179</v>
      </c>
      <c r="F296" s="57">
        <v>0.0</v>
      </c>
      <c r="G296" s="57">
        <v>26.5799</v>
      </c>
      <c r="H296" s="57">
        <v>27.1242</v>
      </c>
      <c r="I296" s="57">
        <v>26.7953</v>
      </c>
      <c r="J296" s="33">
        <f t="shared" si="2"/>
        <v>0.5443</v>
      </c>
      <c r="K296" s="33">
        <f t="shared" si="3"/>
        <v>0.2154</v>
      </c>
    </row>
    <row r="297">
      <c r="A297" s="70">
        <v>44650.0</v>
      </c>
      <c r="B297" s="57">
        <v>2384.0</v>
      </c>
      <c r="C297" s="57" t="s">
        <v>177</v>
      </c>
      <c r="D297" s="57" t="s">
        <v>181</v>
      </c>
      <c r="E297" s="57" t="s">
        <v>182</v>
      </c>
      <c r="F297" s="57">
        <f t="shared" ref="F297:F370" si="10">if(D297="old",1,0)</f>
        <v>0</v>
      </c>
      <c r="G297" s="57">
        <v>26.1053</v>
      </c>
      <c r="H297" s="57">
        <v>29.6582</v>
      </c>
      <c r="I297" s="57">
        <v>27.664</v>
      </c>
      <c r="J297" s="33">
        <f t="shared" si="2"/>
        <v>3.5529</v>
      </c>
      <c r="K297" s="33">
        <f t="shared" si="3"/>
        <v>1.5587</v>
      </c>
    </row>
    <row r="298">
      <c r="A298" s="70">
        <v>44650.0</v>
      </c>
      <c r="B298" s="57">
        <v>2347.0</v>
      </c>
      <c r="C298" s="57" t="s">
        <v>177</v>
      </c>
      <c r="D298" s="57" t="s">
        <v>181</v>
      </c>
      <c r="E298" s="57" t="s">
        <v>179</v>
      </c>
      <c r="F298" s="57">
        <f t="shared" si="10"/>
        <v>0</v>
      </c>
      <c r="G298" s="57">
        <v>26.2544</v>
      </c>
      <c r="H298" s="57">
        <v>27.0829</v>
      </c>
      <c r="I298" s="57">
        <v>26.5148</v>
      </c>
      <c r="J298" s="33">
        <f t="shared" si="2"/>
        <v>0.8285</v>
      </c>
      <c r="K298" s="33">
        <f t="shared" si="3"/>
        <v>0.2604</v>
      </c>
    </row>
    <row r="299">
      <c r="A299" s="70">
        <v>44650.0</v>
      </c>
      <c r="B299" s="57">
        <v>2381.0</v>
      </c>
      <c r="C299" s="57" t="s">
        <v>177</v>
      </c>
      <c r="D299" s="57" t="s">
        <v>178</v>
      </c>
      <c r="E299" s="57" t="s">
        <v>179</v>
      </c>
      <c r="F299" s="57">
        <f t="shared" si="10"/>
        <v>1</v>
      </c>
      <c r="G299" s="57">
        <v>26.3275</v>
      </c>
      <c r="H299" s="57">
        <v>26.2529</v>
      </c>
      <c r="I299" s="57">
        <v>26.4862</v>
      </c>
      <c r="J299" s="33">
        <f t="shared" si="2"/>
        <v>-0.0746</v>
      </c>
      <c r="K299" s="33">
        <f t="shared" si="3"/>
        <v>0.1587</v>
      </c>
    </row>
    <row r="300">
      <c r="A300" s="70">
        <v>44655.0</v>
      </c>
      <c r="B300" s="57">
        <v>2008.0</v>
      </c>
      <c r="C300" s="57" t="s">
        <v>177</v>
      </c>
      <c r="D300" s="57" t="s">
        <v>178</v>
      </c>
      <c r="E300" s="57" t="s">
        <v>179</v>
      </c>
      <c r="F300" s="57">
        <f t="shared" si="10"/>
        <v>1</v>
      </c>
      <c r="G300" s="57">
        <v>26.1334</v>
      </c>
      <c r="H300" s="57">
        <v>27.5978</v>
      </c>
      <c r="I300" s="57">
        <v>26.4768</v>
      </c>
      <c r="J300" s="33">
        <f t="shared" si="2"/>
        <v>1.4644</v>
      </c>
      <c r="K300" s="33">
        <f t="shared" si="3"/>
        <v>0.3434</v>
      </c>
    </row>
    <row r="301">
      <c r="A301" s="70">
        <v>44655.0</v>
      </c>
      <c r="B301" s="57">
        <v>2015.0</v>
      </c>
      <c r="C301" s="57" t="s">
        <v>180</v>
      </c>
      <c r="D301" s="57" t="s">
        <v>181</v>
      </c>
      <c r="E301" s="57" t="s">
        <v>182</v>
      </c>
      <c r="F301" s="57">
        <f t="shared" si="10"/>
        <v>0</v>
      </c>
      <c r="G301" s="57">
        <v>26.5947</v>
      </c>
      <c r="H301" s="57">
        <v>33.1649</v>
      </c>
      <c r="I301" s="57">
        <v>29.6256</v>
      </c>
      <c r="J301" s="33">
        <f t="shared" si="2"/>
        <v>6.5702</v>
      </c>
      <c r="K301" s="33">
        <f t="shared" si="3"/>
        <v>3.0309</v>
      </c>
    </row>
    <row r="302">
      <c r="A302" s="70">
        <v>44655.0</v>
      </c>
      <c r="B302" s="57">
        <v>2085.0</v>
      </c>
      <c r="C302" s="57" t="s">
        <v>177</v>
      </c>
      <c r="D302" s="57" t="s">
        <v>181</v>
      </c>
      <c r="E302" s="57" t="s">
        <v>182</v>
      </c>
      <c r="F302" s="57">
        <f t="shared" si="10"/>
        <v>0</v>
      </c>
      <c r="G302" s="57">
        <v>26.0879</v>
      </c>
      <c r="H302" s="57">
        <v>33.7324</v>
      </c>
      <c r="I302" s="57">
        <v>28.9513</v>
      </c>
      <c r="J302" s="33">
        <f t="shared" si="2"/>
        <v>7.6445</v>
      </c>
      <c r="K302" s="33">
        <f t="shared" si="3"/>
        <v>2.8634</v>
      </c>
    </row>
    <row r="303">
      <c r="A303" s="70">
        <v>44655.0</v>
      </c>
      <c r="B303" s="57" t="s">
        <v>184</v>
      </c>
      <c r="C303" s="57" t="s">
        <v>177</v>
      </c>
      <c r="D303" s="57" t="s">
        <v>181</v>
      </c>
      <c r="E303" s="57" t="s">
        <v>183</v>
      </c>
      <c r="F303" s="57">
        <f t="shared" si="10"/>
        <v>0</v>
      </c>
      <c r="G303" s="57">
        <v>26.5227</v>
      </c>
      <c r="H303" s="57">
        <v>30.1783</v>
      </c>
      <c r="I303" s="57">
        <v>27.6461</v>
      </c>
      <c r="J303" s="33">
        <f t="shared" si="2"/>
        <v>3.6556</v>
      </c>
      <c r="K303" s="33">
        <f t="shared" si="3"/>
        <v>1.1234</v>
      </c>
    </row>
    <row r="304">
      <c r="A304" s="70">
        <v>44655.0</v>
      </c>
      <c r="B304" s="57">
        <v>2007.0</v>
      </c>
      <c r="C304" s="57" t="s">
        <v>177</v>
      </c>
      <c r="D304" s="57" t="s">
        <v>181</v>
      </c>
      <c r="E304" s="57" t="s">
        <v>182</v>
      </c>
      <c r="F304" s="57">
        <f t="shared" si="10"/>
        <v>0</v>
      </c>
      <c r="G304" s="57">
        <v>26.4962</v>
      </c>
      <c r="H304" s="57">
        <v>32.144</v>
      </c>
      <c r="I304" s="57">
        <v>29.3995</v>
      </c>
      <c r="J304" s="33">
        <f t="shared" si="2"/>
        <v>5.6478</v>
      </c>
      <c r="K304" s="33">
        <f t="shared" si="3"/>
        <v>2.9033</v>
      </c>
    </row>
    <row r="305">
      <c r="A305" s="70">
        <v>44650.0</v>
      </c>
      <c r="B305" s="57">
        <v>2345.0</v>
      </c>
      <c r="C305" s="57" t="s">
        <v>177</v>
      </c>
      <c r="D305" s="57" t="s">
        <v>178</v>
      </c>
      <c r="E305" s="57" t="s">
        <v>179</v>
      </c>
      <c r="F305" s="57">
        <f t="shared" si="10"/>
        <v>1</v>
      </c>
      <c r="G305" s="57">
        <v>26.6145</v>
      </c>
      <c r="H305" s="57">
        <v>27.894</v>
      </c>
      <c r="I305" s="57">
        <v>27.3226</v>
      </c>
      <c r="J305" s="33">
        <f t="shared" si="2"/>
        <v>1.2795</v>
      </c>
      <c r="K305" s="33">
        <f t="shared" si="3"/>
        <v>0.7081</v>
      </c>
    </row>
    <row r="306">
      <c r="A306" s="70">
        <v>44655.0</v>
      </c>
      <c r="B306" s="57">
        <v>2012.0</v>
      </c>
      <c r="C306" s="57" t="s">
        <v>180</v>
      </c>
      <c r="D306" s="57" t="s">
        <v>181</v>
      </c>
      <c r="E306" s="57" t="s">
        <v>179</v>
      </c>
      <c r="F306" s="57">
        <f t="shared" si="10"/>
        <v>0</v>
      </c>
      <c r="G306" s="57">
        <v>16.123</v>
      </c>
      <c r="H306" s="57">
        <v>16.4875</v>
      </c>
      <c r="I306" s="57">
        <v>16.2351</v>
      </c>
      <c r="J306" s="33">
        <f t="shared" si="2"/>
        <v>0.3645</v>
      </c>
      <c r="K306" s="33">
        <f t="shared" si="3"/>
        <v>0.1121</v>
      </c>
    </row>
    <row r="307">
      <c r="A307" s="70">
        <v>44655.0</v>
      </c>
      <c r="B307" s="57">
        <v>2004.0</v>
      </c>
      <c r="C307" s="57" t="s">
        <v>177</v>
      </c>
      <c r="D307" s="57" t="s">
        <v>178</v>
      </c>
      <c r="E307" s="57" t="s">
        <v>179</v>
      </c>
      <c r="F307" s="57">
        <f t="shared" si="10"/>
        <v>1</v>
      </c>
      <c r="G307" s="57">
        <v>25.8023</v>
      </c>
      <c r="H307" s="57">
        <v>27.4389</v>
      </c>
      <c r="I307" s="57">
        <v>26.5635</v>
      </c>
      <c r="J307" s="33">
        <f t="shared" si="2"/>
        <v>1.6366</v>
      </c>
      <c r="K307" s="33">
        <f t="shared" si="3"/>
        <v>0.7612</v>
      </c>
    </row>
    <row r="308">
      <c r="A308" s="70">
        <v>44655.0</v>
      </c>
      <c r="B308" s="57">
        <v>2030.0</v>
      </c>
      <c r="C308" s="57" t="s">
        <v>177</v>
      </c>
      <c r="D308" s="57" t="s">
        <v>181</v>
      </c>
      <c r="E308" s="57" t="s">
        <v>179</v>
      </c>
      <c r="F308" s="57">
        <f t="shared" si="10"/>
        <v>0</v>
      </c>
      <c r="G308" s="57">
        <v>26.4899</v>
      </c>
      <c r="H308" s="57">
        <v>27.2006</v>
      </c>
      <c r="I308" s="57">
        <v>26.7677</v>
      </c>
      <c r="J308" s="33">
        <f t="shared" si="2"/>
        <v>0.7107</v>
      </c>
      <c r="K308" s="33">
        <f t="shared" si="3"/>
        <v>0.2778</v>
      </c>
    </row>
    <row r="309">
      <c r="A309" s="70">
        <v>44655.0</v>
      </c>
      <c r="B309" s="57">
        <v>2087.0</v>
      </c>
      <c r="C309" s="57" t="s">
        <v>180</v>
      </c>
      <c r="D309" s="57" t="s">
        <v>181</v>
      </c>
      <c r="E309" s="57" t="s">
        <v>182</v>
      </c>
      <c r="F309" s="57">
        <f t="shared" si="10"/>
        <v>0</v>
      </c>
      <c r="G309" s="57">
        <v>25.9988</v>
      </c>
      <c r="H309" s="57">
        <v>31.9758</v>
      </c>
      <c r="I309" s="57">
        <v>28.3327</v>
      </c>
      <c r="J309" s="33">
        <f t="shared" si="2"/>
        <v>5.977</v>
      </c>
      <c r="K309" s="33">
        <f t="shared" si="3"/>
        <v>2.3339</v>
      </c>
    </row>
    <row r="310">
      <c r="A310" s="70">
        <v>44655.0</v>
      </c>
      <c r="B310" s="57">
        <v>2012.0</v>
      </c>
      <c r="C310" s="57" t="s">
        <v>180</v>
      </c>
      <c r="D310" s="57" t="s">
        <v>181</v>
      </c>
      <c r="E310" s="57" t="s">
        <v>182</v>
      </c>
      <c r="F310" s="57">
        <f t="shared" si="10"/>
        <v>0</v>
      </c>
      <c r="G310" s="57">
        <v>25.365</v>
      </c>
      <c r="H310" s="57">
        <v>29.7704</v>
      </c>
      <c r="I310" s="57">
        <v>27.07</v>
      </c>
      <c r="J310" s="33">
        <f t="shared" si="2"/>
        <v>4.4054</v>
      </c>
      <c r="K310" s="33">
        <f t="shared" si="3"/>
        <v>1.705</v>
      </c>
    </row>
    <row r="311">
      <c r="A311" s="70">
        <v>44650.0</v>
      </c>
      <c r="B311" s="57">
        <v>2382.0</v>
      </c>
      <c r="C311" s="57" t="s">
        <v>177</v>
      </c>
      <c r="D311" s="57" t="s">
        <v>178</v>
      </c>
      <c r="E311" s="57" t="s">
        <v>179</v>
      </c>
      <c r="F311" s="57">
        <f t="shared" si="10"/>
        <v>1</v>
      </c>
      <c r="G311" s="57">
        <v>26.0374</v>
      </c>
      <c r="H311" s="57">
        <v>26.9875</v>
      </c>
      <c r="I311" s="57">
        <v>26.4651</v>
      </c>
      <c r="J311" s="33">
        <f t="shared" si="2"/>
        <v>0.9501</v>
      </c>
      <c r="K311" s="33">
        <f t="shared" si="3"/>
        <v>0.4277</v>
      </c>
    </row>
    <row r="312">
      <c r="A312" s="70">
        <v>44655.0</v>
      </c>
      <c r="B312" s="57">
        <v>2023.0</v>
      </c>
      <c r="C312" s="57" t="s">
        <v>177</v>
      </c>
      <c r="D312" s="57" t="s">
        <v>181</v>
      </c>
      <c r="E312" s="57" t="s">
        <v>179</v>
      </c>
      <c r="F312" s="57">
        <f t="shared" si="10"/>
        <v>0</v>
      </c>
      <c r="G312" s="57">
        <v>15.9682</v>
      </c>
      <c r="H312" s="57">
        <v>16.3341</v>
      </c>
      <c r="I312" s="57">
        <v>16.2189</v>
      </c>
      <c r="J312" s="33">
        <f t="shared" si="2"/>
        <v>0.3659</v>
      </c>
      <c r="K312" s="33">
        <f t="shared" si="3"/>
        <v>0.2507</v>
      </c>
    </row>
    <row r="313">
      <c r="A313" s="70">
        <v>44650.0</v>
      </c>
      <c r="B313" s="57">
        <v>2369.0</v>
      </c>
      <c r="C313" s="57" t="s">
        <v>177</v>
      </c>
      <c r="D313" s="57" t="s">
        <v>181</v>
      </c>
      <c r="E313" s="57" t="s">
        <v>182</v>
      </c>
      <c r="F313" s="57">
        <f t="shared" si="10"/>
        <v>0</v>
      </c>
      <c r="G313" s="57">
        <v>26.1613</v>
      </c>
      <c r="H313" s="57">
        <v>33.6503</v>
      </c>
      <c r="I313" s="57">
        <v>29.3577</v>
      </c>
      <c r="J313" s="33">
        <f t="shared" si="2"/>
        <v>7.489</v>
      </c>
      <c r="K313" s="33">
        <f t="shared" si="3"/>
        <v>3.1964</v>
      </c>
    </row>
    <row r="314">
      <c r="A314" s="70">
        <v>44650.0</v>
      </c>
      <c r="B314" s="57">
        <v>2354.0</v>
      </c>
      <c r="C314" s="57" t="s">
        <v>177</v>
      </c>
      <c r="D314" s="57" t="s">
        <v>178</v>
      </c>
      <c r="E314" s="57" t="s">
        <v>182</v>
      </c>
      <c r="F314" s="57">
        <f t="shared" si="10"/>
        <v>1</v>
      </c>
      <c r="G314" s="57">
        <v>26.1545</v>
      </c>
      <c r="H314" s="57">
        <v>27.108</v>
      </c>
      <c r="I314" s="57">
        <v>26.9366</v>
      </c>
      <c r="J314" s="33">
        <f t="shared" si="2"/>
        <v>0.9535</v>
      </c>
      <c r="K314" s="33">
        <f t="shared" si="3"/>
        <v>0.7821</v>
      </c>
    </row>
    <row r="315">
      <c r="A315" s="70">
        <v>44655.0</v>
      </c>
      <c r="B315" s="57">
        <v>2021.0</v>
      </c>
      <c r="C315" s="57" t="s">
        <v>177</v>
      </c>
      <c r="D315" s="57" t="s">
        <v>181</v>
      </c>
      <c r="E315" s="57" t="s">
        <v>179</v>
      </c>
      <c r="F315" s="57">
        <f t="shared" si="10"/>
        <v>0</v>
      </c>
      <c r="G315" s="57">
        <v>25.801</v>
      </c>
      <c r="H315" s="57">
        <v>26.3042</v>
      </c>
      <c r="I315" s="57">
        <v>25.9944</v>
      </c>
      <c r="J315" s="33">
        <f t="shared" si="2"/>
        <v>0.5032</v>
      </c>
      <c r="K315" s="33">
        <f t="shared" si="3"/>
        <v>0.1934</v>
      </c>
    </row>
    <row r="316">
      <c r="A316" s="70">
        <v>44655.0</v>
      </c>
      <c r="B316" s="57">
        <v>2006.0</v>
      </c>
      <c r="C316" s="57" t="s">
        <v>177</v>
      </c>
      <c r="D316" s="57" t="s">
        <v>178</v>
      </c>
      <c r="E316" s="57" t="s">
        <v>179</v>
      </c>
      <c r="F316" s="57">
        <f t="shared" si="10"/>
        <v>1</v>
      </c>
      <c r="G316" s="57">
        <v>25.75</v>
      </c>
      <c r="H316" s="57">
        <v>27.149</v>
      </c>
      <c r="I316" s="57">
        <v>26.2043</v>
      </c>
      <c r="J316" s="33">
        <f t="shared" si="2"/>
        <v>1.399</v>
      </c>
      <c r="K316" s="33">
        <f t="shared" si="3"/>
        <v>0.4543</v>
      </c>
    </row>
    <row r="317">
      <c r="A317" s="70">
        <v>44650.0</v>
      </c>
      <c r="B317" s="57">
        <v>2371.0</v>
      </c>
      <c r="C317" s="57" t="s">
        <v>177</v>
      </c>
      <c r="D317" s="57" t="s">
        <v>181</v>
      </c>
      <c r="E317" s="57" t="s">
        <v>182</v>
      </c>
      <c r="F317" s="57">
        <f t="shared" si="10"/>
        <v>0</v>
      </c>
      <c r="G317" s="57">
        <v>26.3058</v>
      </c>
      <c r="H317" s="57">
        <v>30.5022</v>
      </c>
      <c r="I317" s="57">
        <v>27.5725</v>
      </c>
      <c r="J317" s="33">
        <f t="shared" si="2"/>
        <v>4.1964</v>
      </c>
      <c r="K317" s="33">
        <f t="shared" si="3"/>
        <v>1.2667</v>
      </c>
    </row>
    <row r="318">
      <c r="A318" s="70">
        <v>44655.0</v>
      </c>
      <c r="B318" s="57">
        <v>2092.0</v>
      </c>
      <c r="C318" s="57" t="s">
        <v>177</v>
      </c>
      <c r="D318" s="57" t="s">
        <v>178</v>
      </c>
      <c r="E318" s="57" t="s">
        <v>179</v>
      </c>
      <c r="F318" s="57">
        <f t="shared" si="10"/>
        <v>1</v>
      </c>
      <c r="G318" s="57">
        <v>26.1284</v>
      </c>
      <c r="H318" s="57">
        <v>26.683</v>
      </c>
      <c r="I318" s="57">
        <v>26.5907</v>
      </c>
      <c r="J318" s="33">
        <f t="shared" si="2"/>
        <v>0.5546</v>
      </c>
      <c r="K318" s="33">
        <f t="shared" si="3"/>
        <v>0.4623</v>
      </c>
    </row>
    <row r="319">
      <c r="A319" s="70">
        <v>44655.0</v>
      </c>
      <c r="B319" s="57">
        <v>2090.0</v>
      </c>
      <c r="C319" s="57" t="s">
        <v>177</v>
      </c>
      <c r="D319" s="57" t="s">
        <v>181</v>
      </c>
      <c r="E319" s="57" t="s">
        <v>179</v>
      </c>
      <c r="F319" s="57">
        <f t="shared" si="10"/>
        <v>0</v>
      </c>
      <c r="G319" s="57">
        <v>26.0638</v>
      </c>
      <c r="H319" s="57">
        <v>26.846</v>
      </c>
      <c r="I319" s="57">
        <v>26.1948</v>
      </c>
      <c r="J319" s="33">
        <f t="shared" si="2"/>
        <v>0.7822</v>
      </c>
      <c r="K319" s="33">
        <f t="shared" si="3"/>
        <v>0.131</v>
      </c>
    </row>
    <row r="320">
      <c r="A320" s="70">
        <v>44650.0</v>
      </c>
      <c r="B320" s="57">
        <v>2375.0</v>
      </c>
      <c r="C320" s="57" t="s">
        <v>177</v>
      </c>
      <c r="D320" s="57" t="s">
        <v>181</v>
      </c>
      <c r="E320" s="57" t="s">
        <v>179</v>
      </c>
      <c r="F320" s="57">
        <f t="shared" si="10"/>
        <v>0</v>
      </c>
      <c r="G320" s="57">
        <v>26.3379</v>
      </c>
      <c r="H320" s="57">
        <v>27.0124</v>
      </c>
      <c r="I320" s="57">
        <v>26.6872</v>
      </c>
      <c r="J320" s="33">
        <f t="shared" si="2"/>
        <v>0.6745</v>
      </c>
      <c r="K320" s="33">
        <f t="shared" si="3"/>
        <v>0.3493</v>
      </c>
    </row>
    <row r="321">
      <c r="A321" s="70">
        <v>44655.0</v>
      </c>
      <c r="B321" s="57">
        <v>2089.0</v>
      </c>
      <c r="C321" s="57" t="s">
        <v>177</v>
      </c>
      <c r="D321" s="57" t="s">
        <v>178</v>
      </c>
      <c r="E321" s="57" t="s">
        <v>179</v>
      </c>
      <c r="F321" s="57">
        <f t="shared" si="10"/>
        <v>1</v>
      </c>
      <c r="G321" s="57">
        <v>26.2535</v>
      </c>
      <c r="H321" s="57">
        <v>27.4205</v>
      </c>
      <c r="I321" s="57">
        <v>27.0992</v>
      </c>
      <c r="J321" s="33">
        <f t="shared" si="2"/>
        <v>1.167</v>
      </c>
      <c r="K321" s="33">
        <f t="shared" si="3"/>
        <v>0.8457</v>
      </c>
    </row>
    <row r="322">
      <c r="A322" s="70">
        <v>44650.0</v>
      </c>
      <c r="B322" s="57">
        <v>2371.0</v>
      </c>
      <c r="C322" s="57" t="s">
        <v>177</v>
      </c>
      <c r="D322" s="57" t="s">
        <v>178</v>
      </c>
      <c r="E322" s="57" t="s">
        <v>179</v>
      </c>
      <c r="F322" s="57">
        <f t="shared" si="10"/>
        <v>1</v>
      </c>
      <c r="G322" s="57">
        <v>15.0902</v>
      </c>
      <c r="H322" s="57">
        <v>16.0393</v>
      </c>
      <c r="I322" s="57">
        <v>15.3919</v>
      </c>
      <c r="J322" s="33">
        <f t="shared" si="2"/>
        <v>0.9491</v>
      </c>
      <c r="K322" s="33">
        <f t="shared" si="3"/>
        <v>0.3017</v>
      </c>
    </row>
    <row r="323">
      <c r="A323" s="70">
        <v>44655.0</v>
      </c>
      <c r="B323" s="57">
        <v>2020.0</v>
      </c>
      <c r="C323" s="57" t="s">
        <v>177</v>
      </c>
      <c r="D323" s="57" t="s">
        <v>181</v>
      </c>
      <c r="E323" s="57" t="s">
        <v>179</v>
      </c>
      <c r="F323" s="57">
        <f t="shared" si="10"/>
        <v>0</v>
      </c>
      <c r="G323" s="57">
        <v>15.5764</v>
      </c>
      <c r="H323" s="57">
        <v>17.1744</v>
      </c>
      <c r="I323" s="57">
        <v>16.0264</v>
      </c>
      <c r="J323" s="33">
        <f t="shared" si="2"/>
        <v>1.598</v>
      </c>
      <c r="K323" s="33">
        <f t="shared" si="3"/>
        <v>0.45</v>
      </c>
    </row>
    <row r="324">
      <c r="A324" s="70">
        <v>44650.0</v>
      </c>
      <c r="B324" s="57">
        <v>2347.0</v>
      </c>
      <c r="C324" s="57" t="s">
        <v>177</v>
      </c>
      <c r="D324" s="57" t="s">
        <v>181</v>
      </c>
      <c r="E324" s="57" t="s">
        <v>182</v>
      </c>
      <c r="F324" s="57">
        <f t="shared" si="10"/>
        <v>0</v>
      </c>
      <c r="G324" s="57">
        <v>25.9683</v>
      </c>
      <c r="H324" s="57">
        <v>33.5063</v>
      </c>
      <c r="I324" s="57">
        <v>28.8823</v>
      </c>
      <c r="J324" s="33">
        <f t="shared" si="2"/>
        <v>7.538</v>
      </c>
      <c r="K324" s="33">
        <f t="shared" si="3"/>
        <v>2.914</v>
      </c>
    </row>
    <row r="325">
      <c r="A325" s="70">
        <v>44655.0</v>
      </c>
      <c r="B325" s="57">
        <v>2024.0</v>
      </c>
      <c r="C325" s="57" t="s">
        <v>180</v>
      </c>
      <c r="D325" s="57" t="s">
        <v>181</v>
      </c>
      <c r="E325" s="57" t="s">
        <v>182</v>
      </c>
      <c r="F325" s="57">
        <f t="shared" si="10"/>
        <v>0</v>
      </c>
      <c r="G325" s="57">
        <v>16.4334</v>
      </c>
      <c r="H325" s="57">
        <v>23.4646</v>
      </c>
      <c r="I325" s="57">
        <v>19.685</v>
      </c>
      <c r="J325" s="33">
        <f t="shared" si="2"/>
        <v>7.0312</v>
      </c>
      <c r="K325" s="33">
        <f t="shared" si="3"/>
        <v>3.2516</v>
      </c>
    </row>
    <row r="326">
      <c r="A326" s="70">
        <v>44655.0</v>
      </c>
      <c r="B326" s="57">
        <v>2012.0</v>
      </c>
      <c r="C326" s="57" t="s">
        <v>177</v>
      </c>
      <c r="D326" s="57" t="s">
        <v>181</v>
      </c>
      <c r="E326" s="57" t="s">
        <v>179</v>
      </c>
      <c r="F326" s="57">
        <f t="shared" si="10"/>
        <v>0</v>
      </c>
      <c r="G326" s="57">
        <v>26.4005</v>
      </c>
      <c r="H326" s="57">
        <v>27.052</v>
      </c>
      <c r="I326" s="57">
        <v>26.6439</v>
      </c>
      <c r="J326" s="33">
        <f t="shared" si="2"/>
        <v>0.6515</v>
      </c>
      <c r="K326" s="33">
        <f t="shared" si="3"/>
        <v>0.2434</v>
      </c>
    </row>
    <row r="327">
      <c r="A327" s="70">
        <v>44650.0</v>
      </c>
      <c r="B327" s="57">
        <v>2376.0</v>
      </c>
      <c r="C327" s="57" t="s">
        <v>177</v>
      </c>
      <c r="D327" s="57" t="s">
        <v>178</v>
      </c>
      <c r="E327" s="57" t="s">
        <v>182</v>
      </c>
      <c r="F327" s="57">
        <f t="shared" si="10"/>
        <v>1</v>
      </c>
      <c r="G327" s="57">
        <v>25.5168</v>
      </c>
      <c r="H327" s="57">
        <v>32.3589</v>
      </c>
      <c r="I327" s="57">
        <v>29.1891</v>
      </c>
      <c r="J327" s="33">
        <f t="shared" si="2"/>
        <v>6.8421</v>
      </c>
      <c r="K327" s="33">
        <f t="shared" si="3"/>
        <v>3.6723</v>
      </c>
    </row>
    <row r="328">
      <c r="A328" s="70">
        <v>44650.0</v>
      </c>
      <c r="B328" s="57">
        <v>2383.0</v>
      </c>
      <c r="C328" s="57" t="s">
        <v>177</v>
      </c>
      <c r="D328" s="57" t="s">
        <v>181</v>
      </c>
      <c r="E328" s="57" t="s">
        <v>182</v>
      </c>
      <c r="F328" s="57">
        <f t="shared" si="10"/>
        <v>0</v>
      </c>
      <c r="G328" s="57">
        <v>25.7952</v>
      </c>
      <c r="H328" s="57">
        <v>32.8724</v>
      </c>
      <c r="I328" s="57">
        <v>29.1289</v>
      </c>
      <c r="J328" s="33">
        <f t="shared" si="2"/>
        <v>7.0772</v>
      </c>
      <c r="K328" s="33">
        <f t="shared" si="3"/>
        <v>3.3337</v>
      </c>
    </row>
    <row r="329">
      <c r="A329" s="70">
        <v>44650.0</v>
      </c>
      <c r="B329" s="57">
        <v>2346.0</v>
      </c>
      <c r="C329" s="57" t="s">
        <v>177</v>
      </c>
      <c r="D329" s="57" t="s">
        <v>181</v>
      </c>
      <c r="E329" s="57" t="s">
        <v>182</v>
      </c>
      <c r="F329" s="57">
        <f t="shared" si="10"/>
        <v>0</v>
      </c>
      <c r="G329" s="57">
        <v>25.5681</v>
      </c>
      <c r="H329" s="57">
        <v>28.7672</v>
      </c>
      <c r="I329" s="57">
        <v>26.6059</v>
      </c>
      <c r="J329" s="33">
        <f t="shared" si="2"/>
        <v>3.1991</v>
      </c>
      <c r="K329" s="33">
        <f t="shared" si="3"/>
        <v>1.0378</v>
      </c>
    </row>
    <row r="330">
      <c r="A330" s="70">
        <v>44650.0</v>
      </c>
      <c r="B330" s="57">
        <v>2331.0</v>
      </c>
      <c r="C330" s="57" t="s">
        <v>177</v>
      </c>
      <c r="D330" s="57" t="s">
        <v>181</v>
      </c>
      <c r="E330" s="57" t="s">
        <v>182</v>
      </c>
      <c r="F330" s="57">
        <f t="shared" si="10"/>
        <v>0</v>
      </c>
      <c r="G330" s="57">
        <v>26.2116</v>
      </c>
      <c r="H330" s="57">
        <v>26.7854</v>
      </c>
      <c r="I330" s="57">
        <v>26.5005</v>
      </c>
      <c r="J330" s="33">
        <f t="shared" si="2"/>
        <v>0.5738</v>
      </c>
      <c r="K330" s="33">
        <f t="shared" si="3"/>
        <v>0.2889</v>
      </c>
    </row>
    <row r="331">
      <c r="A331" s="70">
        <v>44655.0</v>
      </c>
      <c r="B331" s="57">
        <v>2092.0</v>
      </c>
      <c r="C331" s="57" t="s">
        <v>177</v>
      </c>
      <c r="D331" s="57" t="s">
        <v>181</v>
      </c>
      <c r="E331" s="57" t="s">
        <v>182</v>
      </c>
      <c r="F331" s="57">
        <f t="shared" si="10"/>
        <v>0</v>
      </c>
      <c r="G331" s="57">
        <v>26.241</v>
      </c>
      <c r="H331" s="57">
        <v>26.2698</v>
      </c>
      <c r="I331" s="57">
        <v>26.416</v>
      </c>
      <c r="J331" s="33">
        <f t="shared" si="2"/>
        <v>0.0288</v>
      </c>
      <c r="K331" s="33">
        <f t="shared" si="3"/>
        <v>0.175</v>
      </c>
    </row>
    <row r="332">
      <c r="A332" s="70">
        <v>44655.0</v>
      </c>
      <c r="B332" s="57">
        <v>2020.0</v>
      </c>
      <c r="C332" s="57" t="s">
        <v>177</v>
      </c>
      <c r="D332" s="57" t="s">
        <v>178</v>
      </c>
      <c r="E332" s="57" t="s">
        <v>179</v>
      </c>
      <c r="F332" s="57">
        <f t="shared" si="10"/>
        <v>1</v>
      </c>
      <c r="G332" s="57">
        <v>15.0691</v>
      </c>
      <c r="H332" s="57">
        <v>15.9741</v>
      </c>
      <c r="I332" s="57">
        <v>15.4491</v>
      </c>
      <c r="J332" s="33">
        <f t="shared" si="2"/>
        <v>0.905</v>
      </c>
      <c r="K332" s="33">
        <f t="shared" si="3"/>
        <v>0.38</v>
      </c>
    </row>
    <row r="333">
      <c r="A333" s="70">
        <v>44655.0</v>
      </c>
      <c r="B333" s="57">
        <v>2087.0</v>
      </c>
      <c r="C333" s="57" t="s">
        <v>180</v>
      </c>
      <c r="D333" s="57" t="s">
        <v>178</v>
      </c>
      <c r="E333" s="57" t="s">
        <v>179</v>
      </c>
      <c r="F333" s="57">
        <f t="shared" si="10"/>
        <v>1</v>
      </c>
      <c r="G333" s="57">
        <v>15.5214</v>
      </c>
      <c r="H333" s="57">
        <v>17.2327</v>
      </c>
      <c r="I333" s="57">
        <v>16.3588</v>
      </c>
      <c r="J333" s="33">
        <f t="shared" si="2"/>
        <v>1.7113</v>
      </c>
      <c r="K333" s="33">
        <f t="shared" si="3"/>
        <v>0.8374</v>
      </c>
    </row>
    <row r="334">
      <c r="A334" s="70">
        <v>44655.0</v>
      </c>
      <c r="B334" s="57">
        <v>2014.0</v>
      </c>
      <c r="C334" s="57" t="s">
        <v>177</v>
      </c>
      <c r="D334" s="57" t="s">
        <v>181</v>
      </c>
      <c r="E334" s="57" t="s">
        <v>182</v>
      </c>
      <c r="F334" s="57">
        <f t="shared" si="10"/>
        <v>0</v>
      </c>
      <c r="G334" s="57">
        <v>25.9805</v>
      </c>
      <c r="H334" s="57">
        <v>30.6716</v>
      </c>
      <c r="I334" s="57">
        <v>27.7759</v>
      </c>
      <c r="J334" s="33">
        <f t="shared" si="2"/>
        <v>4.6911</v>
      </c>
      <c r="K334" s="33">
        <f t="shared" si="3"/>
        <v>1.7954</v>
      </c>
    </row>
    <row r="335">
      <c r="A335" s="70">
        <v>44655.0</v>
      </c>
      <c r="B335" s="57">
        <v>2088.0</v>
      </c>
      <c r="C335" s="57" t="s">
        <v>180</v>
      </c>
      <c r="D335" s="57" t="s">
        <v>181</v>
      </c>
      <c r="E335" s="57" t="s">
        <v>182</v>
      </c>
      <c r="F335" s="57">
        <f t="shared" si="10"/>
        <v>0</v>
      </c>
      <c r="G335" s="57">
        <v>26.1487</v>
      </c>
      <c r="H335" s="57">
        <v>34.5424</v>
      </c>
      <c r="I335" s="57">
        <v>29.7305</v>
      </c>
      <c r="J335" s="33">
        <f t="shared" si="2"/>
        <v>8.3937</v>
      </c>
      <c r="K335" s="33">
        <f t="shared" si="3"/>
        <v>3.5818</v>
      </c>
    </row>
    <row r="336">
      <c r="A336" s="70">
        <v>44655.0</v>
      </c>
      <c r="B336" s="57">
        <v>2006.0</v>
      </c>
      <c r="C336" s="57" t="s">
        <v>177</v>
      </c>
      <c r="D336" s="57" t="s">
        <v>181</v>
      </c>
      <c r="E336" s="57" t="s">
        <v>179</v>
      </c>
      <c r="F336" s="57">
        <f t="shared" si="10"/>
        <v>0</v>
      </c>
      <c r="G336" s="57">
        <v>25.6212</v>
      </c>
      <c r="H336" s="57">
        <v>27.1918</v>
      </c>
      <c r="I336" s="57">
        <v>26.199</v>
      </c>
      <c r="J336" s="33">
        <f t="shared" si="2"/>
        <v>1.5706</v>
      </c>
      <c r="K336" s="33">
        <f t="shared" si="3"/>
        <v>0.5778</v>
      </c>
    </row>
    <row r="337">
      <c r="A337" s="70">
        <v>44650.0</v>
      </c>
      <c r="B337" s="57">
        <v>2381.0</v>
      </c>
      <c r="C337" s="57" t="s">
        <v>177</v>
      </c>
      <c r="D337" s="57" t="s">
        <v>181</v>
      </c>
      <c r="E337" s="57" t="s">
        <v>179</v>
      </c>
      <c r="F337" s="57">
        <f t="shared" si="10"/>
        <v>0</v>
      </c>
      <c r="G337" s="57">
        <v>26.4192</v>
      </c>
      <c r="H337" s="57">
        <v>27.1583</v>
      </c>
      <c r="I337" s="57">
        <v>26.7586</v>
      </c>
      <c r="J337" s="33">
        <f t="shared" si="2"/>
        <v>0.7391</v>
      </c>
      <c r="K337" s="33">
        <f t="shared" si="3"/>
        <v>0.3394</v>
      </c>
    </row>
    <row r="338">
      <c r="A338" s="70">
        <v>44655.0</v>
      </c>
      <c r="B338" s="57">
        <v>2004.0</v>
      </c>
      <c r="C338" s="57" t="s">
        <v>177</v>
      </c>
      <c r="D338" s="57" t="s">
        <v>181</v>
      </c>
      <c r="E338" s="57" t="s">
        <v>179</v>
      </c>
      <c r="F338" s="57">
        <f t="shared" si="10"/>
        <v>0</v>
      </c>
      <c r="G338" s="57">
        <v>25.7796</v>
      </c>
      <c r="H338" s="57">
        <v>27.6005</v>
      </c>
      <c r="I338" s="57">
        <v>26.3041</v>
      </c>
      <c r="J338" s="33">
        <f t="shared" si="2"/>
        <v>1.8209</v>
      </c>
      <c r="K338" s="33">
        <f t="shared" si="3"/>
        <v>0.5245</v>
      </c>
    </row>
    <row r="339">
      <c r="A339" s="70">
        <v>44650.0</v>
      </c>
      <c r="B339" s="57">
        <v>2343.0</v>
      </c>
      <c r="C339" s="57" t="s">
        <v>177</v>
      </c>
      <c r="D339" s="57" t="s">
        <v>181</v>
      </c>
      <c r="E339" s="57" t="s">
        <v>182</v>
      </c>
      <c r="F339" s="57">
        <f t="shared" si="10"/>
        <v>0</v>
      </c>
      <c r="G339" s="57">
        <v>25.5568</v>
      </c>
      <c r="H339" s="57">
        <v>32.886</v>
      </c>
      <c r="I339" s="57">
        <v>28.4065</v>
      </c>
      <c r="J339" s="33">
        <f t="shared" si="2"/>
        <v>7.3292</v>
      </c>
      <c r="K339" s="33">
        <f t="shared" si="3"/>
        <v>2.8497</v>
      </c>
    </row>
    <row r="340">
      <c r="A340" s="70">
        <v>44650.0</v>
      </c>
      <c r="B340" s="57">
        <v>2375.0</v>
      </c>
      <c r="C340" s="57" t="s">
        <v>177</v>
      </c>
      <c r="D340" s="57" t="s">
        <v>181</v>
      </c>
      <c r="E340" s="57" t="s">
        <v>182</v>
      </c>
      <c r="F340" s="57">
        <f t="shared" si="10"/>
        <v>0</v>
      </c>
      <c r="G340" s="57">
        <v>26.4975</v>
      </c>
      <c r="H340" s="57">
        <v>31.1888</v>
      </c>
      <c r="I340" s="57">
        <v>28.2615</v>
      </c>
      <c r="J340" s="33">
        <f t="shared" si="2"/>
        <v>4.6913</v>
      </c>
      <c r="K340" s="33">
        <f t="shared" si="3"/>
        <v>1.764</v>
      </c>
    </row>
    <row r="341">
      <c r="A341" s="70">
        <v>44650.0</v>
      </c>
      <c r="B341" s="57">
        <v>2367.0</v>
      </c>
      <c r="C341" s="57" t="s">
        <v>177</v>
      </c>
      <c r="D341" s="57" t="s">
        <v>181</v>
      </c>
      <c r="E341" s="57" t="s">
        <v>182</v>
      </c>
      <c r="F341" s="57">
        <f t="shared" si="10"/>
        <v>0</v>
      </c>
      <c r="G341" s="57">
        <v>26.3948</v>
      </c>
      <c r="H341" s="57">
        <v>29.4621</v>
      </c>
      <c r="I341" s="57">
        <v>27.6869</v>
      </c>
      <c r="J341" s="33">
        <f t="shared" si="2"/>
        <v>3.0673</v>
      </c>
      <c r="K341" s="33">
        <f t="shared" si="3"/>
        <v>1.2921</v>
      </c>
    </row>
    <row r="342">
      <c r="A342" s="70">
        <v>44650.0</v>
      </c>
      <c r="B342" s="57">
        <v>2354.0</v>
      </c>
      <c r="C342" s="57" t="s">
        <v>177</v>
      </c>
      <c r="D342" s="57" t="s">
        <v>178</v>
      </c>
      <c r="E342" s="57" t="s">
        <v>179</v>
      </c>
      <c r="F342" s="57">
        <f t="shared" si="10"/>
        <v>1</v>
      </c>
      <c r="G342" s="57">
        <v>26.7278</v>
      </c>
      <c r="H342" s="57">
        <v>26.59</v>
      </c>
      <c r="I342" s="57">
        <v>26.8457</v>
      </c>
      <c r="J342" s="33">
        <f t="shared" si="2"/>
        <v>-0.1378</v>
      </c>
      <c r="K342" s="33">
        <f t="shared" si="3"/>
        <v>0.1179</v>
      </c>
    </row>
    <row r="343">
      <c r="A343" s="70">
        <v>44650.0</v>
      </c>
      <c r="B343" s="57">
        <v>2331.0</v>
      </c>
      <c r="C343" s="57" t="s">
        <v>177</v>
      </c>
      <c r="D343" s="57" t="s">
        <v>181</v>
      </c>
      <c r="E343" s="57" t="s">
        <v>179</v>
      </c>
      <c r="F343" s="57">
        <f t="shared" si="10"/>
        <v>0</v>
      </c>
      <c r="G343" s="57">
        <v>26.6148</v>
      </c>
      <c r="H343" s="57">
        <v>26.7357</v>
      </c>
      <c r="I343" s="57">
        <v>26.688</v>
      </c>
      <c r="J343" s="33">
        <f t="shared" si="2"/>
        <v>0.1209</v>
      </c>
      <c r="K343" s="33">
        <f t="shared" si="3"/>
        <v>0.0732</v>
      </c>
    </row>
    <row r="344">
      <c r="A344" s="70">
        <v>44655.0</v>
      </c>
      <c r="B344" s="57">
        <v>2027.0</v>
      </c>
      <c r="C344" s="57" t="s">
        <v>177</v>
      </c>
      <c r="D344" s="57" t="s">
        <v>181</v>
      </c>
      <c r="E344" s="57" t="s">
        <v>179</v>
      </c>
      <c r="F344" s="57">
        <f t="shared" si="10"/>
        <v>0</v>
      </c>
      <c r="G344" s="57">
        <v>15.9872</v>
      </c>
      <c r="H344" s="57">
        <v>16.0457</v>
      </c>
      <c r="I344" s="57">
        <v>16.1743</v>
      </c>
      <c r="J344" s="33">
        <f t="shared" si="2"/>
        <v>0.0585</v>
      </c>
      <c r="K344" s="33">
        <f t="shared" si="3"/>
        <v>0.1871</v>
      </c>
    </row>
    <row r="345">
      <c r="A345" s="70">
        <v>44650.0</v>
      </c>
      <c r="B345" s="57">
        <v>2352.0</v>
      </c>
      <c r="C345" s="57" t="s">
        <v>177</v>
      </c>
      <c r="D345" s="57" t="s">
        <v>181</v>
      </c>
      <c r="E345" s="57" t="s">
        <v>182</v>
      </c>
      <c r="F345" s="57">
        <f t="shared" si="10"/>
        <v>0</v>
      </c>
      <c r="G345" s="57">
        <v>25.9237</v>
      </c>
      <c r="H345" s="57">
        <v>26.7641</v>
      </c>
      <c r="I345" s="57">
        <v>26.0517</v>
      </c>
      <c r="J345" s="33">
        <f t="shared" si="2"/>
        <v>0.8404</v>
      </c>
      <c r="K345" s="33">
        <f t="shared" si="3"/>
        <v>0.128</v>
      </c>
    </row>
    <row r="346">
      <c r="A346" s="70">
        <v>44650.0</v>
      </c>
      <c r="B346" s="57">
        <v>2379.0</v>
      </c>
      <c r="C346" s="57" t="s">
        <v>177</v>
      </c>
      <c r="D346" s="57" t="s">
        <v>178</v>
      </c>
      <c r="E346" s="57" t="s">
        <v>179</v>
      </c>
      <c r="F346" s="57">
        <f t="shared" si="10"/>
        <v>1</v>
      </c>
      <c r="G346" s="57">
        <v>26.6387</v>
      </c>
      <c r="H346" s="57">
        <v>26.2829</v>
      </c>
      <c r="I346" s="57">
        <v>26.9043</v>
      </c>
      <c r="J346" s="33">
        <f t="shared" si="2"/>
        <v>-0.3558</v>
      </c>
      <c r="K346" s="33">
        <f t="shared" si="3"/>
        <v>0.2656</v>
      </c>
    </row>
    <row r="347">
      <c r="A347" s="70">
        <v>44655.0</v>
      </c>
      <c r="B347" s="57">
        <v>2029.0</v>
      </c>
      <c r="C347" s="57" t="s">
        <v>177</v>
      </c>
      <c r="D347" s="57" t="s">
        <v>181</v>
      </c>
      <c r="E347" s="57" t="s">
        <v>182</v>
      </c>
      <c r="F347" s="57">
        <f t="shared" si="10"/>
        <v>0</v>
      </c>
      <c r="G347" s="57">
        <v>26.5727</v>
      </c>
      <c r="H347" s="57">
        <v>31.8425</v>
      </c>
      <c r="I347" s="57">
        <v>28.9837</v>
      </c>
      <c r="J347" s="33">
        <f t="shared" si="2"/>
        <v>5.2698</v>
      </c>
      <c r="K347" s="33">
        <f t="shared" si="3"/>
        <v>2.411</v>
      </c>
    </row>
    <row r="348">
      <c r="A348" s="70">
        <v>44655.0</v>
      </c>
      <c r="B348" s="57">
        <v>1478.0</v>
      </c>
      <c r="C348" s="57" t="s">
        <v>180</v>
      </c>
      <c r="D348" s="57" t="s">
        <v>181</v>
      </c>
      <c r="E348" s="57" t="s">
        <v>182</v>
      </c>
      <c r="F348" s="57">
        <f t="shared" si="10"/>
        <v>0</v>
      </c>
      <c r="G348" s="57">
        <v>26.2341</v>
      </c>
      <c r="H348" s="57">
        <v>30.8709</v>
      </c>
      <c r="I348" s="57">
        <v>27.93</v>
      </c>
      <c r="J348" s="33">
        <f t="shared" si="2"/>
        <v>4.6368</v>
      </c>
      <c r="K348" s="33">
        <f t="shared" si="3"/>
        <v>1.6959</v>
      </c>
    </row>
    <row r="349">
      <c r="A349" s="70">
        <v>44655.0</v>
      </c>
      <c r="B349" s="57">
        <v>2030.0</v>
      </c>
      <c r="C349" s="57" t="s">
        <v>177</v>
      </c>
      <c r="D349" s="57" t="s">
        <v>181</v>
      </c>
      <c r="E349" s="57" t="s">
        <v>182</v>
      </c>
      <c r="F349" s="57">
        <f t="shared" si="10"/>
        <v>0</v>
      </c>
      <c r="G349" s="57">
        <v>26.2133</v>
      </c>
      <c r="H349" s="57">
        <v>30.2608</v>
      </c>
      <c r="I349" s="57">
        <v>28.386</v>
      </c>
      <c r="J349" s="33">
        <f t="shared" si="2"/>
        <v>4.0475</v>
      </c>
      <c r="K349" s="33">
        <f t="shared" si="3"/>
        <v>2.1727</v>
      </c>
    </row>
    <row r="350">
      <c r="A350" s="70">
        <v>44655.0</v>
      </c>
      <c r="B350" s="57">
        <v>2023.0</v>
      </c>
      <c r="C350" s="57" t="s">
        <v>177</v>
      </c>
      <c r="D350" s="57" t="s">
        <v>178</v>
      </c>
      <c r="E350" s="57" t="s">
        <v>179</v>
      </c>
      <c r="F350" s="57">
        <f t="shared" si="10"/>
        <v>1</v>
      </c>
      <c r="G350" s="57">
        <v>15.5906</v>
      </c>
      <c r="H350" s="57">
        <v>17.5118</v>
      </c>
      <c r="I350" s="57">
        <v>16.4826</v>
      </c>
      <c r="J350" s="33">
        <f t="shared" si="2"/>
        <v>1.9212</v>
      </c>
      <c r="K350" s="33">
        <f t="shared" si="3"/>
        <v>0.892</v>
      </c>
    </row>
    <row r="351">
      <c r="A351" s="70">
        <v>44650.0</v>
      </c>
      <c r="B351" s="57">
        <v>2365.0</v>
      </c>
      <c r="C351" s="57" t="s">
        <v>177</v>
      </c>
      <c r="D351" s="57" t="s">
        <v>181</v>
      </c>
      <c r="E351" s="57" t="s">
        <v>179</v>
      </c>
      <c r="F351" s="57">
        <f t="shared" si="10"/>
        <v>0</v>
      </c>
      <c r="G351" s="57">
        <v>26.4398</v>
      </c>
      <c r="H351" s="57">
        <v>27.0599</v>
      </c>
      <c r="I351" s="57">
        <v>26.5551</v>
      </c>
      <c r="J351" s="33">
        <f t="shared" si="2"/>
        <v>0.6201</v>
      </c>
      <c r="K351" s="33">
        <f t="shared" si="3"/>
        <v>0.1153</v>
      </c>
    </row>
    <row r="352">
      <c r="A352" s="70">
        <v>44650.0</v>
      </c>
      <c r="B352" s="57">
        <v>2375.0</v>
      </c>
      <c r="C352" s="57" t="s">
        <v>177</v>
      </c>
      <c r="D352" s="57" t="s">
        <v>178</v>
      </c>
      <c r="E352" s="57" t="s">
        <v>179</v>
      </c>
      <c r="F352" s="57">
        <f t="shared" si="10"/>
        <v>1</v>
      </c>
      <c r="G352" s="57">
        <v>14.8744</v>
      </c>
      <c r="H352" s="57">
        <v>15.871</v>
      </c>
      <c r="I352" s="57">
        <v>15.0591</v>
      </c>
      <c r="J352" s="33">
        <f t="shared" si="2"/>
        <v>0.9966</v>
      </c>
      <c r="K352" s="33">
        <f t="shared" si="3"/>
        <v>0.1847</v>
      </c>
    </row>
    <row r="353">
      <c r="A353" s="70">
        <v>44650.0</v>
      </c>
      <c r="B353" s="57">
        <v>2380.0</v>
      </c>
      <c r="C353" s="57" t="s">
        <v>177</v>
      </c>
      <c r="D353" s="57" t="s">
        <v>178</v>
      </c>
      <c r="E353" s="57" t="s">
        <v>182</v>
      </c>
      <c r="F353" s="57">
        <f t="shared" si="10"/>
        <v>1</v>
      </c>
      <c r="G353" s="57">
        <v>26.0345</v>
      </c>
      <c r="H353" s="57">
        <v>34.4388</v>
      </c>
      <c r="I353" s="57">
        <v>30.7934</v>
      </c>
      <c r="J353" s="33">
        <f t="shared" si="2"/>
        <v>8.4043</v>
      </c>
      <c r="K353" s="33">
        <f t="shared" si="3"/>
        <v>4.7589</v>
      </c>
    </row>
    <row r="354">
      <c r="A354" s="70">
        <v>44655.0</v>
      </c>
      <c r="B354" s="57">
        <v>2031.0</v>
      </c>
      <c r="C354" s="57" t="s">
        <v>60</v>
      </c>
      <c r="D354" s="57" t="s">
        <v>178</v>
      </c>
      <c r="E354" s="57" t="s">
        <v>179</v>
      </c>
      <c r="F354" s="57">
        <f t="shared" si="10"/>
        <v>1</v>
      </c>
      <c r="G354" s="57">
        <v>16.0709</v>
      </c>
      <c r="H354" s="57">
        <v>17.0325</v>
      </c>
      <c r="I354" s="57">
        <v>16.5871</v>
      </c>
      <c r="J354" s="33">
        <f t="shared" si="2"/>
        <v>0.9616</v>
      </c>
      <c r="K354" s="33">
        <f t="shared" si="3"/>
        <v>0.5162</v>
      </c>
    </row>
    <row r="355">
      <c r="A355" s="70">
        <v>44650.0</v>
      </c>
      <c r="B355" s="57">
        <v>2370.0</v>
      </c>
      <c r="C355" s="57" t="s">
        <v>177</v>
      </c>
      <c r="D355" s="57" t="s">
        <v>181</v>
      </c>
      <c r="E355" s="57" t="s">
        <v>182</v>
      </c>
      <c r="F355" s="57">
        <f t="shared" si="10"/>
        <v>0</v>
      </c>
      <c r="G355" s="57">
        <v>26.0505</v>
      </c>
      <c r="H355" s="57">
        <v>27.9719</v>
      </c>
      <c r="I355" s="57">
        <v>26.8732</v>
      </c>
      <c r="J355" s="33">
        <f t="shared" si="2"/>
        <v>1.9214</v>
      </c>
      <c r="K355" s="33">
        <f t="shared" si="3"/>
        <v>0.8227</v>
      </c>
    </row>
    <row r="356">
      <c r="A356" s="70">
        <v>44655.0</v>
      </c>
      <c r="B356" s="57">
        <v>2014.0</v>
      </c>
      <c r="C356" s="57" t="s">
        <v>177</v>
      </c>
      <c r="D356" s="57" t="s">
        <v>181</v>
      </c>
      <c r="E356" s="57" t="s">
        <v>179</v>
      </c>
      <c r="F356" s="57">
        <f t="shared" si="10"/>
        <v>0</v>
      </c>
      <c r="G356" s="57">
        <v>25.6721</v>
      </c>
      <c r="H356" s="57">
        <v>27.1611</v>
      </c>
      <c r="I356" s="57">
        <v>26.0321</v>
      </c>
      <c r="J356" s="33">
        <f t="shared" si="2"/>
        <v>1.489</v>
      </c>
      <c r="K356" s="33">
        <f t="shared" si="3"/>
        <v>0.36</v>
      </c>
    </row>
    <row r="357">
      <c r="A357" s="70">
        <v>44650.0</v>
      </c>
      <c r="B357" s="57">
        <v>2365.0</v>
      </c>
      <c r="C357" s="57" t="s">
        <v>177</v>
      </c>
      <c r="D357" s="57" t="s">
        <v>178</v>
      </c>
      <c r="E357" s="57" t="s">
        <v>179</v>
      </c>
      <c r="F357" s="57">
        <f t="shared" si="10"/>
        <v>1</v>
      </c>
      <c r="G357" s="57">
        <v>26.3475</v>
      </c>
      <c r="H357" s="57">
        <v>27.494</v>
      </c>
      <c r="I357" s="57">
        <v>26.9379</v>
      </c>
      <c r="J357" s="33">
        <f t="shared" si="2"/>
        <v>1.1465</v>
      </c>
      <c r="K357" s="33">
        <f t="shared" si="3"/>
        <v>0.5904</v>
      </c>
    </row>
    <row r="358">
      <c r="A358" s="70">
        <v>44650.0</v>
      </c>
      <c r="B358" s="57">
        <v>2370.0</v>
      </c>
      <c r="C358" s="57" t="s">
        <v>177</v>
      </c>
      <c r="D358" s="57" t="s">
        <v>178</v>
      </c>
      <c r="E358" s="57" t="s">
        <v>179</v>
      </c>
      <c r="F358" s="57">
        <f t="shared" si="10"/>
        <v>1</v>
      </c>
      <c r="G358" s="57">
        <v>25.5033</v>
      </c>
      <c r="H358" s="57">
        <v>27.3693</v>
      </c>
      <c r="I358" s="57">
        <v>26.2127</v>
      </c>
      <c r="J358" s="33">
        <f t="shared" si="2"/>
        <v>1.866</v>
      </c>
      <c r="K358" s="33">
        <f t="shared" si="3"/>
        <v>0.7094</v>
      </c>
    </row>
    <row r="359">
      <c r="A359" s="70">
        <v>44650.0</v>
      </c>
      <c r="B359" s="57">
        <v>2372.0</v>
      </c>
      <c r="C359" s="57" t="s">
        <v>177</v>
      </c>
      <c r="D359" s="57" t="s">
        <v>181</v>
      </c>
      <c r="E359" s="57" t="s">
        <v>179</v>
      </c>
      <c r="F359" s="57">
        <f t="shared" si="10"/>
        <v>0</v>
      </c>
      <c r="G359" s="57">
        <v>25.9879</v>
      </c>
      <c r="H359" s="57">
        <v>27.0092</v>
      </c>
      <c r="I359" s="57">
        <v>26.2128</v>
      </c>
      <c r="J359" s="33">
        <f t="shared" si="2"/>
        <v>1.0213</v>
      </c>
      <c r="K359" s="33">
        <f t="shared" si="3"/>
        <v>0.2249</v>
      </c>
    </row>
    <row r="360">
      <c r="A360" s="70">
        <v>44655.0</v>
      </c>
      <c r="B360" s="57">
        <v>2087.0</v>
      </c>
      <c r="C360" s="57" t="s">
        <v>177</v>
      </c>
      <c r="D360" s="57" t="s">
        <v>181</v>
      </c>
      <c r="E360" s="57" t="s">
        <v>182</v>
      </c>
      <c r="F360" s="57">
        <f t="shared" si="10"/>
        <v>0</v>
      </c>
      <c r="G360" s="57">
        <v>25.9665</v>
      </c>
      <c r="H360" s="57">
        <v>30.7655</v>
      </c>
      <c r="I360" s="57">
        <v>27.4922</v>
      </c>
      <c r="J360" s="33">
        <f t="shared" si="2"/>
        <v>4.799</v>
      </c>
      <c r="K360" s="33">
        <f t="shared" si="3"/>
        <v>1.5257</v>
      </c>
    </row>
    <row r="361">
      <c r="A361" s="70">
        <v>44655.0</v>
      </c>
      <c r="B361" s="57">
        <v>2030.0</v>
      </c>
      <c r="C361" s="57" t="s">
        <v>177</v>
      </c>
      <c r="D361" s="57" t="s">
        <v>178</v>
      </c>
      <c r="E361" s="57" t="s">
        <v>179</v>
      </c>
      <c r="F361" s="57">
        <f t="shared" si="10"/>
        <v>1</v>
      </c>
      <c r="G361" s="57">
        <v>26.5608</v>
      </c>
      <c r="H361" s="57">
        <v>27.307</v>
      </c>
      <c r="I361" s="57">
        <v>27.0814</v>
      </c>
      <c r="J361" s="33">
        <f t="shared" si="2"/>
        <v>0.7462</v>
      </c>
      <c r="K361" s="33">
        <f t="shared" si="3"/>
        <v>0.5206</v>
      </c>
    </row>
    <row r="362">
      <c r="A362" s="70">
        <v>44650.0</v>
      </c>
      <c r="B362" s="57">
        <v>2345.0</v>
      </c>
      <c r="C362" s="57" t="s">
        <v>177</v>
      </c>
      <c r="D362" s="57" t="s">
        <v>178</v>
      </c>
      <c r="E362" s="57" t="s">
        <v>182</v>
      </c>
      <c r="F362" s="57">
        <f t="shared" si="10"/>
        <v>1</v>
      </c>
      <c r="G362" s="57">
        <v>25.9538</v>
      </c>
      <c r="H362" s="57">
        <v>34.1041</v>
      </c>
      <c r="I362" s="57">
        <v>30.5172</v>
      </c>
      <c r="J362" s="33">
        <f t="shared" si="2"/>
        <v>8.1503</v>
      </c>
      <c r="K362" s="33">
        <f t="shared" si="3"/>
        <v>4.5634</v>
      </c>
    </row>
    <row r="363">
      <c r="A363" s="70">
        <v>44650.0</v>
      </c>
      <c r="B363" s="57">
        <v>2365.0</v>
      </c>
      <c r="C363" s="57" t="s">
        <v>177</v>
      </c>
      <c r="D363" s="57" t="s">
        <v>181</v>
      </c>
      <c r="E363" s="57" t="s">
        <v>182</v>
      </c>
      <c r="F363" s="57">
        <f t="shared" si="10"/>
        <v>0</v>
      </c>
      <c r="G363" s="57">
        <v>26.139</v>
      </c>
      <c r="H363" s="57">
        <v>30.5764</v>
      </c>
      <c r="I363" s="57">
        <v>28.0701</v>
      </c>
      <c r="J363" s="33">
        <f t="shared" si="2"/>
        <v>4.4374</v>
      </c>
      <c r="K363" s="33">
        <f t="shared" si="3"/>
        <v>1.9311</v>
      </c>
    </row>
    <row r="364">
      <c r="A364" s="70">
        <v>44650.0</v>
      </c>
      <c r="B364" s="57">
        <v>2372.0</v>
      </c>
      <c r="C364" s="57" t="s">
        <v>177</v>
      </c>
      <c r="D364" s="57" t="s">
        <v>178</v>
      </c>
      <c r="E364" s="57" t="s">
        <v>179</v>
      </c>
      <c r="F364" s="57">
        <f t="shared" si="10"/>
        <v>1</v>
      </c>
      <c r="G364" s="57">
        <v>25.6108</v>
      </c>
      <c r="H364" s="57">
        <v>26.4719</v>
      </c>
      <c r="I364" s="57">
        <v>26.0077</v>
      </c>
      <c r="J364" s="33">
        <f t="shared" si="2"/>
        <v>0.8611</v>
      </c>
      <c r="K364" s="33">
        <f t="shared" si="3"/>
        <v>0.3969</v>
      </c>
    </row>
    <row r="365">
      <c r="A365" s="70">
        <v>44655.0</v>
      </c>
      <c r="B365" s="57">
        <v>2026.0</v>
      </c>
      <c r="C365" s="57" t="s">
        <v>177</v>
      </c>
      <c r="D365" s="57" t="s">
        <v>178</v>
      </c>
      <c r="E365" s="57" t="s">
        <v>179</v>
      </c>
      <c r="F365" s="57">
        <f t="shared" si="10"/>
        <v>1</v>
      </c>
      <c r="G365" s="57">
        <v>25.778</v>
      </c>
      <c r="H365" s="57">
        <v>25.5233</v>
      </c>
      <c r="I365" s="57">
        <v>25.8525</v>
      </c>
      <c r="J365" s="33">
        <f t="shared" si="2"/>
        <v>-0.2547</v>
      </c>
      <c r="K365" s="33">
        <f t="shared" si="3"/>
        <v>0.0745</v>
      </c>
    </row>
    <row r="366">
      <c r="A366" s="70">
        <v>44655.0</v>
      </c>
      <c r="B366" s="57">
        <v>2089.0</v>
      </c>
      <c r="C366" s="57" t="s">
        <v>177</v>
      </c>
      <c r="D366" s="57" t="s">
        <v>178</v>
      </c>
      <c r="E366" s="57" t="s">
        <v>182</v>
      </c>
      <c r="F366" s="57">
        <f t="shared" si="10"/>
        <v>1</v>
      </c>
      <c r="G366" s="57">
        <v>26.3168</v>
      </c>
      <c r="H366" s="57">
        <v>34.2164</v>
      </c>
      <c r="I366" s="57">
        <v>30.4407</v>
      </c>
      <c r="J366" s="33">
        <f t="shared" si="2"/>
        <v>7.8996</v>
      </c>
      <c r="K366" s="33">
        <f t="shared" si="3"/>
        <v>4.1239</v>
      </c>
    </row>
    <row r="367">
      <c r="A367" s="70">
        <v>44650.0</v>
      </c>
      <c r="B367" s="57">
        <v>2379.0</v>
      </c>
      <c r="C367" s="57" t="s">
        <v>177</v>
      </c>
      <c r="D367" s="57" t="s">
        <v>181</v>
      </c>
      <c r="E367" s="57" t="s">
        <v>182</v>
      </c>
      <c r="F367" s="57">
        <f t="shared" si="10"/>
        <v>0</v>
      </c>
      <c r="G367" s="57">
        <v>26.1053</v>
      </c>
      <c r="H367" s="57">
        <v>30.3336</v>
      </c>
      <c r="I367" s="57">
        <v>28.0025</v>
      </c>
      <c r="J367" s="33">
        <f t="shared" si="2"/>
        <v>4.2283</v>
      </c>
      <c r="K367" s="33">
        <f t="shared" si="3"/>
        <v>1.8972</v>
      </c>
    </row>
    <row r="368">
      <c r="A368" s="70">
        <v>44650.0</v>
      </c>
      <c r="B368" s="57">
        <v>2343.0</v>
      </c>
      <c r="C368" s="57" t="s">
        <v>177</v>
      </c>
      <c r="D368" s="57" t="s">
        <v>178</v>
      </c>
      <c r="E368" s="57" t="s">
        <v>179</v>
      </c>
      <c r="F368" s="57">
        <f t="shared" si="10"/>
        <v>1</v>
      </c>
      <c r="G368" s="57">
        <v>25.7748</v>
      </c>
      <c r="H368" s="57">
        <v>26.2259</v>
      </c>
      <c r="I368" s="57">
        <v>25.9749</v>
      </c>
      <c r="J368" s="33">
        <f t="shared" si="2"/>
        <v>0.4511</v>
      </c>
      <c r="K368" s="33">
        <f t="shared" si="3"/>
        <v>0.2001</v>
      </c>
    </row>
    <row r="369">
      <c r="A369" s="70">
        <v>44655.0</v>
      </c>
      <c r="B369" s="57">
        <v>2029.0</v>
      </c>
      <c r="C369" s="57" t="s">
        <v>177</v>
      </c>
      <c r="D369" s="57" t="s">
        <v>178</v>
      </c>
      <c r="E369" s="57" t="s">
        <v>182</v>
      </c>
      <c r="F369" s="57">
        <f t="shared" si="10"/>
        <v>1</v>
      </c>
      <c r="G369" s="57">
        <v>26.1683</v>
      </c>
      <c r="H369" s="57">
        <v>28.5474</v>
      </c>
      <c r="I369" s="57">
        <v>27.626</v>
      </c>
      <c r="J369" s="33">
        <f t="shared" si="2"/>
        <v>2.3791</v>
      </c>
      <c r="K369" s="33">
        <f t="shared" si="3"/>
        <v>1.4577</v>
      </c>
    </row>
    <row r="370">
      <c r="A370" s="70">
        <v>44655.0</v>
      </c>
      <c r="B370" s="57">
        <v>2014.0</v>
      </c>
      <c r="C370" s="57" t="s">
        <v>180</v>
      </c>
      <c r="D370" s="57" t="s">
        <v>181</v>
      </c>
      <c r="E370" s="57" t="s">
        <v>179</v>
      </c>
      <c r="F370" s="57">
        <f t="shared" si="10"/>
        <v>0</v>
      </c>
      <c r="G370" s="57">
        <v>15.1975</v>
      </c>
      <c r="H370" s="57">
        <v>16.1871</v>
      </c>
      <c r="I370" s="57">
        <v>15.5179</v>
      </c>
      <c r="J370" s="33">
        <f t="shared" si="2"/>
        <v>0.9896</v>
      </c>
      <c r="K370" s="33">
        <f t="shared" si="3"/>
        <v>0.3204</v>
      </c>
    </row>
    <row r="371">
      <c r="A371" s="70">
        <v>44670.0</v>
      </c>
      <c r="B371" s="57" t="s">
        <v>185</v>
      </c>
      <c r="C371" s="57" t="s">
        <v>180</v>
      </c>
      <c r="D371" s="57" t="s">
        <v>181</v>
      </c>
      <c r="E371" s="57" t="s">
        <v>182</v>
      </c>
      <c r="F371" s="57">
        <v>0.0</v>
      </c>
      <c r="G371" s="57">
        <v>66.9646</v>
      </c>
      <c r="H371" s="57">
        <v>76.6037</v>
      </c>
      <c r="I371" s="57">
        <v>69.0606</v>
      </c>
      <c r="J371" s="33">
        <f t="shared" si="2"/>
        <v>9.6391</v>
      </c>
      <c r="K371" s="33">
        <f t="shared" si="3"/>
        <v>2.096</v>
      </c>
      <c r="L371" s="57">
        <v>2.0</v>
      </c>
    </row>
    <row r="372">
      <c r="A372" s="70">
        <v>44677.0</v>
      </c>
      <c r="B372" s="57" t="s">
        <v>144</v>
      </c>
      <c r="C372" s="57" t="s">
        <v>180</v>
      </c>
      <c r="D372" s="57" t="s">
        <v>181</v>
      </c>
      <c r="E372" s="57" t="s">
        <v>179</v>
      </c>
      <c r="F372" s="57">
        <f t="shared" ref="F372:F374" si="11">if(D372="old",1,0)</f>
        <v>0</v>
      </c>
      <c r="G372" s="57">
        <v>67.2169</v>
      </c>
      <c r="H372" s="57">
        <v>69.2717</v>
      </c>
      <c r="I372" s="57">
        <v>67.8523</v>
      </c>
      <c r="J372" s="33">
        <f t="shared" si="2"/>
        <v>2.0548</v>
      </c>
      <c r="K372" s="33">
        <f t="shared" si="3"/>
        <v>0.6354</v>
      </c>
      <c r="L372" s="57">
        <v>5.0</v>
      </c>
    </row>
    <row r="373">
      <c r="A373" s="70">
        <v>44677.0</v>
      </c>
      <c r="B373" s="57" t="s">
        <v>144</v>
      </c>
      <c r="C373" s="57" t="s">
        <v>180</v>
      </c>
      <c r="D373" s="57" t="s">
        <v>181</v>
      </c>
      <c r="E373" s="57" t="s">
        <v>179</v>
      </c>
      <c r="F373" s="57">
        <f t="shared" si="11"/>
        <v>0</v>
      </c>
      <c r="G373" s="57">
        <v>68.078</v>
      </c>
      <c r="H373" s="57">
        <v>69.2905</v>
      </c>
      <c r="I373" s="57">
        <v>68.493</v>
      </c>
      <c r="J373" s="33">
        <f t="shared" si="2"/>
        <v>1.2125</v>
      </c>
      <c r="K373" s="33">
        <f t="shared" si="3"/>
        <v>0.415</v>
      </c>
      <c r="L373" s="57">
        <v>4.0</v>
      </c>
    </row>
    <row r="374">
      <c r="A374" s="70">
        <v>44677.0</v>
      </c>
      <c r="B374" s="57" t="s">
        <v>144</v>
      </c>
      <c r="C374" s="57" t="s">
        <v>180</v>
      </c>
      <c r="D374" s="57" t="s">
        <v>181</v>
      </c>
      <c r="E374" s="57" t="s">
        <v>179</v>
      </c>
      <c r="F374" s="57">
        <f t="shared" si="11"/>
        <v>0</v>
      </c>
      <c r="G374" s="57">
        <v>68.1853</v>
      </c>
      <c r="H374" s="57">
        <v>69.5705</v>
      </c>
      <c r="I374" s="57">
        <v>68.5765</v>
      </c>
      <c r="J374" s="33">
        <f t="shared" si="2"/>
        <v>1.3852</v>
      </c>
      <c r="K374" s="33">
        <f t="shared" si="3"/>
        <v>0.3912</v>
      </c>
      <c r="L374" s="57">
        <v>3.0</v>
      </c>
    </row>
    <row r="375">
      <c r="A375" s="70">
        <v>44670.0</v>
      </c>
      <c r="B375" s="57" t="s">
        <v>186</v>
      </c>
      <c r="C375" s="57" t="s">
        <v>180</v>
      </c>
      <c r="D375" s="57" t="s">
        <v>181</v>
      </c>
      <c r="E375" s="57" t="s">
        <v>179</v>
      </c>
      <c r="F375" s="57">
        <v>0.0</v>
      </c>
      <c r="G375" s="57">
        <v>68.1925</v>
      </c>
      <c r="H375" s="57">
        <v>70.0782</v>
      </c>
      <c r="I375" s="57">
        <v>68.7375</v>
      </c>
      <c r="J375" s="33">
        <f t="shared" si="2"/>
        <v>1.8857</v>
      </c>
      <c r="K375" s="33">
        <f t="shared" si="3"/>
        <v>0.545</v>
      </c>
      <c r="L375" s="57">
        <v>4.0</v>
      </c>
    </row>
    <row r="376">
      <c r="A376" s="70">
        <v>44670.0</v>
      </c>
      <c r="B376" s="57" t="s">
        <v>185</v>
      </c>
      <c r="C376" s="57" t="s">
        <v>180</v>
      </c>
      <c r="D376" s="57" t="s">
        <v>181</v>
      </c>
      <c r="E376" s="57" t="s">
        <v>182</v>
      </c>
      <c r="F376" s="57">
        <f t="shared" ref="F376:F1000" si="12">if(D376="old",1,0)</f>
        <v>0</v>
      </c>
      <c r="G376" s="57">
        <v>68.2741</v>
      </c>
      <c r="H376" s="57">
        <v>79.6848</v>
      </c>
      <c r="I376" s="57">
        <v>70.9194</v>
      </c>
      <c r="J376" s="33">
        <f t="shared" si="2"/>
        <v>11.4107</v>
      </c>
      <c r="K376" s="33">
        <f t="shared" si="3"/>
        <v>2.6453</v>
      </c>
      <c r="L376" s="57">
        <v>2.0</v>
      </c>
    </row>
    <row r="377">
      <c r="A377" s="70">
        <v>44677.0</v>
      </c>
      <c r="B377" s="57" t="s">
        <v>185</v>
      </c>
      <c r="C377" s="57" t="s">
        <v>180</v>
      </c>
      <c r="D377" s="57" t="s">
        <v>181</v>
      </c>
      <c r="E377" s="57" t="s">
        <v>182</v>
      </c>
      <c r="F377" s="57">
        <f t="shared" si="12"/>
        <v>0</v>
      </c>
      <c r="G377" s="57">
        <v>67.8821</v>
      </c>
      <c r="H377" s="57">
        <v>79.8415</v>
      </c>
      <c r="I377" s="57">
        <v>70.8079</v>
      </c>
      <c r="J377" s="33">
        <f t="shared" si="2"/>
        <v>11.9594</v>
      </c>
      <c r="K377" s="33">
        <f t="shared" si="3"/>
        <v>2.9258</v>
      </c>
      <c r="L377" s="57">
        <v>5.0</v>
      </c>
    </row>
    <row r="378">
      <c r="A378" s="70">
        <v>44670.0</v>
      </c>
      <c r="B378" s="57" t="s">
        <v>185</v>
      </c>
      <c r="C378" s="57" t="s">
        <v>180</v>
      </c>
      <c r="D378" s="57" t="s">
        <v>181</v>
      </c>
      <c r="E378" s="57" t="s">
        <v>182</v>
      </c>
      <c r="F378" s="57">
        <f t="shared" si="12"/>
        <v>0</v>
      </c>
      <c r="G378" s="57">
        <v>66.9096</v>
      </c>
      <c r="H378" s="57">
        <v>75.7523</v>
      </c>
      <c r="I378" s="57">
        <v>69.3282</v>
      </c>
      <c r="J378" s="33">
        <f t="shared" si="2"/>
        <v>8.8427</v>
      </c>
      <c r="K378" s="33">
        <f t="shared" si="3"/>
        <v>2.4186</v>
      </c>
      <c r="L378" s="57">
        <v>1.0</v>
      </c>
    </row>
    <row r="379">
      <c r="A379" s="70">
        <v>44677.0</v>
      </c>
      <c r="B379" s="57" t="s">
        <v>144</v>
      </c>
      <c r="C379" s="57" t="s">
        <v>180</v>
      </c>
      <c r="D379" s="57" t="s">
        <v>181</v>
      </c>
      <c r="E379" s="57" t="s">
        <v>179</v>
      </c>
      <c r="F379" s="57">
        <f t="shared" si="12"/>
        <v>0</v>
      </c>
      <c r="G379" s="57">
        <v>67.7925</v>
      </c>
      <c r="H379" s="57">
        <v>68.8964</v>
      </c>
      <c r="I379" s="57">
        <v>68.2073</v>
      </c>
      <c r="J379" s="33">
        <f t="shared" si="2"/>
        <v>1.1039</v>
      </c>
      <c r="K379" s="33">
        <f t="shared" si="3"/>
        <v>0.4148</v>
      </c>
      <c r="L379" s="57">
        <v>1.0</v>
      </c>
    </row>
    <row r="380">
      <c r="A380" s="70">
        <v>44677.0</v>
      </c>
      <c r="B380" s="57" t="s">
        <v>185</v>
      </c>
      <c r="C380" s="57" t="s">
        <v>180</v>
      </c>
      <c r="D380" s="57" t="s">
        <v>181</v>
      </c>
      <c r="E380" s="57" t="s">
        <v>182</v>
      </c>
      <c r="F380" s="57">
        <f t="shared" si="12"/>
        <v>0</v>
      </c>
      <c r="G380" s="57">
        <v>67.2012</v>
      </c>
      <c r="H380" s="57">
        <v>73.3428</v>
      </c>
      <c r="I380" s="57">
        <v>68.7205</v>
      </c>
      <c r="J380" s="33">
        <f t="shared" si="2"/>
        <v>6.1416</v>
      </c>
      <c r="K380" s="33">
        <f t="shared" si="3"/>
        <v>1.5193</v>
      </c>
      <c r="L380" s="57">
        <v>1.0</v>
      </c>
    </row>
    <row r="381">
      <c r="A381" s="70">
        <v>44670.0</v>
      </c>
      <c r="B381" s="57" t="s">
        <v>186</v>
      </c>
      <c r="C381" s="57" t="s">
        <v>180</v>
      </c>
      <c r="D381" s="57" t="s">
        <v>181</v>
      </c>
      <c r="E381" s="57" t="s">
        <v>179</v>
      </c>
      <c r="F381" s="57">
        <f t="shared" si="12"/>
        <v>0</v>
      </c>
      <c r="G381" s="57">
        <v>68.9142</v>
      </c>
      <c r="H381" s="57">
        <v>70.5592</v>
      </c>
      <c r="I381" s="57">
        <v>69.4249</v>
      </c>
      <c r="J381" s="33">
        <f t="shared" si="2"/>
        <v>1.645</v>
      </c>
      <c r="K381" s="33">
        <f t="shared" si="3"/>
        <v>0.5107</v>
      </c>
      <c r="L381" s="57">
        <v>3.0</v>
      </c>
    </row>
    <row r="382">
      <c r="A382" s="70">
        <v>44677.0</v>
      </c>
      <c r="B382" s="57" t="s">
        <v>186</v>
      </c>
      <c r="C382" s="57" t="s">
        <v>180</v>
      </c>
      <c r="D382" s="57" t="s">
        <v>181</v>
      </c>
      <c r="E382" s="57" t="s">
        <v>182</v>
      </c>
      <c r="F382" s="57">
        <f t="shared" si="12"/>
        <v>0</v>
      </c>
      <c r="G382" s="57">
        <v>66.7978</v>
      </c>
      <c r="H382" s="57">
        <v>74.6155</v>
      </c>
      <c r="I382" s="57">
        <v>69.0764</v>
      </c>
      <c r="J382" s="33">
        <f t="shared" si="2"/>
        <v>7.8177</v>
      </c>
      <c r="K382" s="33">
        <f t="shared" si="3"/>
        <v>2.2786</v>
      </c>
      <c r="L382" s="57">
        <v>5.0</v>
      </c>
    </row>
    <row r="383">
      <c r="A383" s="70">
        <v>44677.0</v>
      </c>
      <c r="B383" s="57" t="s">
        <v>185</v>
      </c>
      <c r="C383" s="57" t="s">
        <v>180</v>
      </c>
      <c r="D383" s="57" t="s">
        <v>181</v>
      </c>
      <c r="E383" s="57" t="s">
        <v>182</v>
      </c>
      <c r="F383" s="57">
        <f t="shared" si="12"/>
        <v>0</v>
      </c>
      <c r="G383" s="57">
        <v>68.0232</v>
      </c>
      <c r="H383" s="57">
        <v>77.1568</v>
      </c>
      <c r="I383" s="57">
        <v>69.9496</v>
      </c>
      <c r="J383" s="33">
        <f t="shared" si="2"/>
        <v>9.1336</v>
      </c>
      <c r="K383" s="33">
        <f t="shared" si="3"/>
        <v>1.9264</v>
      </c>
      <c r="L383" s="57">
        <v>2.0</v>
      </c>
    </row>
    <row r="384">
      <c r="A384" s="70">
        <v>44670.0</v>
      </c>
      <c r="B384" s="57" t="s">
        <v>144</v>
      </c>
      <c r="C384" s="57" t="s">
        <v>180</v>
      </c>
      <c r="D384" s="57" t="s">
        <v>181</v>
      </c>
      <c r="E384" s="57" t="s">
        <v>179</v>
      </c>
      <c r="F384" s="57">
        <f t="shared" si="12"/>
        <v>0</v>
      </c>
      <c r="G384" s="57">
        <v>68.2418</v>
      </c>
      <c r="H384" s="57">
        <v>69.9277</v>
      </c>
      <c r="I384" s="57">
        <v>68.6341</v>
      </c>
      <c r="J384" s="33">
        <f t="shared" si="2"/>
        <v>1.6859</v>
      </c>
      <c r="K384" s="33">
        <f t="shared" si="3"/>
        <v>0.3923</v>
      </c>
      <c r="L384" s="57">
        <v>3.0</v>
      </c>
    </row>
    <row r="385">
      <c r="A385" s="70">
        <v>44670.0</v>
      </c>
      <c r="B385" s="57" t="s">
        <v>144</v>
      </c>
      <c r="C385" s="57" t="s">
        <v>180</v>
      </c>
      <c r="D385" s="57" t="s">
        <v>181</v>
      </c>
      <c r="E385" s="57" t="s">
        <v>179</v>
      </c>
      <c r="F385" s="57">
        <f t="shared" si="12"/>
        <v>0</v>
      </c>
      <c r="G385" s="57">
        <v>67.9189</v>
      </c>
      <c r="H385" s="57">
        <v>71.3288</v>
      </c>
      <c r="I385" s="57">
        <v>69.0297</v>
      </c>
      <c r="J385" s="33">
        <f t="shared" si="2"/>
        <v>3.4099</v>
      </c>
      <c r="K385" s="33">
        <f t="shared" si="3"/>
        <v>1.1108</v>
      </c>
      <c r="L385" s="57">
        <v>4.0</v>
      </c>
    </row>
    <row r="386">
      <c r="A386" s="70">
        <v>44677.0</v>
      </c>
      <c r="B386" s="57" t="s">
        <v>185</v>
      </c>
      <c r="C386" s="57" t="s">
        <v>180</v>
      </c>
      <c r="D386" s="57" t="s">
        <v>181</v>
      </c>
      <c r="E386" s="57" t="s">
        <v>182</v>
      </c>
      <c r="F386" s="57">
        <f t="shared" si="12"/>
        <v>0</v>
      </c>
      <c r="G386" s="57">
        <v>67.6068</v>
      </c>
      <c r="H386" s="57">
        <v>78.3655</v>
      </c>
      <c r="I386" s="57">
        <v>69.9384</v>
      </c>
      <c r="J386" s="33">
        <f t="shared" si="2"/>
        <v>10.7587</v>
      </c>
      <c r="K386" s="33">
        <f t="shared" si="3"/>
        <v>2.3316</v>
      </c>
      <c r="L386" s="57">
        <v>2.0</v>
      </c>
    </row>
    <row r="387">
      <c r="A387" s="70">
        <v>44677.0</v>
      </c>
      <c r="B387" s="57" t="s">
        <v>186</v>
      </c>
      <c r="C387" s="57" t="s">
        <v>180</v>
      </c>
      <c r="D387" s="57" t="s">
        <v>181</v>
      </c>
      <c r="E387" s="57" t="s">
        <v>182</v>
      </c>
      <c r="F387" s="57">
        <f t="shared" si="12"/>
        <v>0</v>
      </c>
      <c r="G387" s="57">
        <v>67.1276</v>
      </c>
      <c r="H387" s="57">
        <v>72.8007</v>
      </c>
      <c r="I387" s="57">
        <v>68.9794</v>
      </c>
      <c r="J387" s="33">
        <f t="shared" si="2"/>
        <v>5.6731</v>
      </c>
      <c r="K387" s="33">
        <f t="shared" si="3"/>
        <v>1.8518</v>
      </c>
      <c r="L387" s="57">
        <v>4.0</v>
      </c>
    </row>
    <row r="388">
      <c r="A388" s="70">
        <v>44677.0</v>
      </c>
      <c r="B388" s="57" t="s">
        <v>186</v>
      </c>
      <c r="C388" s="57" t="s">
        <v>180</v>
      </c>
      <c r="D388" s="57" t="s">
        <v>181</v>
      </c>
      <c r="E388" s="57" t="s">
        <v>182</v>
      </c>
      <c r="F388" s="57">
        <f t="shared" si="12"/>
        <v>0</v>
      </c>
      <c r="G388" s="57">
        <v>67.4333</v>
      </c>
      <c r="H388" s="57">
        <v>71.229</v>
      </c>
      <c r="I388" s="57">
        <v>68.8144</v>
      </c>
      <c r="J388" s="33">
        <f t="shared" si="2"/>
        <v>3.7957</v>
      </c>
      <c r="K388" s="33">
        <f t="shared" si="3"/>
        <v>1.3811</v>
      </c>
      <c r="L388" s="57">
        <v>3.0</v>
      </c>
    </row>
    <row r="389">
      <c r="A389" s="70">
        <v>44670.0</v>
      </c>
      <c r="B389" s="57" t="s">
        <v>144</v>
      </c>
      <c r="C389" s="57" t="s">
        <v>180</v>
      </c>
      <c r="D389" s="57" t="s">
        <v>181</v>
      </c>
      <c r="E389" s="57" t="s">
        <v>179</v>
      </c>
      <c r="F389" s="57">
        <f t="shared" si="12"/>
        <v>0</v>
      </c>
      <c r="G389" s="57">
        <v>67.415</v>
      </c>
      <c r="H389" s="57">
        <v>69.2581</v>
      </c>
      <c r="I389" s="57">
        <v>68.0469</v>
      </c>
      <c r="J389" s="33">
        <f t="shared" si="2"/>
        <v>1.8431</v>
      </c>
      <c r="K389" s="33">
        <f t="shared" si="3"/>
        <v>0.6319</v>
      </c>
      <c r="L389" s="57">
        <v>1.0</v>
      </c>
    </row>
    <row r="390">
      <c r="A390" s="70">
        <v>44670.0</v>
      </c>
      <c r="B390" s="57" t="s">
        <v>144</v>
      </c>
      <c r="C390" s="57" t="s">
        <v>180</v>
      </c>
      <c r="D390" s="57" t="s">
        <v>181</v>
      </c>
      <c r="E390" s="57" t="s">
        <v>182</v>
      </c>
      <c r="F390" s="57">
        <f t="shared" si="12"/>
        <v>0</v>
      </c>
      <c r="G390" s="57">
        <v>7.3626</v>
      </c>
      <c r="H390" s="57">
        <v>11.3179</v>
      </c>
      <c r="I390" s="57">
        <v>8.6608</v>
      </c>
      <c r="J390" s="33">
        <f t="shared" si="2"/>
        <v>3.9553</v>
      </c>
      <c r="K390" s="33">
        <f t="shared" si="3"/>
        <v>1.2982</v>
      </c>
      <c r="L390" s="57">
        <v>3.0</v>
      </c>
    </row>
    <row r="391">
      <c r="A391" s="70">
        <v>44677.0</v>
      </c>
      <c r="B391" s="57" t="s">
        <v>144</v>
      </c>
      <c r="C391" s="57" t="s">
        <v>180</v>
      </c>
      <c r="D391" s="57" t="s">
        <v>181</v>
      </c>
      <c r="E391" s="57" t="s">
        <v>182</v>
      </c>
      <c r="F391" s="57">
        <f t="shared" si="12"/>
        <v>0</v>
      </c>
      <c r="G391" s="57">
        <v>7.3578</v>
      </c>
      <c r="H391" s="57">
        <v>13.9604</v>
      </c>
      <c r="I391" s="57">
        <v>9.3501</v>
      </c>
      <c r="J391" s="33">
        <f t="shared" si="2"/>
        <v>6.6026</v>
      </c>
      <c r="K391" s="33">
        <f t="shared" si="3"/>
        <v>1.9923</v>
      </c>
      <c r="L391" s="57">
        <v>5.0</v>
      </c>
    </row>
    <row r="392">
      <c r="A392" s="70">
        <v>44663.0</v>
      </c>
      <c r="B392" s="57" t="s">
        <v>186</v>
      </c>
      <c r="C392" s="57" t="s">
        <v>180</v>
      </c>
      <c r="D392" s="57" t="s">
        <v>181</v>
      </c>
      <c r="E392" s="57" t="s">
        <v>179</v>
      </c>
      <c r="F392" s="57">
        <f t="shared" si="12"/>
        <v>0</v>
      </c>
      <c r="G392" s="57">
        <v>7.2978</v>
      </c>
      <c r="H392" s="57">
        <v>8.1611</v>
      </c>
      <c r="I392" s="57">
        <v>10.1817</v>
      </c>
      <c r="J392" s="33">
        <f t="shared" si="2"/>
        <v>0.8633</v>
      </c>
      <c r="K392" s="33">
        <f t="shared" si="3"/>
        <v>2.8839</v>
      </c>
      <c r="L392" s="57">
        <v>4.0</v>
      </c>
    </row>
    <row r="393">
      <c r="A393" s="70">
        <v>44655.0</v>
      </c>
      <c r="B393" s="57">
        <v>2375.0</v>
      </c>
      <c r="C393" s="57" t="s">
        <v>177</v>
      </c>
      <c r="D393" s="57" t="s">
        <v>181</v>
      </c>
      <c r="E393" s="57" t="s">
        <v>179</v>
      </c>
      <c r="F393" s="57">
        <f t="shared" si="12"/>
        <v>0</v>
      </c>
      <c r="G393" s="57">
        <v>0.0</v>
      </c>
      <c r="H393" s="57">
        <v>0.8258</v>
      </c>
      <c r="I393" s="57">
        <v>0.3627</v>
      </c>
      <c r="J393" s="33">
        <f t="shared" si="2"/>
        <v>0.8258</v>
      </c>
      <c r="K393" s="33">
        <f t="shared" si="3"/>
        <v>0.3627</v>
      </c>
    </row>
    <row r="394">
      <c r="A394" s="70">
        <v>44670.0</v>
      </c>
      <c r="B394" s="57" t="s">
        <v>144</v>
      </c>
      <c r="C394" s="57" t="s">
        <v>180</v>
      </c>
      <c r="D394" s="57" t="s">
        <v>181</v>
      </c>
      <c r="E394" s="57" t="s">
        <v>182</v>
      </c>
      <c r="F394" s="57">
        <f t="shared" si="12"/>
        <v>0</v>
      </c>
      <c r="G394" s="57">
        <v>7.3451</v>
      </c>
      <c r="H394" s="57">
        <v>13.1844</v>
      </c>
      <c r="I394" s="57">
        <v>9.5416</v>
      </c>
      <c r="J394" s="33">
        <f t="shared" si="2"/>
        <v>5.8393</v>
      </c>
      <c r="K394" s="33">
        <f t="shared" si="3"/>
        <v>2.1965</v>
      </c>
      <c r="L394" s="57">
        <v>1.0</v>
      </c>
    </row>
    <row r="395">
      <c r="A395" s="70">
        <v>44655.0</v>
      </c>
      <c r="B395" s="57">
        <v>2365.0</v>
      </c>
      <c r="C395" s="57" t="s">
        <v>177</v>
      </c>
      <c r="D395" s="57" t="s">
        <v>178</v>
      </c>
      <c r="E395" s="57" t="s">
        <v>179</v>
      </c>
      <c r="F395" s="57">
        <f t="shared" si="12"/>
        <v>1</v>
      </c>
      <c r="G395" s="57">
        <v>6.2595</v>
      </c>
      <c r="H395" s="57">
        <v>6.6278</v>
      </c>
      <c r="I395" s="57">
        <v>6.4695</v>
      </c>
      <c r="J395" s="33">
        <f t="shared" si="2"/>
        <v>0.3683</v>
      </c>
      <c r="K395" s="33">
        <f t="shared" si="3"/>
        <v>0.21</v>
      </c>
    </row>
    <row r="396">
      <c r="A396" s="70">
        <v>44655.0</v>
      </c>
      <c r="B396" s="57">
        <v>2008.0</v>
      </c>
      <c r="C396" s="57" t="s">
        <v>180</v>
      </c>
      <c r="D396" s="57" t="s">
        <v>181</v>
      </c>
      <c r="E396" s="57" t="s">
        <v>179</v>
      </c>
      <c r="F396" s="57">
        <f t="shared" si="12"/>
        <v>0</v>
      </c>
      <c r="G396" s="57">
        <v>6.3135</v>
      </c>
      <c r="H396" s="57">
        <v>6.6152</v>
      </c>
      <c r="I396" s="57">
        <v>6.455</v>
      </c>
      <c r="J396" s="33">
        <f t="shared" si="2"/>
        <v>0.3017</v>
      </c>
      <c r="K396" s="33">
        <f t="shared" si="3"/>
        <v>0.1415</v>
      </c>
    </row>
    <row r="397">
      <c r="A397" s="70">
        <v>44670.0</v>
      </c>
      <c r="B397" s="57" t="s">
        <v>185</v>
      </c>
      <c r="C397" s="57" t="s">
        <v>180</v>
      </c>
      <c r="D397" s="57" t="s">
        <v>181</v>
      </c>
      <c r="E397" s="57" t="s">
        <v>179</v>
      </c>
      <c r="F397" s="57">
        <f t="shared" si="12"/>
        <v>0</v>
      </c>
      <c r="G397" s="57">
        <v>7.3358</v>
      </c>
      <c r="H397" s="57">
        <v>9.1977</v>
      </c>
      <c r="I397" s="57">
        <v>7.7833</v>
      </c>
      <c r="J397" s="33">
        <f t="shared" si="2"/>
        <v>1.8619</v>
      </c>
      <c r="K397" s="33">
        <f t="shared" si="3"/>
        <v>0.4475</v>
      </c>
      <c r="L397" s="57">
        <v>1.0</v>
      </c>
    </row>
    <row r="398">
      <c r="A398" s="70">
        <v>44655.0</v>
      </c>
      <c r="B398" s="57">
        <v>2346.0</v>
      </c>
      <c r="C398" s="57" t="s">
        <v>177</v>
      </c>
      <c r="D398" s="57" t="s">
        <v>178</v>
      </c>
      <c r="E398" s="57" t="s">
        <v>179</v>
      </c>
      <c r="F398" s="57">
        <f t="shared" si="12"/>
        <v>1</v>
      </c>
      <c r="G398" s="57">
        <v>0.0</v>
      </c>
      <c r="H398" s="57">
        <v>1.9624</v>
      </c>
      <c r="I398" s="57">
        <v>1.115</v>
      </c>
      <c r="J398" s="33">
        <f t="shared" si="2"/>
        <v>1.9624</v>
      </c>
      <c r="K398" s="33">
        <f t="shared" si="3"/>
        <v>1.115</v>
      </c>
    </row>
    <row r="399">
      <c r="A399" s="70">
        <v>44663.0</v>
      </c>
      <c r="B399" s="57" t="s">
        <v>144</v>
      </c>
      <c r="C399" s="57" t="s">
        <v>180</v>
      </c>
      <c r="D399" s="57" t="s">
        <v>181</v>
      </c>
      <c r="E399" s="57" t="s">
        <v>182</v>
      </c>
      <c r="F399" s="57">
        <f t="shared" si="12"/>
        <v>0</v>
      </c>
      <c r="G399" s="57">
        <v>7.3702</v>
      </c>
      <c r="H399" s="57">
        <v>14.399</v>
      </c>
      <c r="I399" s="57">
        <v>9.5875</v>
      </c>
      <c r="J399" s="33">
        <f t="shared" si="2"/>
        <v>7.0288</v>
      </c>
      <c r="K399" s="33">
        <f t="shared" si="3"/>
        <v>2.2173</v>
      </c>
      <c r="L399" s="57">
        <v>3.0</v>
      </c>
    </row>
    <row r="400">
      <c r="A400" s="70">
        <v>44655.0</v>
      </c>
      <c r="B400" s="57">
        <v>2370.0</v>
      </c>
      <c r="C400" s="57" t="s">
        <v>177</v>
      </c>
      <c r="D400" s="57" t="s">
        <v>178</v>
      </c>
      <c r="E400" s="57" t="s">
        <v>179</v>
      </c>
      <c r="F400" s="57">
        <f t="shared" si="12"/>
        <v>1</v>
      </c>
      <c r="G400" s="57">
        <v>7.2323</v>
      </c>
      <c r="H400" s="57">
        <v>8.1719</v>
      </c>
      <c r="I400" s="57">
        <v>7.7907</v>
      </c>
      <c r="J400" s="33">
        <f t="shared" si="2"/>
        <v>0.9396</v>
      </c>
      <c r="K400" s="33">
        <f t="shared" si="3"/>
        <v>0.5584</v>
      </c>
    </row>
    <row r="401">
      <c r="A401" s="70">
        <v>44670.0</v>
      </c>
      <c r="B401" s="57" t="s">
        <v>186</v>
      </c>
      <c r="C401" s="57" t="s">
        <v>180</v>
      </c>
      <c r="D401" s="57" t="s">
        <v>181</v>
      </c>
      <c r="E401" s="57" t="s">
        <v>182</v>
      </c>
      <c r="F401" s="57">
        <f t="shared" si="12"/>
        <v>0</v>
      </c>
      <c r="G401" s="57">
        <v>6.3177</v>
      </c>
      <c r="H401" s="57">
        <v>10.0126</v>
      </c>
      <c r="I401" s="57">
        <v>7.5886</v>
      </c>
      <c r="J401" s="33">
        <f t="shared" si="2"/>
        <v>3.6949</v>
      </c>
      <c r="K401" s="33">
        <f t="shared" si="3"/>
        <v>1.2709</v>
      </c>
      <c r="L401" s="57">
        <v>4.0</v>
      </c>
    </row>
    <row r="402">
      <c r="A402" s="70">
        <v>44655.0</v>
      </c>
      <c r="B402" s="57">
        <v>2367.0</v>
      </c>
      <c r="C402" s="57" t="s">
        <v>177</v>
      </c>
      <c r="D402" s="57" t="s">
        <v>181</v>
      </c>
      <c r="E402" s="57" t="s">
        <v>179</v>
      </c>
      <c r="F402" s="57">
        <f t="shared" si="12"/>
        <v>0</v>
      </c>
      <c r="G402" s="57">
        <v>7.3321</v>
      </c>
      <c r="H402" s="57">
        <v>7.5258</v>
      </c>
      <c r="I402" s="57">
        <v>7.4291</v>
      </c>
      <c r="J402" s="33">
        <f t="shared" si="2"/>
        <v>0.1937</v>
      </c>
      <c r="K402" s="33">
        <f t="shared" si="3"/>
        <v>0.097</v>
      </c>
    </row>
    <row r="403">
      <c r="A403" s="70">
        <v>44677.0</v>
      </c>
      <c r="B403" s="57" t="s">
        <v>144</v>
      </c>
      <c r="C403" s="57" t="s">
        <v>180</v>
      </c>
      <c r="D403" s="57" t="s">
        <v>181</v>
      </c>
      <c r="E403" s="57" t="s">
        <v>182</v>
      </c>
      <c r="F403" s="57">
        <f t="shared" si="12"/>
        <v>0</v>
      </c>
      <c r="G403" s="57">
        <v>7.3719</v>
      </c>
      <c r="H403" s="57">
        <v>11.4053</v>
      </c>
      <c r="I403" s="57">
        <v>8.758</v>
      </c>
      <c r="J403" s="33">
        <f t="shared" si="2"/>
        <v>4.0334</v>
      </c>
      <c r="K403" s="33">
        <f t="shared" si="3"/>
        <v>1.3861</v>
      </c>
      <c r="L403" s="57">
        <v>4.0</v>
      </c>
    </row>
    <row r="404">
      <c r="A404" s="70">
        <v>44655.0</v>
      </c>
      <c r="B404" s="57">
        <v>2378.0</v>
      </c>
      <c r="C404" s="57" t="s">
        <v>177</v>
      </c>
      <c r="D404" s="57" t="s">
        <v>178</v>
      </c>
      <c r="E404" s="57" t="s">
        <v>179</v>
      </c>
      <c r="F404" s="57">
        <f t="shared" si="12"/>
        <v>1</v>
      </c>
      <c r="G404" s="57">
        <v>6.253</v>
      </c>
      <c r="H404" s="57">
        <v>6.7492</v>
      </c>
      <c r="I404" s="57">
        <v>6.528</v>
      </c>
      <c r="J404" s="33">
        <f t="shared" si="2"/>
        <v>0.4962</v>
      </c>
      <c r="K404" s="33">
        <f t="shared" si="3"/>
        <v>0.275</v>
      </c>
    </row>
    <row r="405">
      <c r="A405" s="70">
        <v>44655.0</v>
      </c>
      <c r="B405" s="57">
        <v>2347.0</v>
      </c>
      <c r="C405" s="57" t="s">
        <v>177</v>
      </c>
      <c r="D405" s="57" t="s">
        <v>181</v>
      </c>
      <c r="E405" s="57" t="s">
        <v>179</v>
      </c>
      <c r="F405" s="57">
        <f t="shared" si="12"/>
        <v>0</v>
      </c>
      <c r="G405" s="57">
        <v>0.0</v>
      </c>
      <c r="H405" s="57">
        <v>0.3039</v>
      </c>
      <c r="I405" s="57">
        <v>0.1391</v>
      </c>
      <c r="J405" s="33">
        <f t="shared" si="2"/>
        <v>0.3039</v>
      </c>
      <c r="K405" s="33">
        <f t="shared" si="3"/>
        <v>0.1391</v>
      </c>
    </row>
    <row r="406">
      <c r="A406" s="70">
        <v>44655.0</v>
      </c>
      <c r="B406" s="57">
        <v>2024.0</v>
      </c>
      <c r="C406" s="57" t="s">
        <v>180</v>
      </c>
      <c r="D406" s="57" t="s">
        <v>178</v>
      </c>
      <c r="E406" s="57" t="s">
        <v>179</v>
      </c>
      <c r="F406" s="57">
        <f t="shared" si="12"/>
        <v>1</v>
      </c>
      <c r="G406" s="57">
        <v>7.3805</v>
      </c>
      <c r="H406" s="57">
        <v>8.551</v>
      </c>
      <c r="I406" s="57">
        <f>7.3805+0.661</f>
        <v>8.0415</v>
      </c>
      <c r="J406" s="33">
        <f t="shared" si="2"/>
        <v>1.1705</v>
      </c>
      <c r="K406" s="33">
        <f t="shared" si="3"/>
        <v>0.661</v>
      </c>
    </row>
    <row r="407">
      <c r="A407" s="70">
        <v>44663.0</v>
      </c>
      <c r="B407" s="57" t="s">
        <v>185</v>
      </c>
      <c r="C407" s="57" t="s">
        <v>180</v>
      </c>
      <c r="D407" s="57" t="s">
        <v>181</v>
      </c>
      <c r="E407" s="57" t="s">
        <v>179</v>
      </c>
      <c r="F407" s="57">
        <f t="shared" si="12"/>
        <v>0</v>
      </c>
      <c r="G407" s="57">
        <v>6.2531</v>
      </c>
      <c r="H407" s="57">
        <v>10.6295</v>
      </c>
      <c r="I407" s="57">
        <v>7.8488</v>
      </c>
      <c r="J407" s="33">
        <f t="shared" si="2"/>
        <v>4.3764</v>
      </c>
      <c r="K407" s="33">
        <f t="shared" si="3"/>
        <v>1.5957</v>
      </c>
      <c r="L407" s="57">
        <v>2.0</v>
      </c>
    </row>
    <row r="408">
      <c r="A408" s="70">
        <v>44663.0</v>
      </c>
      <c r="B408" s="57" t="s">
        <v>185</v>
      </c>
      <c r="C408" s="57" t="s">
        <v>180</v>
      </c>
      <c r="D408" s="57" t="s">
        <v>181</v>
      </c>
      <c r="E408" s="57" t="s">
        <v>179</v>
      </c>
      <c r="F408" s="57">
        <f t="shared" si="12"/>
        <v>0</v>
      </c>
      <c r="G408" s="57">
        <v>7.346</v>
      </c>
      <c r="H408" s="57">
        <v>11.1595</v>
      </c>
      <c r="I408" s="57">
        <v>8.1661</v>
      </c>
      <c r="J408" s="33">
        <f t="shared" si="2"/>
        <v>3.8135</v>
      </c>
      <c r="K408" s="33">
        <f t="shared" si="3"/>
        <v>0.8201</v>
      </c>
      <c r="L408" s="57">
        <v>1.0</v>
      </c>
    </row>
    <row r="409">
      <c r="A409" s="70">
        <v>44655.0</v>
      </c>
      <c r="B409" s="57">
        <v>2007.0</v>
      </c>
      <c r="C409" s="57" t="s">
        <v>180</v>
      </c>
      <c r="D409" s="57" t="s">
        <v>181</v>
      </c>
      <c r="E409" s="57" t="s">
        <v>179</v>
      </c>
      <c r="F409" s="57">
        <f t="shared" si="12"/>
        <v>0</v>
      </c>
      <c r="G409" s="57">
        <v>7.4519</v>
      </c>
      <c r="H409" s="57">
        <v>8.029</v>
      </c>
      <c r="I409" s="57">
        <v>7.7303</v>
      </c>
      <c r="J409" s="33">
        <f t="shared" si="2"/>
        <v>0.5771</v>
      </c>
      <c r="K409" s="33">
        <f t="shared" si="3"/>
        <v>0.2784</v>
      </c>
    </row>
    <row r="410">
      <c r="A410" s="70">
        <v>44655.0</v>
      </c>
      <c r="B410" s="57">
        <v>2009.0</v>
      </c>
      <c r="C410" s="57" t="s">
        <v>177</v>
      </c>
      <c r="D410" s="57" t="s">
        <v>178</v>
      </c>
      <c r="E410" s="57" t="s">
        <v>179</v>
      </c>
      <c r="F410" s="57">
        <f t="shared" si="12"/>
        <v>1</v>
      </c>
      <c r="G410" s="57">
        <v>7.2321</v>
      </c>
      <c r="H410" s="57">
        <v>8.0003</v>
      </c>
      <c r="I410" s="57">
        <v>7.677</v>
      </c>
      <c r="J410" s="33">
        <f t="shared" si="2"/>
        <v>0.7682</v>
      </c>
      <c r="K410" s="33">
        <f t="shared" si="3"/>
        <v>0.4449</v>
      </c>
    </row>
    <row r="411">
      <c r="A411" s="70">
        <v>44655.0</v>
      </c>
      <c r="B411" s="57">
        <v>2383.0</v>
      </c>
      <c r="C411" s="57" t="s">
        <v>177</v>
      </c>
      <c r="D411" s="57" t="s">
        <v>181</v>
      </c>
      <c r="E411" s="57" t="s">
        <v>179</v>
      </c>
      <c r="F411" s="57">
        <f t="shared" si="12"/>
        <v>0</v>
      </c>
      <c r="G411" s="57">
        <v>6.3215</v>
      </c>
      <c r="H411" s="57">
        <v>6.8467</v>
      </c>
      <c r="I411" s="57">
        <v>6.5938</v>
      </c>
      <c r="J411" s="33">
        <f t="shared" si="2"/>
        <v>0.5252</v>
      </c>
      <c r="K411" s="33">
        <f t="shared" si="3"/>
        <v>0.2723</v>
      </c>
    </row>
    <row r="412">
      <c r="A412" s="70">
        <v>44655.0</v>
      </c>
      <c r="B412" s="57">
        <v>2331.0</v>
      </c>
      <c r="C412" s="57" t="s">
        <v>177</v>
      </c>
      <c r="D412" s="57" t="s">
        <v>178</v>
      </c>
      <c r="E412" s="57" t="s">
        <v>179</v>
      </c>
      <c r="F412" s="57">
        <f t="shared" si="12"/>
        <v>1</v>
      </c>
      <c r="G412" s="57">
        <v>7.292</v>
      </c>
      <c r="H412" s="57">
        <v>8.8126</v>
      </c>
      <c r="I412" s="33">
        <f>7.292+0.99</f>
        <v>8.282</v>
      </c>
      <c r="J412" s="33">
        <f t="shared" si="2"/>
        <v>1.5206</v>
      </c>
      <c r="K412" s="33">
        <f t="shared" si="3"/>
        <v>0.99</v>
      </c>
    </row>
    <row r="413">
      <c r="A413" s="70">
        <v>44677.0</v>
      </c>
      <c r="B413" s="57" t="s">
        <v>144</v>
      </c>
      <c r="C413" s="57" t="s">
        <v>180</v>
      </c>
      <c r="D413" s="57" t="s">
        <v>181</v>
      </c>
      <c r="E413" s="57" t="s">
        <v>182</v>
      </c>
      <c r="F413" s="57">
        <f t="shared" si="12"/>
        <v>0</v>
      </c>
      <c r="G413" s="57">
        <v>7.3703</v>
      </c>
      <c r="H413" s="57">
        <v>12.1358</v>
      </c>
      <c r="I413" s="57">
        <v>8.8134</v>
      </c>
      <c r="J413" s="33">
        <f t="shared" si="2"/>
        <v>4.7655</v>
      </c>
      <c r="K413" s="33">
        <f t="shared" si="3"/>
        <v>1.4431</v>
      </c>
      <c r="L413" s="57">
        <v>3.0</v>
      </c>
    </row>
    <row r="414">
      <c r="A414" s="70">
        <v>44655.0</v>
      </c>
      <c r="B414" s="57">
        <v>2009.0</v>
      </c>
      <c r="C414" s="57" t="s">
        <v>177</v>
      </c>
      <c r="D414" s="57" t="s">
        <v>181</v>
      </c>
      <c r="E414" s="57" t="s">
        <v>179</v>
      </c>
      <c r="F414" s="57">
        <f t="shared" si="12"/>
        <v>0</v>
      </c>
      <c r="G414" s="57">
        <v>7.2742</v>
      </c>
      <c r="H414" s="57">
        <v>7.7457</v>
      </c>
      <c r="I414" s="57">
        <v>7.495</v>
      </c>
      <c r="J414" s="33">
        <f t="shared" si="2"/>
        <v>0.4715</v>
      </c>
      <c r="K414" s="33">
        <f t="shared" si="3"/>
        <v>0.2208</v>
      </c>
    </row>
    <row r="415">
      <c r="A415" s="70">
        <v>44655.0</v>
      </c>
      <c r="B415" s="57">
        <v>2347.0</v>
      </c>
      <c r="C415" s="57" t="s">
        <v>177</v>
      </c>
      <c r="D415" s="57" t="s">
        <v>181</v>
      </c>
      <c r="E415" s="57" t="s">
        <v>179</v>
      </c>
      <c r="F415" s="57">
        <f t="shared" si="12"/>
        <v>0</v>
      </c>
      <c r="G415" s="57">
        <v>7.3073</v>
      </c>
      <c r="H415" s="57">
        <v>8.2822</v>
      </c>
      <c r="I415" s="57">
        <v>7.891</v>
      </c>
      <c r="J415" s="33">
        <f t="shared" si="2"/>
        <v>0.9749</v>
      </c>
      <c r="K415" s="33">
        <f t="shared" si="3"/>
        <v>0.5837</v>
      </c>
    </row>
    <row r="416">
      <c r="A416" s="70">
        <v>44655.0</v>
      </c>
      <c r="B416" s="57">
        <v>2092.0</v>
      </c>
      <c r="C416" s="57" t="s">
        <v>180</v>
      </c>
      <c r="D416" s="57" t="s">
        <v>178</v>
      </c>
      <c r="E416" s="57" t="s">
        <v>179</v>
      </c>
      <c r="F416" s="57">
        <f t="shared" si="12"/>
        <v>1</v>
      </c>
      <c r="G416" s="57">
        <v>6.285</v>
      </c>
      <c r="H416" s="57">
        <v>7.0055</v>
      </c>
      <c r="I416" s="57">
        <v>6.6945</v>
      </c>
      <c r="J416" s="33">
        <f t="shared" si="2"/>
        <v>0.7205</v>
      </c>
      <c r="K416" s="33">
        <f t="shared" si="3"/>
        <v>0.4095</v>
      </c>
    </row>
    <row r="417">
      <c r="A417" s="70">
        <v>44655.0</v>
      </c>
      <c r="B417" s="57">
        <v>2301.0</v>
      </c>
      <c r="C417" s="57" t="s">
        <v>177</v>
      </c>
      <c r="D417" s="57" t="s">
        <v>178</v>
      </c>
      <c r="E417" s="57" t="s">
        <v>179</v>
      </c>
      <c r="F417" s="57">
        <f t="shared" si="12"/>
        <v>1</v>
      </c>
      <c r="G417" s="57">
        <v>6.2929</v>
      </c>
      <c r="H417" s="57">
        <v>7.5623</v>
      </c>
      <c r="I417" s="57">
        <v>7.0771</v>
      </c>
      <c r="J417" s="33">
        <f t="shared" si="2"/>
        <v>1.2694</v>
      </c>
      <c r="K417" s="33">
        <f t="shared" si="3"/>
        <v>0.7842</v>
      </c>
    </row>
    <row r="418">
      <c r="A418" s="70">
        <v>44655.0</v>
      </c>
      <c r="B418" s="57">
        <v>2372.0</v>
      </c>
      <c r="C418" s="57" t="s">
        <v>177</v>
      </c>
      <c r="D418" s="57" t="s">
        <v>178</v>
      </c>
      <c r="E418" s="57" t="s">
        <v>179</v>
      </c>
      <c r="F418" s="57">
        <f t="shared" si="12"/>
        <v>1</v>
      </c>
      <c r="G418" s="57">
        <v>7.3216</v>
      </c>
      <c r="H418" s="57">
        <v>7.9797</v>
      </c>
      <c r="I418" s="57">
        <v>7.7167</v>
      </c>
      <c r="J418" s="33">
        <f t="shared" si="2"/>
        <v>0.6581</v>
      </c>
      <c r="K418" s="33">
        <f t="shared" si="3"/>
        <v>0.3951</v>
      </c>
    </row>
    <row r="419">
      <c r="A419" s="70">
        <v>44655.0</v>
      </c>
      <c r="B419" s="57">
        <v>2024.0</v>
      </c>
      <c r="C419" s="57" t="s">
        <v>180</v>
      </c>
      <c r="D419" s="57" t="s">
        <v>181</v>
      </c>
      <c r="E419" s="57" t="s">
        <v>179</v>
      </c>
      <c r="F419" s="57">
        <f t="shared" si="12"/>
        <v>0</v>
      </c>
      <c r="G419" s="57">
        <v>7.5075</v>
      </c>
      <c r="H419" s="57">
        <v>8.2267</v>
      </c>
      <c r="I419" s="33">
        <f>7.5075+0.344</f>
        <v>7.8515</v>
      </c>
      <c r="J419" s="33">
        <f t="shared" si="2"/>
        <v>0.7192</v>
      </c>
      <c r="K419" s="33">
        <f t="shared" si="3"/>
        <v>0.344</v>
      </c>
    </row>
    <row r="420">
      <c r="A420" s="70">
        <v>44655.0</v>
      </c>
      <c r="B420" s="57">
        <v>2005.0</v>
      </c>
      <c r="C420" s="57" t="s">
        <v>180</v>
      </c>
      <c r="D420" s="57" t="s">
        <v>181</v>
      </c>
      <c r="E420" s="57" t="s">
        <v>179</v>
      </c>
      <c r="F420" s="57">
        <f t="shared" si="12"/>
        <v>0</v>
      </c>
      <c r="G420" s="57">
        <v>7.365</v>
      </c>
      <c r="H420" s="57">
        <v>8.3053</v>
      </c>
      <c r="I420" s="33">
        <f>7.365+0.432</f>
        <v>7.797</v>
      </c>
      <c r="J420" s="33">
        <f t="shared" si="2"/>
        <v>0.9403</v>
      </c>
      <c r="K420" s="33">
        <f t="shared" si="3"/>
        <v>0.432</v>
      </c>
    </row>
    <row r="421">
      <c r="A421" s="70">
        <v>44655.0</v>
      </c>
      <c r="B421" s="57">
        <v>2377.0</v>
      </c>
      <c r="C421" s="57" t="s">
        <v>177</v>
      </c>
      <c r="D421" s="57" t="s">
        <v>178</v>
      </c>
      <c r="E421" s="57" t="s">
        <v>179</v>
      </c>
      <c r="F421" s="57">
        <f t="shared" si="12"/>
        <v>1</v>
      </c>
      <c r="G421" s="57">
        <v>6.2891</v>
      </c>
      <c r="H421" s="57">
        <v>7.7749</v>
      </c>
      <c r="I421" s="57">
        <v>7.1783</v>
      </c>
      <c r="J421" s="33">
        <f t="shared" si="2"/>
        <v>1.4858</v>
      </c>
      <c r="K421" s="33">
        <f t="shared" si="3"/>
        <v>0.8892</v>
      </c>
    </row>
    <row r="422">
      <c r="A422" s="70">
        <v>44655.0</v>
      </c>
      <c r="B422" s="57">
        <v>2092.0</v>
      </c>
      <c r="C422" s="57" t="s">
        <v>180</v>
      </c>
      <c r="D422" s="57" t="s">
        <v>181</v>
      </c>
      <c r="E422" s="57" t="s">
        <v>182</v>
      </c>
      <c r="F422" s="57">
        <f t="shared" si="12"/>
        <v>0</v>
      </c>
      <c r="G422" s="57">
        <v>7.3491</v>
      </c>
      <c r="H422" s="57">
        <v>8.1659</v>
      </c>
      <c r="I422" s="57">
        <v>7.8198</v>
      </c>
      <c r="J422" s="33">
        <f t="shared" si="2"/>
        <v>0.8168</v>
      </c>
      <c r="K422" s="33">
        <f t="shared" si="3"/>
        <v>0.4707</v>
      </c>
    </row>
    <row r="423">
      <c r="A423" s="70">
        <v>44655.0</v>
      </c>
      <c r="B423" s="57">
        <v>2369.0</v>
      </c>
      <c r="C423" s="57" t="s">
        <v>177</v>
      </c>
      <c r="D423" s="57" t="s">
        <v>178</v>
      </c>
      <c r="E423" s="57" t="s">
        <v>179</v>
      </c>
      <c r="F423" s="57">
        <f t="shared" si="12"/>
        <v>1</v>
      </c>
      <c r="G423" s="57">
        <v>7.3337</v>
      </c>
      <c r="H423" s="57">
        <v>7.5829</v>
      </c>
      <c r="I423" s="57">
        <v>7.486</v>
      </c>
      <c r="J423" s="33">
        <f t="shared" si="2"/>
        <v>0.2492</v>
      </c>
      <c r="K423" s="33">
        <f t="shared" si="3"/>
        <v>0.1523</v>
      </c>
    </row>
    <row r="424">
      <c r="A424" s="70">
        <v>44663.0</v>
      </c>
      <c r="B424" s="57" t="s">
        <v>186</v>
      </c>
      <c r="C424" s="57" t="s">
        <v>180</v>
      </c>
      <c r="D424" s="57" t="s">
        <v>181</v>
      </c>
      <c r="E424" s="57" t="s">
        <v>179</v>
      </c>
      <c r="F424" s="57">
        <f t="shared" si="12"/>
        <v>0</v>
      </c>
      <c r="G424" s="57">
        <v>7.2389</v>
      </c>
      <c r="H424" s="57">
        <v>10.4592</v>
      </c>
      <c r="I424" s="57">
        <v>8.2623</v>
      </c>
      <c r="J424" s="33">
        <f t="shared" si="2"/>
        <v>3.2203</v>
      </c>
      <c r="K424" s="33">
        <f t="shared" si="3"/>
        <v>1.0234</v>
      </c>
      <c r="L424" s="57">
        <v>3.0</v>
      </c>
    </row>
    <row r="425">
      <c r="A425" s="70">
        <v>44655.0</v>
      </c>
      <c r="B425" s="57">
        <v>2026.0</v>
      </c>
      <c r="C425" s="57" t="s">
        <v>180</v>
      </c>
      <c r="D425" s="57" t="s">
        <v>181</v>
      </c>
      <c r="E425" s="57" t="s">
        <v>182</v>
      </c>
      <c r="F425" s="57">
        <f t="shared" si="12"/>
        <v>0</v>
      </c>
      <c r="G425" s="57">
        <v>7.2894</v>
      </c>
      <c r="H425" s="57">
        <v>11.5675</v>
      </c>
      <c r="I425" s="57">
        <v>9.4532</v>
      </c>
      <c r="J425" s="33">
        <f t="shared" si="2"/>
        <v>4.2781</v>
      </c>
      <c r="K425" s="33">
        <f t="shared" si="3"/>
        <v>2.1638</v>
      </c>
    </row>
    <row r="426">
      <c r="A426" s="70">
        <v>44655.0</v>
      </c>
      <c r="B426" s="57">
        <v>2385.0</v>
      </c>
      <c r="C426" s="57" t="s">
        <v>180</v>
      </c>
      <c r="D426" s="57" t="s">
        <v>181</v>
      </c>
      <c r="E426" s="57" t="s">
        <v>182</v>
      </c>
      <c r="F426" s="57">
        <f t="shared" si="12"/>
        <v>0</v>
      </c>
      <c r="G426" s="57">
        <v>7.3443</v>
      </c>
      <c r="H426" s="57">
        <v>13.2131</v>
      </c>
      <c r="I426" s="57">
        <v>9.716</v>
      </c>
      <c r="J426" s="33">
        <f t="shared" si="2"/>
        <v>5.8688</v>
      </c>
      <c r="K426" s="33">
        <f t="shared" si="3"/>
        <v>2.3717</v>
      </c>
    </row>
    <row r="427">
      <c r="A427" s="70">
        <v>44655.0</v>
      </c>
      <c r="B427" s="57">
        <v>2352.0</v>
      </c>
      <c r="C427" s="57" t="s">
        <v>177</v>
      </c>
      <c r="D427" s="57" t="s">
        <v>178</v>
      </c>
      <c r="E427" s="57" t="s">
        <v>179</v>
      </c>
      <c r="F427" s="57">
        <f t="shared" si="12"/>
        <v>1</v>
      </c>
      <c r="G427" s="57">
        <v>7.3108</v>
      </c>
      <c r="H427" s="57">
        <v>8.1445</v>
      </c>
      <c r="I427" s="57">
        <v>7.853</v>
      </c>
      <c r="J427" s="33">
        <f t="shared" si="2"/>
        <v>0.8337</v>
      </c>
      <c r="K427" s="33">
        <f t="shared" si="3"/>
        <v>0.5422</v>
      </c>
    </row>
    <row r="428">
      <c r="A428" s="70">
        <v>44670.0</v>
      </c>
      <c r="B428" s="57" t="s">
        <v>185</v>
      </c>
      <c r="C428" s="57" t="s">
        <v>180</v>
      </c>
      <c r="D428" s="57" t="s">
        <v>181</v>
      </c>
      <c r="E428" s="57" t="s">
        <v>179</v>
      </c>
      <c r="F428" s="57">
        <f t="shared" si="12"/>
        <v>0</v>
      </c>
      <c r="G428" s="57">
        <v>6.3778</v>
      </c>
      <c r="H428" s="57">
        <v>9.3232</v>
      </c>
      <c r="I428" s="57">
        <v>6.988</v>
      </c>
      <c r="J428" s="33">
        <f t="shared" si="2"/>
        <v>2.9454</v>
      </c>
      <c r="K428" s="33">
        <f t="shared" si="3"/>
        <v>0.6102</v>
      </c>
      <c r="L428" s="57">
        <v>2.0</v>
      </c>
    </row>
    <row r="429">
      <c r="A429" s="70">
        <v>44655.0</v>
      </c>
      <c r="B429" s="57">
        <v>2383.0</v>
      </c>
      <c r="C429" s="57" t="s">
        <v>177</v>
      </c>
      <c r="D429" s="57" t="s">
        <v>178</v>
      </c>
      <c r="E429" s="57" t="s">
        <v>179</v>
      </c>
      <c r="F429" s="57">
        <f t="shared" si="12"/>
        <v>1</v>
      </c>
      <c r="G429" s="57">
        <v>7.305</v>
      </c>
      <c r="H429" s="57">
        <v>8.8834</v>
      </c>
      <c r="I429" s="57">
        <v>8.1942</v>
      </c>
      <c r="J429" s="33">
        <f t="shared" si="2"/>
        <v>1.5784</v>
      </c>
      <c r="K429" s="33">
        <f t="shared" si="3"/>
        <v>0.8892</v>
      </c>
    </row>
    <row r="430">
      <c r="A430" s="70">
        <v>44655.0</v>
      </c>
      <c r="B430" s="57">
        <v>2354.0</v>
      </c>
      <c r="C430" s="57" t="s">
        <v>177</v>
      </c>
      <c r="D430" s="57" t="s">
        <v>178</v>
      </c>
      <c r="E430" s="57" t="s">
        <v>179</v>
      </c>
      <c r="F430" s="57">
        <f t="shared" si="12"/>
        <v>1</v>
      </c>
      <c r="G430" s="57">
        <v>6.2626</v>
      </c>
      <c r="H430" s="57">
        <v>6.776</v>
      </c>
      <c r="I430" s="57">
        <v>6.5776</v>
      </c>
      <c r="J430" s="33">
        <f t="shared" si="2"/>
        <v>0.5134</v>
      </c>
      <c r="K430" s="33">
        <f t="shared" si="3"/>
        <v>0.315</v>
      </c>
    </row>
    <row r="431">
      <c r="A431" s="70">
        <v>44655.0</v>
      </c>
      <c r="B431" s="57">
        <v>2367.0</v>
      </c>
      <c r="C431" s="57" t="s">
        <v>177</v>
      </c>
      <c r="D431" s="57" t="s">
        <v>178</v>
      </c>
      <c r="E431" s="57" t="s">
        <v>179</v>
      </c>
      <c r="F431" s="57">
        <f t="shared" si="12"/>
        <v>1</v>
      </c>
      <c r="G431" s="57">
        <v>7.2425</v>
      </c>
      <c r="H431" s="57">
        <v>7.8019</v>
      </c>
      <c r="I431" s="57">
        <v>7.595</v>
      </c>
      <c r="J431" s="33">
        <f t="shared" si="2"/>
        <v>0.5594</v>
      </c>
      <c r="K431" s="33">
        <f t="shared" si="3"/>
        <v>0.3525</v>
      </c>
    </row>
    <row r="432">
      <c r="A432" s="70">
        <v>44655.0</v>
      </c>
      <c r="B432" s="57">
        <v>2093.0</v>
      </c>
      <c r="C432" s="57" t="s">
        <v>180</v>
      </c>
      <c r="D432" s="57" t="s">
        <v>181</v>
      </c>
      <c r="E432" s="57" t="s">
        <v>179</v>
      </c>
      <c r="F432" s="57">
        <f t="shared" si="12"/>
        <v>0</v>
      </c>
      <c r="G432" s="57">
        <v>7.2942</v>
      </c>
      <c r="H432" s="57">
        <v>7.3842</v>
      </c>
      <c r="I432" s="57">
        <v>7.3419</v>
      </c>
      <c r="J432" s="33">
        <f t="shared" si="2"/>
        <v>0.09</v>
      </c>
      <c r="K432" s="33">
        <f t="shared" si="3"/>
        <v>0.0477</v>
      </c>
    </row>
    <row r="433">
      <c r="A433" s="70">
        <v>44655.0</v>
      </c>
      <c r="B433" s="57">
        <v>2352.0</v>
      </c>
      <c r="C433" s="57" t="s">
        <v>177</v>
      </c>
      <c r="D433" s="57" t="s">
        <v>181</v>
      </c>
      <c r="E433" s="57" t="s">
        <v>179</v>
      </c>
      <c r="F433" s="57">
        <f t="shared" si="12"/>
        <v>0</v>
      </c>
      <c r="G433" s="57">
        <v>6.2655</v>
      </c>
      <c r="H433" s="57">
        <v>6.351</v>
      </c>
      <c r="I433" s="57">
        <v>6.3131</v>
      </c>
      <c r="J433" s="33">
        <f t="shared" si="2"/>
        <v>0.0855</v>
      </c>
      <c r="K433" s="33">
        <f t="shared" si="3"/>
        <v>0.0476</v>
      </c>
    </row>
    <row r="434">
      <c r="A434" s="70">
        <v>44655.0</v>
      </c>
      <c r="B434" s="57">
        <v>2384.0</v>
      </c>
      <c r="C434" s="57" t="s">
        <v>177</v>
      </c>
      <c r="D434" s="57" t="s">
        <v>181</v>
      </c>
      <c r="E434" s="57" t="s">
        <v>179</v>
      </c>
      <c r="F434" s="57">
        <f t="shared" si="12"/>
        <v>0</v>
      </c>
      <c r="G434" s="57">
        <v>7.3028</v>
      </c>
      <c r="H434" s="57">
        <v>7.4372</v>
      </c>
      <c r="I434" s="57">
        <v>7.384</v>
      </c>
      <c r="J434" s="33">
        <f t="shared" si="2"/>
        <v>0.1344</v>
      </c>
      <c r="K434" s="33">
        <f t="shared" si="3"/>
        <v>0.0812</v>
      </c>
    </row>
    <row r="435">
      <c r="A435" s="70">
        <v>44655.0</v>
      </c>
      <c r="B435" s="57">
        <v>2029.0</v>
      </c>
      <c r="C435" s="57" t="s">
        <v>180</v>
      </c>
      <c r="D435" s="57" t="s">
        <v>181</v>
      </c>
      <c r="E435" s="57" t="s">
        <v>179</v>
      </c>
      <c r="F435" s="57">
        <f t="shared" si="12"/>
        <v>0</v>
      </c>
      <c r="G435" s="57">
        <v>7.3345</v>
      </c>
      <c r="H435" s="57">
        <v>7.6456</v>
      </c>
      <c r="I435" s="57">
        <v>7.492</v>
      </c>
      <c r="J435" s="33">
        <f t="shared" si="2"/>
        <v>0.3111</v>
      </c>
      <c r="K435" s="33">
        <f t="shared" si="3"/>
        <v>0.1575</v>
      </c>
    </row>
    <row r="436">
      <c r="A436" s="70">
        <v>44655.0</v>
      </c>
      <c r="B436" s="57">
        <v>2372.0</v>
      </c>
      <c r="C436" s="57" t="s">
        <v>177</v>
      </c>
      <c r="D436" s="57" t="s">
        <v>181</v>
      </c>
      <c r="E436" s="57" t="s">
        <v>179</v>
      </c>
      <c r="F436" s="57">
        <f t="shared" si="12"/>
        <v>0</v>
      </c>
      <c r="G436" s="57">
        <v>7.2574</v>
      </c>
      <c r="H436" s="57">
        <v>7.6317</v>
      </c>
      <c r="I436" s="57">
        <v>7.4185</v>
      </c>
      <c r="J436" s="33">
        <f t="shared" si="2"/>
        <v>0.3743</v>
      </c>
      <c r="K436" s="33">
        <f t="shared" si="3"/>
        <v>0.1611</v>
      </c>
    </row>
    <row r="437">
      <c r="A437" s="70">
        <v>44655.0</v>
      </c>
      <c r="B437" s="57">
        <v>2376.0</v>
      </c>
      <c r="C437" s="57" t="s">
        <v>177</v>
      </c>
      <c r="D437" s="57" t="s">
        <v>178</v>
      </c>
      <c r="E437" s="57" t="s">
        <v>179</v>
      </c>
      <c r="F437" s="57">
        <f t="shared" si="12"/>
        <v>1</v>
      </c>
      <c r="G437" s="57">
        <v>0.0</v>
      </c>
      <c r="H437" s="57">
        <v>1.0612</v>
      </c>
      <c r="I437" s="57">
        <v>0.6585</v>
      </c>
      <c r="J437" s="33">
        <f t="shared" si="2"/>
        <v>1.0612</v>
      </c>
      <c r="K437" s="33">
        <f t="shared" si="3"/>
        <v>0.6585</v>
      </c>
    </row>
    <row r="438">
      <c r="A438" s="70">
        <v>44655.0</v>
      </c>
      <c r="B438" s="57">
        <v>2360.0</v>
      </c>
      <c r="C438" s="57" t="s">
        <v>177</v>
      </c>
      <c r="D438" s="57" t="s">
        <v>181</v>
      </c>
      <c r="E438" s="57" t="s">
        <v>179</v>
      </c>
      <c r="F438" s="57">
        <f t="shared" si="12"/>
        <v>0</v>
      </c>
      <c r="G438" s="57">
        <v>6.3099</v>
      </c>
      <c r="H438" s="57">
        <v>7.0826</v>
      </c>
      <c r="I438" s="57">
        <v>6.7122</v>
      </c>
      <c r="J438" s="33">
        <f t="shared" si="2"/>
        <v>0.7727</v>
      </c>
      <c r="K438" s="33">
        <f t="shared" si="3"/>
        <v>0.4023</v>
      </c>
    </row>
    <row r="439">
      <c r="A439" s="70">
        <v>44655.0</v>
      </c>
      <c r="B439" s="57">
        <v>2011.0</v>
      </c>
      <c r="C439" s="57" t="s">
        <v>177</v>
      </c>
      <c r="D439" s="57" t="s">
        <v>178</v>
      </c>
      <c r="E439" s="57" t="s">
        <v>179</v>
      </c>
      <c r="F439" s="57">
        <f t="shared" si="12"/>
        <v>1</v>
      </c>
      <c r="G439" s="57">
        <v>0.0</v>
      </c>
      <c r="H439" s="57">
        <v>2.2545</v>
      </c>
      <c r="I439" s="57">
        <v>1.2089</v>
      </c>
      <c r="J439" s="33">
        <f t="shared" si="2"/>
        <v>2.2545</v>
      </c>
      <c r="K439" s="33">
        <f t="shared" si="3"/>
        <v>1.2089</v>
      </c>
    </row>
    <row r="440">
      <c r="A440" s="70">
        <v>44655.0</v>
      </c>
      <c r="B440" s="57">
        <v>2379.0</v>
      </c>
      <c r="C440" s="57" t="s">
        <v>177</v>
      </c>
      <c r="D440" s="57" t="s">
        <v>181</v>
      </c>
      <c r="E440" s="57" t="s">
        <v>179</v>
      </c>
      <c r="F440" s="57">
        <f t="shared" si="12"/>
        <v>0</v>
      </c>
      <c r="G440" s="57">
        <v>0.0</v>
      </c>
      <c r="H440" s="57">
        <v>0.556</v>
      </c>
      <c r="I440" s="57">
        <v>0.2666</v>
      </c>
      <c r="J440" s="33">
        <f t="shared" si="2"/>
        <v>0.556</v>
      </c>
      <c r="K440" s="33">
        <f t="shared" si="3"/>
        <v>0.2666</v>
      </c>
    </row>
    <row r="441">
      <c r="A441" s="70">
        <v>44655.0</v>
      </c>
      <c r="B441" s="57">
        <v>2026.0</v>
      </c>
      <c r="C441" s="57" t="s">
        <v>180</v>
      </c>
      <c r="D441" s="57" t="s">
        <v>181</v>
      </c>
      <c r="E441" s="57" t="s">
        <v>179</v>
      </c>
      <c r="F441" s="57">
        <f t="shared" si="12"/>
        <v>0</v>
      </c>
      <c r="G441" s="57">
        <v>7.3558</v>
      </c>
      <c r="H441" s="57">
        <v>7.8462</v>
      </c>
      <c r="I441" s="57">
        <v>7.6068</v>
      </c>
      <c r="J441" s="33">
        <f t="shared" si="2"/>
        <v>0.4904</v>
      </c>
      <c r="K441" s="33">
        <f t="shared" si="3"/>
        <v>0.251</v>
      </c>
    </row>
    <row r="442">
      <c r="A442" s="70">
        <v>44655.0</v>
      </c>
      <c r="B442" s="57">
        <v>2381.0</v>
      </c>
      <c r="C442" s="57" t="s">
        <v>177</v>
      </c>
      <c r="D442" s="57" t="s">
        <v>178</v>
      </c>
      <c r="E442" s="57" t="s">
        <v>182</v>
      </c>
      <c r="F442" s="57">
        <f t="shared" si="12"/>
        <v>1</v>
      </c>
      <c r="G442" s="57">
        <v>6.2786</v>
      </c>
      <c r="H442" s="57">
        <v>10.6732</v>
      </c>
      <c r="I442" s="57">
        <v>8.4324</v>
      </c>
      <c r="J442" s="33">
        <f t="shared" si="2"/>
        <v>4.3946</v>
      </c>
      <c r="K442" s="33">
        <f t="shared" si="3"/>
        <v>2.1538</v>
      </c>
    </row>
    <row r="443">
      <c r="A443" s="70">
        <v>44655.0</v>
      </c>
      <c r="B443" s="57">
        <v>2346.0</v>
      </c>
      <c r="C443" s="57" t="s">
        <v>177</v>
      </c>
      <c r="D443" s="57" t="s">
        <v>181</v>
      </c>
      <c r="E443" s="57" t="s">
        <v>179</v>
      </c>
      <c r="F443" s="57">
        <f t="shared" si="12"/>
        <v>0</v>
      </c>
      <c r="G443" s="57">
        <v>0.0</v>
      </c>
      <c r="H443" s="57">
        <v>0.1513</v>
      </c>
      <c r="I443" s="57">
        <v>0.0762</v>
      </c>
      <c r="J443" s="33">
        <f t="shared" si="2"/>
        <v>0.1513</v>
      </c>
      <c r="K443" s="33">
        <f t="shared" si="3"/>
        <v>0.0762</v>
      </c>
    </row>
    <row r="444">
      <c r="A444" s="70">
        <v>44655.0</v>
      </c>
      <c r="B444" s="57">
        <v>2380.0</v>
      </c>
      <c r="C444" s="57" t="s">
        <v>180</v>
      </c>
      <c r="D444" s="57" t="s">
        <v>181</v>
      </c>
      <c r="E444" s="57" t="s">
        <v>179</v>
      </c>
      <c r="F444" s="57">
        <f t="shared" si="12"/>
        <v>0</v>
      </c>
      <c r="G444" s="57">
        <v>6.1905</v>
      </c>
      <c r="H444" s="57">
        <v>6.3429</v>
      </c>
      <c r="I444" s="57">
        <v>6.2691</v>
      </c>
      <c r="J444" s="33">
        <f t="shared" si="2"/>
        <v>0.1524</v>
      </c>
      <c r="K444" s="33">
        <f t="shared" si="3"/>
        <v>0.0786</v>
      </c>
    </row>
    <row r="445">
      <c r="A445" s="70">
        <v>44655.0</v>
      </c>
      <c r="B445" s="57">
        <v>2385.0</v>
      </c>
      <c r="C445" s="57" t="s">
        <v>180</v>
      </c>
      <c r="D445" s="57" t="s">
        <v>181</v>
      </c>
      <c r="E445" s="57" t="s">
        <v>179</v>
      </c>
      <c r="F445" s="57">
        <f t="shared" si="12"/>
        <v>0</v>
      </c>
      <c r="G445" s="57">
        <v>7.3652</v>
      </c>
      <c r="H445" s="57">
        <v>8.1231</v>
      </c>
      <c r="I445" s="57">
        <v>7.6582</v>
      </c>
      <c r="J445" s="33">
        <f t="shared" si="2"/>
        <v>0.7579</v>
      </c>
      <c r="K445" s="33">
        <f t="shared" si="3"/>
        <v>0.293</v>
      </c>
    </row>
    <row r="446">
      <c r="A446" s="70">
        <v>44655.0</v>
      </c>
      <c r="B446" s="57">
        <v>2088.0</v>
      </c>
      <c r="C446" s="57" t="s">
        <v>177</v>
      </c>
      <c r="D446" s="57" t="s">
        <v>178</v>
      </c>
      <c r="E446" s="57" t="s">
        <v>179</v>
      </c>
      <c r="F446" s="57">
        <f t="shared" si="12"/>
        <v>1</v>
      </c>
      <c r="G446" s="57">
        <v>6.303</v>
      </c>
      <c r="H446" s="57">
        <v>6.8733</v>
      </c>
      <c r="I446" s="57">
        <v>6.5814</v>
      </c>
      <c r="J446" s="33">
        <f t="shared" si="2"/>
        <v>0.5703</v>
      </c>
      <c r="K446" s="33">
        <f t="shared" si="3"/>
        <v>0.2784</v>
      </c>
    </row>
    <row r="447">
      <c r="A447" s="70">
        <v>44655.0</v>
      </c>
      <c r="B447" s="57">
        <v>2092.0</v>
      </c>
      <c r="C447" s="57" t="s">
        <v>180</v>
      </c>
      <c r="D447" s="57" t="s">
        <v>181</v>
      </c>
      <c r="E447" s="57" t="s">
        <v>179</v>
      </c>
      <c r="F447" s="57">
        <f t="shared" si="12"/>
        <v>0</v>
      </c>
      <c r="G447" s="57">
        <v>6.3017</v>
      </c>
      <c r="H447" s="57">
        <v>6.5297</v>
      </c>
      <c r="I447" s="57">
        <v>6.434</v>
      </c>
      <c r="J447" s="33">
        <f t="shared" si="2"/>
        <v>0.228</v>
      </c>
      <c r="K447" s="33">
        <f t="shared" si="3"/>
        <v>0.1323</v>
      </c>
    </row>
    <row r="448">
      <c r="A448" s="70">
        <v>44655.0</v>
      </c>
      <c r="B448" s="57">
        <v>2381.0</v>
      </c>
      <c r="C448" s="57" t="s">
        <v>177</v>
      </c>
      <c r="D448" s="57" t="s">
        <v>178</v>
      </c>
      <c r="E448" s="57" t="s">
        <v>179</v>
      </c>
      <c r="F448" s="57">
        <f t="shared" si="12"/>
        <v>1</v>
      </c>
      <c r="G448" s="57">
        <v>7.2583</v>
      </c>
      <c r="H448" s="57">
        <v>8.1949</v>
      </c>
      <c r="I448" s="57">
        <v>7.7647</v>
      </c>
      <c r="J448" s="33">
        <f t="shared" si="2"/>
        <v>0.9366</v>
      </c>
      <c r="K448" s="33">
        <f t="shared" si="3"/>
        <v>0.5064</v>
      </c>
    </row>
    <row r="449">
      <c r="A449" s="70">
        <v>44655.0</v>
      </c>
      <c r="B449" s="57">
        <v>2381.0</v>
      </c>
      <c r="C449" s="57" t="s">
        <v>177</v>
      </c>
      <c r="D449" s="57" t="s">
        <v>181</v>
      </c>
      <c r="E449" s="57" t="s">
        <v>179</v>
      </c>
      <c r="F449" s="57">
        <f t="shared" si="12"/>
        <v>0</v>
      </c>
      <c r="G449" s="57">
        <v>7.3346</v>
      </c>
      <c r="H449" s="57">
        <v>7.6692</v>
      </c>
      <c r="I449" s="57">
        <v>7.4973</v>
      </c>
      <c r="J449" s="33">
        <f t="shared" si="2"/>
        <v>0.3346</v>
      </c>
      <c r="K449" s="33">
        <f t="shared" si="3"/>
        <v>0.1627</v>
      </c>
    </row>
    <row r="450">
      <c r="A450" s="70">
        <v>44677.0</v>
      </c>
      <c r="B450" s="57" t="s">
        <v>144</v>
      </c>
      <c r="C450" s="57" t="s">
        <v>180</v>
      </c>
      <c r="D450" s="57" t="s">
        <v>181</v>
      </c>
      <c r="E450" s="57" t="s">
        <v>182</v>
      </c>
      <c r="F450" s="57">
        <f t="shared" si="12"/>
        <v>0</v>
      </c>
      <c r="G450" s="57">
        <v>7.3238</v>
      </c>
      <c r="H450" s="57">
        <v>10.7153</v>
      </c>
      <c r="I450" s="57">
        <v>8.6877</v>
      </c>
      <c r="J450" s="33">
        <f t="shared" si="2"/>
        <v>3.3915</v>
      </c>
      <c r="K450" s="33">
        <f t="shared" si="3"/>
        <v>1.3639</v>
      </c>
      <c r="L450" s="57">
        <v>1.0</v>
      </c>
    </row>
    <row r="451">
      <c r="A451" s="70">
        <v>44655.0</v>
      </c>
      <c r="B451" s="57">
        <v>2382.0</v>
      </c>
      <c r="C451" s="57" t="s">
        <v>177</v>
      </c>
      <c r="D451" s="57" t="s">
        <v>181</v>
      </c>
      <c r="E451" s="57" t="s">
        <v>179</v>
      </c>
      <c r="F451" s="57">
        <f t="shared" si="12"/>
        <v>0</v>
      </c>
      <c r="G451" s="57">
        <v>0.0</v>
      </c>
      <c r="H451" s="57">
        <v>1.3604</v>
      </c>
      <c r="I451" s="57">
        <v>0.6387</v>
      </c>
      <c r="J451" s="33">
        <f t="shared" si="2"/>
        <v>1.3604</v>
      </c>
      <c r="K451" s="33">
        <f t="shared" si="3"/>
        <v>0.6387</v>
      </c>
    </row>
    <row r="452">
      <c r="A452" s="70">
        <v>44655.0</v>
      </c>
      <c r="B452" s="57">
        <v>2382.0</v>
      </c>
      <c r="C452" s="57" t="s">
        <v>177</v>
      </c>
      <c r="D452" s="57" t="s">
        <v>178</v>
      </c>
      <c r="E452" s="57" t="s">
        <v>179</v>
      </c>
      <c r="F452" s="57">
        <f t="shared" si="12"/>
        <v>1</v>
      </c>
      <c r="G452" s="57">
        <v>0.0</v>
      </c>
      <c r="H452" s="57">
        <v>1.0719</v>
      </c>
      <c r="I452" s="57">
        <v>0.5559</v>
      </c>
      <c r="J452" s="33">
        <f t="shared" si="2"/>
        <v>1.0719</v>
      </c>
      <c r="K452" s="33">
        <f t="shared" si="3"/>
        <v>0.5559</v>
      </c>
    </row>
    <row r="453">
      <c r="A453" s="70">
        <v>44663.0</v>
      </c>
      <c r="B453" s="57">
        <v>2006.0</v>
      </c>
      <c r="C453" s="57" t="s">
        <v>180</v>
      </c>
      <c r="D453" s="57" t="s">
        <v>181</v>
      </c>
      <c r="E453" s="57" t="s">
        <v>182</v>
      </c>
      <c r="F453" s="57">
        <f t="shared" si="12"/>
        <v>0</v>
      </c>
      <c r="G453" s="57">
        <v>7.3939</v>
      </c>
      <c r="H453" s="57">
        <v>12.2825</v>
      </c>
      <c r="I453" s="57">
        <v>9.8223</v>
      </c>
      <c r="J453" s="33">
        <f t="shared" si="2"/>
        <v>4.8886</v>
      </c>
      <c r="K453" s="33">
        <f t="shared" si="3"/>
        <v>2.4284</v>
      </c>
    </row>
    <row r="454">
      <c r="A454" s="70">
        <v>44655.0</v>
      </c>
      <c r="B454" s="57">
        <v>2380.0</v>
      </c>
      <c r="C454" s="57" t="s">
        <v>180</v>
      </c>
      <c r="D454" s="57" t="s">
        <v>181</v>
      </c>
      <c r="E454" s="57" t="s">
        <v>182</v>
      </c>
      <c r="F454" s="57">
        <f t="shared" si="12"/>
        <v>0</v>
      </c>
      <c r="G454" s="57">
        <v>7.3876</v>
      </c>
      <c r="H454" s="57">
        <v>8.2424</v>
      </c>
      <c r="I454" s="57">
        <v>7.7667</v>
      </c>
      <c r="J454" s="33">
        <f t="shared" si="2"/>
        <v>0.8548</v>
      </c>
      <c r="K454" s="33">
        <f t="shared" si="3"/>
        <v>0.3791</v>
      </c>
    </row>
    <row r="455">
      <c r="A455" s="70">
        <v>44663.0</v>
      </c>
      <c r="B455" s="57">
        <v>2006.0</v>
      </c>
      <c r="C455" s="57" t="s">
        <v>180</v>
      </c>
      <c r="D455" s="57" t="s">
        <v>181</v>
      </c>
      <c r="E455" s="57" t="s">
        <v>179</v>
      </c>
      <c r="F455" s="57">
        <f t="shared" si="12"/>
        <v>0</v>
      </c>
      <c r="G455" s="57">
        <v>7.3206</v>
      </c>
      <c r="H455" s="57">
        <v>7.9009</v>
      </c>
      <c r="I455" s="57">
        <v>7.5876</v>
      </c>
      <c r="J455" s="33">
        <f t="shared" si="2"/>
        <v>0.5803</v>
      </c>
      <c r="K455" s="33">
        <f t="shared" si="3"/>
        <v>0.267</v>
      </c>
    </row>
    <row r="456">
      <c r="A456" s="70">
        <v>44655.0</v>
      </c>
      <c r="B456" s="57">
        <v>2093.0</v>
      </c>
      <c r="C456" s="57" t="s">
        <v>180</v>
      </c>
      <c r="D456" s="57" t="s">
        <v>178</v>
      </c>
      <c r="E456" s="57" t="s">
        <v>182</v>
      </c>
      <c r="F456" s="57">
        <f t="shared" si="12"/>
        <v>1</v>
      </c>
      <c r="G456" s="57">
        <v>7.5221</v>
      </c>
      <c r="H456" s="57">
        <v>9.8959</v>
      </c>
      <c r="I456" s="57">
        <v>8.9533</v>
      </c>
      <c r="J456" s="33">
        <f t="shared" si="2"/>
        <v>2.3738</v>
      </c>
      <c r="K456" s="33">
        <f t="shared" si="3"/>
        <v>1.4312</v>
      </c>
    </row>
    <row r="457">
      <c r="A457" s="70">
        <v>44657.0</v>
      </c>
      <c r="B457" s="57">
        <v>2380.0</v>
      </c>
      <c r="C457" s="57" t="s">
        <v>180</v>
      </c>
      <c r="D457" s="57" t="s">
        <v>178</v>
      </c>
      <c r="E457" s="57" t="s">
        <v>179</v>
      </c>
      <c r="F457" s="57">
        <f t="shared" si="12"/>
        <v>1</v>
      </c>
      <c r="G457" s="57">
        <v>6.289</v>
      </c>
      <c r="H457" s="57">
        <v>7.5314</v>
      </c>
      <c r="I457" s="57">
        <v>7.0645</v>
      </c>
      <c r="J457" s="33">
        <f t="shared" si="2"/>
        <v>1.2424</v>
      </c>
      <c r="K457" s="33">
        <f t="shared" si="3"/>
        <v>0.7755</v>
      </c>
    </row>
    <row r="458">
      <c r="A458" s="70">
        <v>44655.0</v>
      </c>
      <c r="B458" s="57">
        <v>2385.0</v>
      </c>
      <c r="C458" s="57" t="s">
        <v>180</v>
      </c>
      <c r="D458" s="57" t="s">
        <v>178</v>
      </c>
      <c r="E458" s="57" t="s">
        <v>179</v>
      </c>
      <c r="F458" s="57">
        <f t="shared" si="12"/>
        <v>1</v>
      </c>
      <c r="G458" s="57">
        <v>7.3292</v>
      </c>
      <c r="H458" s="57">
        <v>8.8549</v>
      </c>
      <c r="I458" s="57">
        <v>8.0981</v>
      </c>
      <c r="J458" s="33">
        <f t="shared" si="2"/>
        <v>1.5257</v>
      </c>
      <c r="K458" s="33">
        <f t="shared" si="3"/>
        <v>0.7689</v>
      </c>
    </row>
    <row r="459">
      <c r="A459" s="70">
        <v>44655.0</v>
      </c>
      <c r="B459" s="57">
        <v>2007.0</v>
      </c>
      <c r="C459" s="57" t="s">
        <v>180</v>
      </c>
      <c r="D459" s="57" t="s">
        <v>181</v>
      </c>
      <c r="E459" s="57" t="s">
        <v>182</v>
      </c>
      <c r="F459" s="57">
        <f t="shared" si="12"/>
        <v>0</v>
      </c>
      <c r="G459" s="57">
        <v>7.359</v>
      </c>
      <c r="H459" s="57">
        <v>10.0003</v>
      </c>
      <c r="I459" s="57">
        <v>8.7222</v>
      </c>
      <c r="J459" s="33">
        <f t="shared" si="2"/>
        <v>2.6413</v>
      </c>
      <c r="K459" s="33">
        <f t="shared" si="3"/>
        <v>1.3632</v>
      </c>
    </row>
    <row r="460">
      <c r="A460" s="70">
        <v>44655.0</v>
      </c>
      <c r="B460" s="57">
        <v>2379.0</v>
      </c>
      <c r="C460" s="57" t="s">
        <v>177</v>
      </c>
      <c r="D460" s="57" t="s">
        <v>178</v>
      </c>
      <c r="E460" s="57" t="s">
        <v>179</v>
      </c>
      <c r="F460" s="57">
        <f t="shared" si="12"/>
        <v>1</v>
      </c>
      <c r="G460" s="57">
        <v>0.0</v>
      </c>
      <c r="H460" s="57">
        <v>2.5581</v>
      </c>
      <c r="I460" s="57">
        <v>1.4763</v>
      </c>
      <c r="J460" s="33">
        <f t="shared" si="2"/>
        <v>2.5581</v>
      </c>
      <c r="K460" s="33">
        <f t="shared" si="3"/>
        <v>1.4763</v>
      </c>
    </row>
    <row r="461">
      <c r="A461" s="70">
        <v>44655.0</v>
      </c>
      <c r="B461" s="57">
        <v>2093.0</v>
      </c>
      <c r="C461" s="57" t="s">
        <v>180</v>
      </c>
      <c r="D461" s="57" t="s">
        <v>178</v>
      </c>
      <c r="E461" s="57" t="s">
        <v>179</v>
      </c>
      <c r="F461" s="57">
        <f t="shared" si="12"/>
        <v>1</v>
      </c>
      <c r="G461" s="57">
        <v>7.3477</v>
      </c>
      <c r="H461" s="57">
        <v>8.5177</v>
      </c>
      <c r="I461" s="57">
        <v>8.0506</v>
      </c>
      <c r="J461" s="33">
        <f t="shared" si="2"/>
        <v>1.17</v>
      </c>
      <c r="K461" s="33">
        <f t="shared" si="3"/>
        <v>0.7029</v>
      </c>
    </row>
    <row r="462">
      <c r="A462" s="70">
        <v>44655.0</v>
      </c>
      <c r="B462" s="57">
        <v>2371.0</v>
      </c>
      <c r="C462" s="57" t="s">
        <v>177</v>
      </c>
      <c r="D462" s="57" t="s">
        <v>181</v>
      </c>
      <c r="E462" s="57" t="s">
        <v>179</v>
      </c>
      <c r="F462" s="57">
        <f t="shared" si="12"/>
        <v>0</v>
      </c>
      <c r="G462" s="57">
        <v>6.2573</v>
      </c>
      <c r="H462" s="57">
        <v>6.6983</v>
      </c>
      <c r="I462" s="57">
        <v>6.438</v>
      </c>
      <c r="J462" s="33">
        <f t="shared" si="2"/>
        <v>0.441</v>
      </c>
      <c r="K462" s="33">
        <f t="shared" si="3"/>
        <v>0.1807</v>
      </c>
    </row>
    <row r="463">
      <c r="A463" s="70">
        <v>44655.0</v>
      </c>
      <c r="B463" s="57">
        <v>2005.0</v>
      </c>
      <c r="C463" s="57" t="s">
        <v>180</v>
      </c>
      <c r="D463" s="57" t="s">
        <v>181</v>
      </c>
      <c r="E463" s="57" t="s">
        <v>182</v>
      </c>
      <c r="F463" s="57">
        <f t="shared" si="12"/>
        <v>0</v>
      </c>
      <c r="G463" s="57">
        <v>7.499</v>
      </c>
      <c r="H463" s="57">
        <v>11.0545</v>
      </c>
      <c r="I463" s="57">
        <v>9.2054</v>
      </c>
      <c r="J463" s="33">
        <f t="shared" si="2"/>
        <v>3.5555</v>
      </c>
      <c r="K463" s="33">
        <f t="shared" si="3"/>
        <v>1.7064</v>
      </c>
    </row>
    <row r="464">
      <c r="A464" s="70">
        <v>44655.0</v>
      </c>
      <c r="B464" s="57">
        <v>2011.0</v>
      </c>
      <c r="C464" s="57" t="s">
        <v>177</v>
      </c>
      <c r="D464" s="57" t="s">
        <v>181</v>
      </c>
      <c r="E464" s="57" t="s">
        <v>179</v>
      </c>
      <c r="F464" s="57">
        <f t="shared" si="12"/>
        <v>0</v>
      </c>
      <c r="G464" s="57">
        <v>0.0</v>
      </c>
      <c r="H464" s="57">
        <v>1.8305</v>
      </c>
      <c r="I464" s="57">
        <v>0.8062</v>
      </c>
      <c r="J464" s="33">
        <f t="shared" si="2"/>
        <v>1.8305</v>
      </c>
      <c r="K464" s="33">
        <f t="shared" si="3"/>
        <v>0.8062</v>
      </c>
    </row>
    <row r="465">
      <c r="A465" s="70">
        <v>44655.0</v>
      </c>
      <c r="B465" s="57">
        <v>2088.0</v>
      </c>
      <c r="C465" s="57" t="s">
        <v>177</v>
      </c>
      <c r="D465" s="57" t="s">
        <v>181</v>
      </c>
      <c r="E465" s="57" t="s">
        <v>182</v>
      </c>
      <c r="F465" s="57">
        <f t="shared" si="12"/>
        <v>0</v>
      </c>
      <c r="G465" s="57">
        <v>6.2825</v>
      </c>
      <c r="H465" s="57">
        <v>9.31</v>
      </c>
      <c r="I465" s="57">
        <v>7.4055</v>
      </c>
      <c r="J465" s="33">
        <f t="shared" si="2"/>
        <v>3.0275</v>
      </c>
      <c r="K465" s="33">
        <f t="shared" si="3"/>
        <v>1.123</v>
      </c>
    </row>
    <row r="466">
      <c r="A466" s="70">
        <v>44655.0</v>
      </c>
      <c r="B466" s="57">
        <v>2093.0</v>
      </c>
      <c r="C466" s="57" t="s">
        <v>180</v>
      </c>
      <c r="D466" s="57" t="s">
        <v>181</v>
      </c>
      <c r="E466" s="57" t="s">
        <v>182</v>
      </c>
      <c r="F466" s="57">
        <f t="shared" si="12"/>
        <v>0</v>
      </c>
      <c r="G466" s="57">
        <v>7.2492</v>
      </c>
      <c r="H466" s="57">
        <v>7.4735</v>
      </c>
      <c r="I466" s="57">
        <v>7.3643</v>
      </c>
      <c r="J466" s="33">
        <f t="shared" si="2"/>
        <v>0.2243</v>
      </c>
      <c r="K466" s="33">
        <f t="shared" si="3"/>
        <v>0.1151</v>
      </c>
    </row>
    <row r="467">
      <c r="A467" s="70">
        <v>44663.0</v>
      </c>
      <c r="B467" s="57">
        <v>2004.0</v>
      </c>
      <c r="C467" s="57" t="s">
        <v>180</v>
      </c>
      <c r="D467" s="57" t="s">
        <v>181</v>
      </c>
      <c r="E467" s="57" t="s">
        <v>179</v>
      </c>
      <c r="F467" s="57">
        <f t="shared" si="12"/>
        <v>0</v>
      </c>
      <c r="G467" s="57">
        <v>6.2656</v>
      </c>
      <c r="H467" s="57">
        <v>7.1291</v>
      </c>
      <c r="I467" s="57">
        <v>6.6593</v>
      </c>
      <c r="J467" s="33">
        <f t="shared" si="2"/>
        <v>0.8635</v>
      </c>
      <c r="K467" s="33">
        <f t="shared" si="3"/>
        <v>0.3937</v>
      </c>
    </row>
    <row r="468">
      <c r="A468" s="70">
        <v>44655.0</v>
      </c>
      <c r="B468" s="57">
        <v>2092.0</v>
      </c>
      <c r="C468" s="57" t="s">
        <v>180</v>
      </c>
      <c r="D468" s="57" t="s">
        <v>178</v>
      </c>
      <c r="E468" s="57" t="s">
        <v>182</v>
      </c>
      <c r="F468" s="57">
        <f t="shared" si="12"/>
        <v>1</v>
      </c>
      <c r="G468" s="57">
        <v>7.3402</v>
      </c>
      <c r="H468" s="57">
        <v>9.2478</v>
      </c>
      <c r="I468" s="57">
        <v>8.4404</v>
      </c>
      <c r="J468" s="33">
        <f t="shared" si="2"/>
        <v>1.9076</v>
      </c>
      <c r="K468" s="33">
        <f t="shared" si="3"/>
        <v>1.1002</v>
      </c>
    </row>
    <row r="469">
      <c r="A469" s="70">
        <v>44670.0</v>
      </c>
      <c r="B469" s="57" t="s">
        <v>186</v>
      </c>
      <c r="C469" s="57" t="s">
        <v>180</v>
      </c>
      <c r="D469" s="57" t="s">
        <v>181</v>
      </c>
      <c r="E469" s="57" t="s">
        <v>182</v>
      </c>
      <c r="F469" s="57">
        <f t="shared" si="12"/>
        <v>0</v>
      </c>
      <c r="G469" s="57">
        <v>7.3395</v>
      </c>
      <c r="H469" s="57">
        <v>12.4942</v>
      </c>
      <c r="I469" s="57">
        <v>9.2369</v>
      </c>
      <c r="J469" s="33">
        <f t="shared" si="2"/>
        <v>5.1547</v>
      </c>
      <c r="K469" s="33">
        <f t="shared" si="3"/>
        <v>1.8974</v>
      </c>
      <c r="L469" s="57">
        <v>3.0</v>
      </c>
    </row>
    <row r="470">
      <c r="A470" s="70">
        <v>44677.0</v>
      </c>
      <c r="B470" s="57" t="s">
        <v>186</v>
      </c>
      <c r="C470" s="57" t="s">
        <v>180</v>
      </c>
      <c r="D470" s="57" t="s">
        <v>181</v>
      </c>
      <c r="E470" s="57" t="s">
        <v>179</v>
      </c>
      <c r="F470" s="57">
        <f t="shared" si="12"/>
        <v>0</v>
      </c>
      <c r="G470" s="57">
        <v>6.2842</v>
      </c>
      <c r="H470" s="57">
        <v>7.9237</v>
      </c>
      <c r="I470" s="57">
        <v>6.8055</v>
      </c>
      <c r="J470" s="33">
        <f t="shared" si="2"/>
        <v>1.6395</v>
      </c>
      <c r="K470" s="33">
        <f t="shared" si="3"/>
        <v>0.5213</v>
      </c>
      <c r="L470" s="57">
        <v>5.0</v>
      </c>
    </row>
    <row r="471">
      <c r="A471" s="70">
        <v>44655.0</v>
      </c>
      <c r="B471" s="57">
        <v>2026.0</v>
      </c>
      <c r="C471" s="57" t="s">
        <v>180</v>
      </c>
      <c r="D471" s="57" t="s">
        <v>178</v>
      </c>
      <c r="E471" s="57" t="s">
        <v>179</v>
      </c>
      <c r="F471" s="57">
        <f t="shared" si="12"/>
        <v>1</v>
      </c>
      <c r="G471" s="57">
        <v>7.3814</v>
      </c>
      <c r="H471" s="57">
        <v>7.9775</v>
      </c>
      <c r="I471" s="57">
        <v>7.7192</v>
      </c>
      <c r="J471" s="33">
        <f t="shared" si="2"/>
        <v>0.5961</v>
      </c>
      <c r="K471" s="33">
        <f t="shared" si="3"/>
        <v>0.3378</v>
      </c>
    </row>
    <row r="472">
      <c r="A472" s="70">
        <v>44677.0</v>
      </c>
      <c r="B472" s="57" t="s">
        <v>185</v>
      </c>
      <c r="C472" s="57" t="s">
        <v>180</v>
      </c>
      <c r="D472" s="57" t="s">
        <v>181</v>
      </c>
      <c r="E472" s="57" t="s">
        <v>179</v>
      </c>
      <c r="F472" s="57">
        <f t="shared" si="12"/>
        <v>0</v>
      </c>
      <c r="G472" s="57">
        <v>7.3484</v>
      </c>
      <c r="H472" s="57">
        <v>9.7842</v>
      </c>
      <c r="I472" s="57">
        <v>7.7977</v>
      </c>
      <c r="J472" s="33">
        <f t="shared" si="2"/>
        <v>2.4358</v>
      </c>
      <c r="K472" s="33">
        <f t="shared" si="3"/>
        <v>0.4493</v>
      </c>
      <c r="L472" s="57">
        <v>2.0</v>
      </c>
    </row>
    <row r="473">
      <c r="A473" s="70">
        <v>44663.0</v>
      </c>
      <c r="B473" s="57" t="s">
        <v>144</v>
      </c>
      <c r="C473" s="57" t="s">
        <v>180</v>
      </c>
      <c r="D473" s="57" t="s">
        <v>181</v>
      </c>
      <c r="E473" s="57" t="s">
        <v>182</v>
      </c>
      <c r="F473" s="57">
        <f t="shared" si="12"/>
        <v>0</v>
      </c>
      <c r="G473" s="57">
        <v>7.2405</v>
      </c>
      <c r="H473" s="57">
        <v>17.7103</v>
      </c>
      <c r="I473" s="57">
        <v>10.2771</v>
      </c>
      <c r="J473" s="33">
        <f t="shared" si="2"/>
        <v>10.4698</v>
      </c>
      <c r="K473" s="33">
        <f t="shared" si="3"/>
        <v>3.0366</v>
      </c>
      <c r="L473" s="57">
        <v>4.0</v>
      </c>
    </row>
    <row r="474">
      <c r="A474" s="70">
        <v>44670.0</v>
      </c>
      <c r="B474" s="57" t="s">
        <v>185</v>
      </c>
      <c r="C474" s="57" t="s">
        <v>180</v>
      </c>
      <c r="D474" s="57" t="s">
        <v>181</v>
      </c>
      <c r="E474" s="57" t="s">
        <v>179</v>
      </c>
      <c r="F474" s="57">
        <f t="shared" si="12"/>
        <v>0</v>
      </c>
      <c r="G474" s="57">
        <v>7.2516</v>
      </c>
      <c r="H474" s="57">
        <v>10.6925</v>
      </c>
      <c r="I474" s="57">
        <v>7.8016</v>
      </c>
      <c r="J474" s="33">
        <f t="shared" si="2"/>
        <v>3.4409</v>
      </c>
      <c r="K474" s="33">
        <f t="shared" si="3"/>
        <v>0.55</v>
      </c>
      <c r="L474" s="57">
        <v>2.0</v>
      </c>
    </row>
    <row r="475">
      <c r="A475" s="70">
        <v>44663.0</v>
      </c>
      <c r="B475" s="57" t="s">
        <v>186</v>
      </c>
      <c r="C475" s="57" t="s">
        <v>180</v>
      </c>
      <c r="D475" s="57" t="s">
        <v>181</v>
      </c>
      <c r="E475" s="57" t="s">
        <v>182</v>
      </c>
      <c r="F475" s="57">
        <f t="shared" si="12"/>
        <v>0</v>
      </c>
      <c r="G475" s="57">
        <v>67.7681</v>
      </c>
      <c r="H475" s="57">
        <v>77.4162</v>
      </c>
      <c r="I475" s="57">
        <v>70.9566</v>
      </c>
      <c r="J475" s="33">
        <f t="shared" si="2"/>
        <v>9.6481</v>
      </c>
      <c r="K475" s="33">
        <f t="shared" si="3"/>
        <v>3.1885</v>
      </c>
      <c r="L475" s="57">
        <v>4.0</v>
      </c>
    </row>
    <row r="476">
      <c r="A476" s="70">
        <v>44663.0</v>
      </c>
      <c r="B476" s="57" t="s">
        <v>186</v>
      </c>
      <c r="C476" s="57" t="s">
        <v>180</v>
      </c>
      <c r="D476" s="57" t="s">
        <v>181</v>
      </c>
      <c r="E476" s="57" t="s">
        <v>182</v>
      </c>
      <c r="F476" s="57">
        <f t="shared" si="12"/>
        <v>0</v>
      </c>
      <c r="G476" s="57">
        <v>68.8806</v>
      </c>
      <c r="H476" s="57">
        <v>79.3931</v>
      </c>
      <c r="I476" s="57">
        <v>72.4985</v>
      </c>
      <c r="J476" s="33">
        <f t="shared" si="2"/>
        <v>10.5125</v>
      </c>
      <c r="K476" s="33">
        <f t="shared" si="3"/>
        <v>3.6179</v>
      </c>
      <c r="L476" s="57">
        <v>3.0</v>
      </c>
    </row>
    <row r="477">
      <c r="A477" s="70">
        <v>44663.0</v>
      </c>
      <c r="B477" s="57" t="s">
        <v>144</v>
      </c>
      <c r="C477" s="57" t="s">
        <v>180</v>
      </c>
      <c r="D477" s="57" t="s">
        <v>181</v>
      </c>
      <c r="E477" s="57" t="s">
        <v>179</v>
      </c>
      <c r="F477" s="57">
        <f t="shared" si="12"/>
        <v>0</v>
      </c>
      <c r="G477" s="57">
        <v>67.3617</v>
      </c>
      <c r="H477" s="57">
        <v>69.9829</v>
      </c>
      <c r="I477" s="57">
        <v>68.1918</v>
      </c>
      <c r="J477" s="33">
        <f t="shared" si="2"/>
        <v>2.6212</v>
      </c>
      <c r="K477" s="33">
        <f t="shared" si="3"/>
        <v>0.8301</v>
      </c>
      <c r="L477" s="57">
        <v>4.0</v>
      </c>
    </row>
    <row r="478">
      <c r="A478" s="70">
        <v>44663.0</v>
      </c>
      <c r="B478" s="57" t="s">
        <v>185</v>
      </c>
      <c r="C478" s="57" t="s">
        <v>180</v>
      </c>
      <c r="D478" s="57" t="s">
        <v>181</v>
      </c>
      <c r="E478" s="57" t="s">
        <v>182</v>
      </c>
      <c r="F478" s="57">
        <f t="shared" si="12"/>
        <v>0</v>
      </c>
      <c r="G478" s="57">
        <v>68.2592</v>
      </c>
      <c r="H478" s="57">
        <v>86.0425</v>
      </c>
      <c r="I478" s="57">
        <v>72.48</v>
      </c>
      <c r="J478" s="33">
        <f t="shared" si="2"/>
        <v>17.7833</v>
      </c>
      <c r="K478" s="33">
        <f t="shared" si="3"/>
        <v>4.2208</v>
      </c>
      <c r="L478" s="57">
        <v>2.0</v>
      </c>
    </row>
    <row r="479">
      <c r="A479" s="70">
        <v>44663.0</v>
      </c>
      <c r="B479" s="57" t="s">
        <v>144</v>
      </c>
      <c r="C479" s="57" t="s">
        <v>180</v>
      </c>
      <c r="D479" s="57" t="s">
        <v>181</v>
      </c>
      <c r="E479" s="57" t="s">
        <v>179</v>
      </c>
      <c r="F479" s="57">
        <f t="shared" si="12"/>
        <v>0</v>
      </c>
      <c r="G479" s="57">
        <v>67.7817</v>
      </c>
      <c r="H479" s="57">
        <v>70.4158</v>
      </c>
      <c r="I479" s="57">
        <v>68.4698</v>
      </c>
      <c r="J479" s="33">
        <f t="shared" si="2"/>
        <v>2.6341</v>
      </c>
      <c r="K479" s="33">
        <f t="shared" si="3"/>
        <v>0.6881</v>
      </c>
      <c r="L479" s="57">
        <v>3.0</v>
      </c>
    </row>
    <row r="480">
      <c r="A480" s="70">
        <v>44663.0</v>
      </c>
      <c r="B480" s="57" t="s">
        <v>185</v>
      </c>
      <c r="C480" s="57" t="s">
        <v>180</v>
      </c>
      <c r="D480" s="57" t="s">
        <v>181</v>
      </c>
      <c r="E480" s="57" t="s">
        <v>182</v>
      </c>
      <c r="F480" s="57">
        <f t="shared" si="12"/>
        <v>0</v>
      </c>
      <c r="G480" s="57">
        <v>68.5466</v>
      </c>
      <c r="H480" s="57">
        <v>86.9675</v>
      </c>
      <c r="I480" s="57">
        <v>73.2688</v>
      </c>
      <c r="J480" s="33">
        <f t="shared" si="2"/>
        <v>18.4209</v>
      </c>
      <c r="K480" s="33">
        <f t="shared" si="3"/>
        <v>4.7222</v>
      </c>
      <c r="L480" s="57">
        <v>2.0</v>
      </c>
    </row>
    <row r="481">
      <c r="A481" s="70">
        <v>44663.0</v>
      </c>
      <c r="B481" s="57" t="s">
        <v>185</v>
      </c>
      <c r="C481" s="57" t="s">
        <v>180</v>
      </c>
      <c r="D481" s="57" t="s">
        <v>181</v>
      </c>
      <c r="E481" s="57" t="s">
        <v>182</v>
      </c>
      <c r="F481" s="57">
        <f t="shared" si="12"/>
        <v>0</v>
      </c>
      <c r="G481" s="57">
        <v>67.5225</v>
      </c>
      <c r="H481" s="57">
        <v>76.5282</v>
      </c>
      <c r="I481" s="57">
        <v>69.8575</v>
      </c>
      <c r="J481" s="33">
        <f t="shared" si="2"/>
        <v>9.0057</v>
      </c>
      <c r="K481" s="33">
        <f t="shared" si="3"/>
        <v>2.335</v>
      </c>
      <c r="L481" s="57">
        <v>1.0</v>
      </c>
    </row>
    <row r="482">
      <c r="A482" s="70">
        <v>44663.0</v>
      </c>
      <c r="B482" s="57" t="s">
        <v>144</v>
      </c>
      <c r="C482" s="57" t="s">
        <v>180</v>
      </c>
      <c r="D482" s="57" t="s">
        <v>181</v>
      </c>
      <c r="E482" s="57" t="s">
        <v>182</v>
      </c>
      <c r="F482" s="57">
        <f t="shared" si="12"/>
        <v>0</v>
      </c>
      <c r="G482" s="57">
        <v>67.6232</v>
      </c>
      <c r="H482" s="57">
        <v>78.0799</v>
      </c>
      <c r="I482" s="57">
        <v>71.5012</v>
      </c>
      <c r="J482" s="33">
        <f t="shared" si="2"/>
        <v>10.4567</v>
      </c>
      <c r="K482" s="33">
        <f t="shared" si="3"/>
        <v>3.878</v>
      </c>
      <c r="L482" s="57">
        <v>1.0</v>
      </c>
    </row>
    <row r="483">
      <c r="A483" s="70">
        <v>44663.0</v>
      </c>
      <c r="B483" s="57" t="s">
        <v>144</v>
      </c>
      <c r="C483" s="57" t="s">
        <v>180</v>
      </c>
      <c r="D483" s="57" t="s">
        <v>181</v>
      </c>
      <c r="E483" s="57" t="s">
        <v>179</v>
      </c>
      <c r="F483" s="57">
        <f t="shared" si="12"/>
        <v>0</v>
      </c>
      <c r="G483" s="57">
        <v>68.058</v>
      </c>
      <c r="H483" s="57">
        <v>71.711</v>
      </c>
      <c r="I483" s="57">
        <v>69.2604</v>
      </c>
      <c r="J483" s="33">
        <f t="shared" si="2"/>
        <v>3.653</v>
      </c>
      <c r="K483" s="33">
        <f t="shared" si="3"/>
        <v>1.2024</v>
      </c>
      <c r="L483" s="57">
        <v>1.0</v>
      </c>
    </row>
    <row r="484">
      <c r="A484" s="70">
        <v>44670.0</v>
      </c>
      <c r="B484" s="57" t="s">
        <v>144</v>
      </c>
      <c r="C484" s="57" t="s">
        <v>180</v>
      </c>
      <c r="D484" s="57" t="s">
        <v>181</v>
      </c>
      <c r="E484" s="57" t="s">
        <v>182</v>
      </c>
      <c r="F484" s="57">
        <f t="shared" si="12"/>
        <v>0</v>
      </c>
      <c r="G484" s="57">
        <v>7.3401</v>
      </c>
      <c r="H484" s="57">
        <v>13.0978</v>
      </c>
      <c r="I484" s="57">
        <v>9.3995</v>
      </c>
      <c r="J484" s="33">
        <f t="shared" si="2"/>
        <v>5.7577</v>
      </c>
      <c r="K484" s="33">
        <f t="shared" si="3"/>
        <v>2.0594</v>
      </c>
      <c r="L484" s="57">
        <v>4.0</v>
      </c>
    </row>
    <row r="485">
      <c r="A485" s="70">
        <v>44655.0</v>
      </c>
      <c r="B485" s="57">
        <v>2367.0</v>
      </c>
      <c r="C485" s="57" t="s">
        <v>177</v>
      </c>
      <c r="D485" s="57" t="s">
        <v>181</v>
      </c>
      <c r="E485" s="57" t="s">
        <v>179</v>
      </c>
      <c r="F485" s="57">
        <f t="shared" si="12"/>
        <v>0</v>
      </c>
      <c r="G485" s="57">
        <v>0.0</v>
      </c>
      <c r="H485" s="57">
        <v>0.1968</v>
      </c>
      <c r="I485" s="57">
        <v>0.0962</v>
      </c>
      <c r="J485" s="33">
        <f t="shared" si="2"/>
        <v>0.1968</v>
      </c>
      <c r="K485" s="33">
        <f t="shared" si="3"/>
        <v>0.0962</v>
      </c>
    </row>
    <row r="486">
      <c r="A486" s="70">
        <v>44677.0</v>
      </c>
      <c r="B486" s="57" t="s">
        <v>185</v>
      </c>
      <c r="C486" s="57" t="s">
        <v>180</v>
      </c>
      <c r="D486" s="57" t="s">
        <v>181</v>
      </c>
      <c r="E486" s="57" t="s">
        <v>179</v>
      </c>
      <c r="F486" s="57">
        <f t="shared" si="12"/>
        <v>0</v>
      </c>
      <c r="G486" s="57">
        <v>7.4031</v>
      </c>
      <c r="H486" s="57">
        <v>9.8187</v>
      </c>
      <c r="I486" s="57">
        <v>7.9261</v>
      </c>
      <c r="J486" s="33">
        <f t="shared" si="2"/>
        <v>2.4156</v>
      </c>
      <c r="K486" s="33">
        <f t="shared" si="3"/>
        <v>0.523</v>
      </c>
      <c r="L486" s="57">
        <v>2.0</v>
      </c>
    </row>
    <row r="487">
      <c r="A487" s="70">
        <v>44655.0</v>
      </c>
      <c r="B487" s="57">
        <v>2345.0</v>
      </c>
      <c r="C487" s="57" t="s">
        <v>177</v>
      </c>
      <c r="D487" s="57" t="s">
        <v>178</v>
      </c>
      <c r="E487" s="57" t="s">
        <v>179</v>
      </c>
      <c r="F487" s="57">
        <f t="shared" si="12"/>
        <v>1</v>
      </c>
      <c r="G487" s="57">
        <v>0.0</v>
      </c>
      <c r="H487" s="57">
        <v>0.7057</v>
      </c>
      <c r="I487" s="57">
        <v>0.4181</v>
      </c>
      <c r="J487" s="33">
        <f t="shared" si="2"/>
        <v>0.7057</v>
      </c>
      <c r="K487" s="33">
        <f t="shared" si="3"/>
        <v>0.4181</v>
      </c>
    </row>
    <row r="488">
      <c r="A488" s="70">
        <v>44663.0</v>
      </c>
      <c r="B488" s="57" t="s">
        <v>185</v>
      </c>
      <c r="C488" s="57" t="s">
        <v>180</v>
      </c>
      <c r="D488" s="57" t="s">
        <v>181</v>
      </c>
      <c r="E488" s="57" t="s">
        <v>179</v>
      </c>
      <c r="F488" s="57">
        <f t="shared" si="12"/>
        <v>0</v>
      </c>
      <c r="G488" s="57">
        <v>7.3636</v>
      </c>
      <c r="H488" s="57">
        <v>13.3891</v>
      </c>
      <c r="I488" s="57">
        <v>8.0433</v>
      </c>
      <c r="J488" s="33">
        <f t="shared" si="2"/>
        <v>6.0255</v>
      </c>
      <c r="K488" s="33">
        <f t="shared" si="3"/>
        <v>0.6797</v>
      </c>
      <c r="L488" s="57">
        <v>2.0</v>
      </c>
    </row>
    <row r="489">
      <c r="A489" s="70">
        <v>44663.0</v>
      </c>
      <c r="B489" s="57">
        <v>2004.0</v>
      </c>
      <c r="C489" s="57" t="s">
        <v>180</v>
      </c>
      <c r="D489" s="57" t="s">
        <v>181</v>
      </c>
      <c r="E489" s="57" t="s">
        <v>182</v>
      </c>
      <c r="F489" s="57">
        <f t="shared" si="12"/>
        <v>0</v>
      </c>
      <c r="G489" s="57">
        <v>7.3155</v>
      </c>
      <c r="H489" s="57">
        <v>11.346</v>
      </c>
      <c r="I489" s="57">
        <v>9.3364</v>
      </c>
      <c r="J489" s="33">
        <f t="shared" si="2"/>
        <v>4.0305</v>
      </c>
      <c r="K489" s="33">
        <f t="shared" si="3"/>
        <v>2.0209</v>
      </c>
    </row>
    <row r="490">
      <c r="A490" s="70">
        <v>44677.0</v>
      </c>
      <c r="B490" s="57" t="s">
        <v>185</v>
      </c>
      <c r="C490" s="57" t="s">
        <v>180</v>
      </c>
      <c r="D490" s="57" t="s">
        <v>181</v>
      </c>
      <c r="E490" s="57" t="s">
        <v>179</v>
      </c>
      <c r="F490" s="57">
        <f t="shared" si="12"/>
        <v>0</v>
      </c>
      <c r="G490" s="57">
        <v>7.3261</v>
      </c>
      <c r="H490" s="57">
        <v>9.476</v>
      </c>
      <c r="I490" s="57">
        <v>7.8325</v>
      </c>
      <c r="J490" s="33">
        <f t="shared" si="2"/>
        <v>2.1499</v>
      </c>
      <c r="K490" s="33">
        <f t="shared" si="3"/>
        <v>0.5064</v>
      </c>
      <c r="L490" s="57">
        <v>1.0</v>
      </c>
    </row>
    <row r="491">
      <c r="A491" s="70">
        <v>44655.0</v>
      </c>
      <c r="B491" s="57">
        <v>2008.0</v>
      </c>
      <c r="C491" s="57" t="s">
        <v>180</v>
      </c>
      <c r="D491" s="57" t="s">
        <v>181</v>
      </c>
      <c r="E491" s="57" t="s">
        <v>182</v>
      </c>
      <c r="F491" s="57">
        <f t="shared" si="12"/>
        <v>0</v>
      </c>
      <c r="G491" s="57">
        <v>7.3543</v>
      </c>
      <c r="H491" s="57">
        <v>10.4482</v>
      </c>
      <c r="I491" s="57">
        <v>8.8743</v>
      </c>
      <c r="J491" s="33">
        <f t="shared" si="2"/>
        <v>3.0939</v>
      </c>
      <c r="K491" s="33">
        <f t="shared" si="3"/>
        <v>1.52</v>
      </c>
    </row>
    <row r="492">
      <c r="A492" s="70">
        <v>44655.0</v>
      </c>
      <c r="B492" s="57">
        <v>2365.0</v>
      </c>
      <c r="C492" s="57" t="s">
        <v>177</v>
      </c>
      <c r="D492" s="57" t="s">
        <v>181</v>
      </c>
      <c r="E492" s="57" t="s">
        <v>179</v>
      </c>
      <c r="F492" s="57">
        <f t="shared" si="12"/>
        <v>0</v>
      </c>
      <c r="G492" s="57">
        <v>6.2362</v>
      </c>
      <c r="H492" s="57">
        <v>6.6347</v>
      </c>
      <c r="I492" s="57">
        <v>6.4454</v>
      </c>
      <c r="J492" s="33">
        <f t="shared" si="2"/>
        <v>0.3985</v>
      </c>
      <c r="K492" s="33">
        <f t="shared" si="3"/>
        <v>0.2092</v>
      </c>
    </row>
    <row r="493">
      <c r="A493" s="70">
        <v>44655.0</v>
      </c>
      <c r="B493" s="57">
        <v>2378.0</v>
      </c>
      <c r="C493" s="57" t="s">
        <v>177</v>
      </c>
      <c r="D493" s="57" t="s">
        <v>181</v>
      </c>
      <c r="E493" s="57" t="s">
        <v>179</v>
      </c>
      <c r="F493" s="57">
        <f t="shared" si="12"/>
        <v>0</v>
      </c>
      <c r="G493" s="57">
        <v>6.2723</v>
      </c>
      <c r="H493" s="57">
        <v>7.1751</v>
      </c>
      <c r="I493" s="57">
        <v>6.7255</v>
      </c>
      <c r="J493" s="33">
        <f t="shared" si="2"/>
        <v>0.9028</v>
      </c>
      <c r="K493" s="33">
        <f t="shared" si="3"/>
        <v>0.4532</v>
      </c>
    </row>
    <row r="494">
      <c r="A494" s="70">
        <v>44655.0</v>
      </c>
      <c r="B494" s="57">
        <v>2375.0</v>
      </c>
      <c r="C494" s="57" t="s">
        <v>177</v>
      </c>
      <c r="D494" s="57" t="s">
        <v>178</v>
      </c>
      <c r="E494" s="57" t="s">
        <v>179</v>
      </c>
      <c r="F494" s="57">
        <f t="shared" si="12"/>
        <v>1</v>
      </c>
      <c r="G494" s="57">
        <v>0.0</v>
      </c>
      <c r="H494" s="57">
        <v>1.1976</v>
      </c>
      <c r="I494" s="57">
        <v>0.6722</v>
      </c>
      <c r="J494" s="33">
        <f t="shared" si="2"/>
        <v>1.1976</v>
      </c>
      <c r="K494" s="33">
        <f t="shared" si="3"/>
        <v>0.6722</v>
      </c>
    </row>
    <row r="495">
      <c r="A495" s="70">
        <v>44677.0</v>
      </c>
      <c r="B495" s="57" t="s">
        <v>186</v>
      </c>
      <c r="C495" s="57" t="s">
        <v>180</v>
      </c>
      <c r="D495" s="57" t="s">
        <v>181</v>
      </c>
      <c r="E495" s="57" t="s">
        <v>179</v>
      </c>
      <c r="F495" s="57">
        <f t="shared" si="12"/>
        <v>0</v>
      </c>
      <c r="G495" s="57">
        <v>7.3519</v>
      </c>
      <c r="H495" s="57">
        <v>8.5122</v>
      </c>
      <c r="I495" s="57">
        <v>7.7123</v>
      </c>
      <c r="J495" s="33">
        <f t="shared" si="2"/>
        <v>1.1603</v>
      </c>
      <c r="K495" s="33">
        <f t="shared" si="3"/>
        <v>0.3604</v>
      </c>
      <c r="L495" s="57">
        <v>3.0</v>
      </c>
    </row>
    <row r="496">
      <c r="A496" s="70">
        <v>44677.0</v>
      </c>
      <c r="B496" s="57" t="s">
        <v>186</v>
      </c>
      <c r="C496" s="57" t="s">
        <v>180</v>
      </c>
      <c r="D496" s="57" t="s">
        <v>181</v>
      </c>
      <c r="E496" s="57" t="s">
        <v>179</v>
      </c>
      <c r="F496" s="57">
        <f t="shared" si="12"/>
        <v>0</v>
      </c>
      <c r="G496" s="57">
        <v>7.3359</v>
      </c>
      <c r="H496" s="57">
        <v>8.7713</v>
      </c>
      <c r="I496" s="57">
        <v>7.7844</v>
      </c>
      <c r="J496" s="33">
        <f t="shared" si="2"/>
        <v>1.4354</v>
      </c>
      <c r="K496" s="33">
        <f t="shared" si="3"/>
        <v>0.4485</v>
      </c>
      <c r="L496" s="57">
        <v>4.0</v>
      </c>
    </row>
    <row r="497">
      <c r="A497" s="70">
        <v>44677.0</v>
      </c>
      <c r="B497" s="57" t="s">
        <v>185</v>
      </c>
      <c r="C497" s="57" t="s">
        <v>180</v>
      </c>
      <c r="D497" s="57" t="s">
        <v>181</v>
      </c>
      <c r="E497" s="57" t="s">
        <v>179</v>
      </c>
      <c r="F497" s="57">
        <f t="shared" si="12"/>
        <v>0</v>
      </c>
      <c r="G497" s="57">
        <v>7.3008</v>
      </c>
      <c r="H497" s="57">
        <v>10.1817</v>
      </c>
      <c r="I497" s="57">
        <v>7.948</v>
      </c>
      <c r="J497" s="33">
        <f t="shared" si="2"/>
        <v>2.8809</v>
      </c>
      <c r="K497" s="33">
        <f t="shared" si="3"/>
        <v>0.6472</v>
      </c>
      <c r="L497" s="57">
        <v>5.0</v>
      </c>
    </row>
    <row r="498">
      <c r="A498" s="70">
        <v>44655.0</v>
      </c>
      <c r="B498" s="57">
        <v>2343.0</v>
      </c>
      <c r="C498" s="57" t="s">
        <v>177</v>
      </c>
      <c r="D498" s="57" t="s">
        <v>178</v>
      </c>
      <c r="E498" s="57" t="s">
        <v>179</v>
      </c>
      <c r="F498" s="57">
        <f t="shared" si="12"/>
        <v>1</v>
      </c>
      <c r="G498" s="57">
        <v>6.2226</v>
      </c>
      <c r="H498" s="57">
        <v>7.4487</v>
      </c>
      <c r="I498" s="57">
        <v>6.8828</v>
      </c>
      <c r="J498" s="33">
        <f t="shared" si="2"/>
        <v>1.2261</v>
      </c>
      <c r="K498" s="33">
        <f t="shared" si="3"/>
        <v>0.6602</v>
      </c>
    </row>
    <row r="499">
      <c r="A499" s="70">
        <v>44655.0</v>
      </c>
      <c r="B499" s="57">
        <v>2088.0</v>
      </c>
      <c r="C499" s="57" t="s">
        <v>177</v>
      </c>
      <c r="D499" s="57" t="s">
        <v>181</v>
      </c>
      <c r="E499" s="57" t="s">
        <v>179</v>
      </c>
      <c r="F499" s="57">
        <f t="shared" si="12"/>
        <v>0</v>
      </c>
      <c r="G499" s="57">
        <v>6.2543</v>
      </c>
      <c r="H499" s="57">
        <v>6.5222</v>
      </c>
      <c r="I499" s="33">
        <f>6.2343+0.102</f>
        <v>6.3363</v>
      </c>
      <c r="J499" s="33">
        <f t="shared" si="2"/>
        <v>0.2679</v>
      </c>
      <c r="K499" s="33">
        <f t="shared" si="3"/>
        <v>0.082</v>
      </c>
    </row>
    <row r="500">
      <c r="A500" s="70">
        <v>44655.0</v>
      </c>
      <c r="B500" s="57">
        <v>2371.0</v>
      </c>
      <c r="C500" s="57" t="s">
        <v>177</v>
      </c>
      <c r="D500" s="57" t="s">
        <v>178</v>
      </c>
      <c r="E500" s="57" t="s">
        <v>179</v>
      </c>
      <c r="F500" s="57">
        <f t="shared" si="12"/>
        <v>1</v>
      </c>
      <c r="G500" s="57">
        <v>7.2657</v>
      </c>
      <c r="H500" s="57">
        <v>7.9886</v>
      </c>
      <c r="I500" s="33">
        <f>G500+0.398</f>
        <v>7.6637</v>
      </c>
      <c r="J500" s="33">
        <f t="shared" si="2"/>
        <v>0.7229</v>
      </c>
      <c r="K500" s="33">
        <f t="shared" si="3"/>
        <v>0.398</v>
      </c>
    </row>
    <row r="501">
      <c r="A501" s="70">
        <v>44655.0</v>
      </c>
      <c r="B501" s="57">
        <v>2370.0</v>
      </c>
      <c r="C501" s="57" t="s">
        <v>177</v>
      </c>
      <c r="D501" s="57" t="s">
        <v>181</v>
      </c>
      <c r="E501" s="57" t="s">
        <v>179</v>
      </c>
      <c r="F501" s="57">
        <f t="shared" si="12"/>
        <v>0</v>
      </c>
      <c r="G501" s="57">
        <v>7.3498</v>
      </c>
      <c r="H501" s="57">
        <v>7.5199</v>
      </c>
      <c r="I501" s="33">
        <f>G501+0.121</f>
        <v>7.4708</v>
      </c>
      <c r="J501" s="33">
        <f t="shared" si="2"/>
        <v>0.1701</v>
      </c>
      <c r="K501" s="33">
        <f t="shared" si="3"/>
        <v>0.121</v>
      </c>
    </row>
    <row r="502">
      <c r="A502" s="70">
        <v>44655.0</v>
      </c>
      <c r="B502" s="57">
        <v>2354.0</v>
      </c>
      <c r="C502" s="57" t="s">
        <v>177</v>
      </c>
      <c r="D502" s="57" t="s">
        <v>181</v>
      </c>
      <c r="E502" s="57" t="s">
        <v>179</v>
      </c>
      <c r="F502" s="57">
        <f t="shared" si="12"/>
        <v>0</v>
      </c>
      <c r="G502" s="57">
        <v>6.2524</v>
      </c>
      <c r="H502" s="57">
        <v>6.5209</v>
      </c>
      <c r="I502" s="33">
        <f>G502+0.12</f>
        <v>6.3724</v>
      </c>
      <c r="J502" s="33">
        <f t="shared" si="2"/>
        <v>0.2685</v>
      </c>
      <c r="K502" s="33">
        <f t="shared" si="3"/>
        <v>0.12</v>
      </c>
    </row>
    <row r="503">
      <c r="A503" s="70">
        <v>44655.0</v>
      </c>
      <c r="B503" s="57">
        <v>2343.0</v>
      </c>
      <c r="C503" s="57" t="s">
        <v>177</v>
      </c>
      <c r="D503" s="57" t="s">
        <v>181</v>
      </c>
      <c r="E503" s="57" t="s">
        <v>179</v>
      </c>
      <c r="F503" s="57">
        <f t="shared" si="12"/>
        <v>0</v>
      </c>
      <c r="G503" s="57">
        <v>7.2698</v>
      </c>
      <c r="H503" s="57">
        <v>8.3762</v>
      </c>
      <c r="I503" s="33">
        <f>G503+0.47</f>
        <v>7.7398</v>
      </c>
      <c r="J503" s="33">
        <f t="shared" si="2"/>
        <v>1.1064</v>
      </c>
      <c r="K503" s="33">
        <f t="shared" si="3"/>
        <v>0.47</v>
      </c>
    </row>
    <row r="504">
      <c r="A504" s="70">
        <v>44655.0</v>
      </c>
      <c r="B504" s="57">
        <v>2377.0</v>
      </c>
      <c r="C504" s="57" t="s">
        <v>177</v>
      </c>
      <c r="D504" s="57" t="s">
        <v>181</v>
      </c>
      <c r="E504" s="57" t="s">
        <v>179</v>
      </c>
      <c r="F504" s="57">
        <f t="shared" si="12"/>
        <v>0</v>
      </c>
      <c r="G504" s="57">
        <v>7.2813</v>
      </c>
      <c r="H504" s="57">
        <v>7.4154</v>
      </c>
      <c r="I504" s="33">
        <f>G504+0.063</f>
        <v>7.3443</v>
      </c>
      <c r="J504" s="33">
        <f t="shared" si="2"/>
        <v>0.1341</v>
      </c>
      <c r="K504" s="33">
        <f t="shared" si="3"/>
        <v>0.063</v>
      </c>
    </row>
    <row r="505">
      <c r="A505" s="70">
        <v>44655.0</v>
      </c>
      <c r="B505" s="57">
        <v>2384.0</v>
      </c>
      <c r="C505" s="57" t="s">
        <v>177</v>
      </c>
      <c r="D505" s="57" t="s">
        <v>178</v>
      </c>
      <c r="E505" s="57" t="s">
        <v>179</v>
      </c>
      <c r="F505" s="57">
        <f t="shared" si="12"/>
        <v>1</v>
      </c>
      <c r="G505" s="57">
        <v>7.2988</v>
      </c>
      <c r="H505" s="57">
        <v>7.8798</v>
      </c>
      <c r="I505" s="33">
        <f>G505+0.36</f>
        <v>7.6588</v>
      </c>
      <c r="J505" s="33">
        <f t="shared" si="2"/>
        <v>0.581</v>
      </c>
      <c r="K505" s="33">
        <f t="shared" si="3"/>
        <v>0.36</v>
      </c>
    </row>
    <row r="506">
      <c r="A506" s="70">
        <v>44655.0</v>
      </c>
      <c r="B506" s="57">
        <v>2029.0</v>
      </c>
      <c r="C506" s="57" t="s">
        <v>180</v>
      </c>
      <c r="D506" s="57" t="s">
        <v>178</v>
      </c>
      <c r="E506" s="57" t="s">
        <v>179</v>
      </c>
      <c r="F506" s="57">
        <f t="shared" si="12"/>
        <v>1</v>
      </c>
      <c r="G506" s="57">
        <v>7.3444</v>
      </c>
      <c r="H506" s="57">
        <v>8.2719</v>
      </c>
      <c r="I506" s="33">
        <f>G506+0.542</f>
        <v>7.8864</v>
      </c>
      <c r="J506" s="33">
        <f t="shared" si="2"/>
        <v>0.9275</v>
      </c>
      <c r="K506" s="33">
        <f t="shared" si="3"/>
        <v>0.542</v>
      </c>
    </row>
    <row r="507">
      <c r="A507" s="70">
        <v>44655.0</v>
      </c>
      <c r="B507" s="57">
        <v>2331.0</v>
      </c>
      <c r="C507" s="57" t="s">
        <v>177</v>
      </c>
      <c r="D507" s="57" t="s">
        <v>181</v>
      </c>
      <c r="E507" s="57" t="s">
        <v>182</v>
      </c>
      <c r="F507" s="57">
        <f t="shared" si="12"/>
        <v>0</v>
      </c>
      <c r="G507" s="57">
        <v>7.2931</v>
      </c>
      <c r="H507" s="57">
        <v>7.3791</v>
      </c>
      <c r="I507" s="33">
        <f>G507+0.045</f>
        <v>7.3381</v>
      </c>
      <c r="J507" s="33">
        <f t="shared" si="2"/>
        <v>0.086</v>
      </c>
      <c r="K507" s="33">
        <f t="shared" si="3"/>
        <v>0.045</v>
      </c>
    </row>
    <row r="508">
      <c r="A508" s="70">
        <v>44655.0</v>
      </c>
      <c r="B508" s="57">
        <v>2022.0</v>
      </c>
      <c r="C508" s="57" t="s">
        <v>177</v>
      </c>
      <c r="D508" s="57" t="s">
        <v>178</v>
      </c>
      <c r="E508" s="57" t="s">
        <v>182</v>
      </c>
      <c r="F508" s="57">
        <f t="shared" si="12"/>
        <v>1</v>
      </c>
      <c r="G508" s="57">
        <v>26.2306</v>
      </c>
      <c r="H508" s="57">
        <v>32.48</v>
      </c>
      <c r="I508" s="57">
        <v>29.4711</v>
      </c>
      <c r="J508" s="33">
        <f t="shared" si="2"/>
        <v>6.2494</v>
      </c>
      <c r="K508" s="33">
        <f t="shared" si="3"/>
        <v>3.2405</v>
      </c>
    </row>
    <row r="509">
      <c r="A509" s="70">
        <v>44655.0</v>
      </c>
      <c r="B509" s="57">
        <v>2091.0</v>
      </c>
      <c r="C509" s="57" t="s">
        <v>60</v>
      </c>
      <c r="D509" s="57" t="s">
        <v>178</v>
      </c>
      <c r="E509" s="57" t="s">
        <v>182</v>
      </c>
      <c r="F509" s="57">
        <f t="shared" si="12"/>
        <v>1</v>
      </c>
      <c r="G509" s="57">
        <v>26.3202</v>
      </c>
      <c r="H509" s="57">
        <v>30.6486</v>
      </c>
      <c r="I509" s="57">
        <v>28.9847</v>
      </c>
      <c r="J509" s="33">
        <f t="shared" si="2"/>
        <v>4.3284</v>
      </c>
      <c r="K509" s="33">
        <f t="shared" si="3"/>
        <v>2.6645</v>
      </c>
    </row>
    <row r="510">
      <c r="A510" s="70">
        <v>44655.0</v>
      </c>
      <c r="B510" s="57">
        <v>2029.0</v>
      </c>
      <c r="C510" s="57" t="s">
        <v>180</v>
      </c>
      <c r="D510" s="57" t="s">
        <v>181</v>
      </c>
      <c r="E510" s="57" t="s">
        <v>182</v>
      </c>
      <c r="F510" s="57">
        <f t="shared" si="12"/>
        <v>0</v>
      </c>
      <c r="G510" s="57">
        <v>26.1665</v>
      </c>
      <c r="H510" s="57">
        <v>30.7019</v>
      </c>
      <c r="I510" s="57">
        <v>28.3358</v>
      </c>
      <c r="J510" s="33">
        <f t="shared" si="2"/>
        <v>4.5354</v>
      </c>
      <c r="K510" s="33">
        <f t="shared" si="3"/>
        <v>2.1693</v>
      </c>
    </row>
    <row r="511">
      <c r="A511" s="70">
        <v>44655.0</v>
      </c>
      <c r="B511" s="57">
        <v>2087.0</v>
      </c>
      <c r="C511" s="57" t="s">
        <v>177</v>
      </c>
      <c r="D511" s="57" t="s">
        <v>178</v>
      </c>
      <c r="E511" s="57" t="s">
        <v>179</v>
      </c>
      <c r="F511" s="57">
        <f t="shared" si="12"/>
        <v>1</v>
      </c>
      <c r="G511" s="57">
        <v>26.2326</v>
      </c>
      <c r="H511" s="57">
        <v>27.3741</v>
      </c>
      <c r="I511" s="57">
        <v>26.7283</v>
      </c>
      <c r="J511" s="33">
        <f t="shared" si="2"/>
        <v>1.1415</v>
      </c>
      <c r="K511" s="33">
        <f t="shared" si="3"/>
        <v>0.4957</v>
      </c>
    </row>
    <row r="512">
      <c r="A512" s="70">
        <v>44655.0</v>
      </c>
      <c r="B512" s="57">
        <v>2028.0</v>
      </c>
      <c r="C512" s="57" t="s">
        <v>180</v>
      </c>
      <c r="D512" s="57" t="s">
        <v>181</v>
      </c>
      <c r="E512" s="57" t="s">
        <v>182</v>
      </c>
      <c r="F512" s="57">
        <f t="shared" si="12"/>
        <v>0</v>
      </c>
      <c r="G512" s="57">
        <v>26.2855</v>
      </c>
      <c r="H512" s="57">
        <v>31.3484</v>
      </c>
      <c r="I512" s="57">
        <v>29.1262</v>
      </c>
      <c r="J512" s="33">
        <f t="shared" si="2"/>
        <v>5.0629</v>
      </c>
      <c r="K512" s="33">
        <f t="shared" si="3"/>
        <v>2.8407</v>
      </c>
    </row>
    <row r="513">
      <c r="A513" s="70">
        <v>44655.0</v>
      </c>
      <c r="B513" s="57">
        <v>2011.0</v>
      </c>
      <c r="C513" s="57" t="s">
        <v>177</v>
      </c>
      <c r="D513" s="57" t="s">
        <v>181</v>
      </c>
      <c r="E513" s="57" t="s">
        <v>179</v>
      </c>
      <c r="F513" s="57">
        <f t="shared" si="12"/>
        <v>0</v>
      </c>
      <c r="G513" s="57">
        <v>26.0519</v>
      </c>
      <c r="H513" s="57">
        <v>26.518</v>
      </c>
      <c r="I513" s="57">
        <v>26.2368</v>
      </c>
      <c r="J513" s="33">
        <f t="shared" si="2"/>
        <v>0.4661</v>
      </c>
      <c r="K513" s="33">
        <f t="shared" si="3"/>
        <v>0.1849</v>
      </c>
    </row>
    <row r="514">
      <c r="A514" s="70">
        <v>44655.0</v>
      </c>
      <c r="B514" s="57">
        <v>2028.0</v>
      </c>
      <c r="C514" s="57" t="s">
        <v>180</v>
      </c>
      <c r="D514" s="57" t="s">
        <v>181</v>
      </c>
      <c r="E514" s="57" t="s">
        <v>179</v>
      </c>
      <c r="F514" s="57">
        <f t="shared" si="12"/>
        <v>0</v>
      </c>
      <c r="G514" s="57">
        <v>15.3471</v>
      </c>
      <c r="H514" s="57">
        <v>15.8037</v>
      </c>
      <c r="I514" s="57">
        <v>15.5347</v>
      </c>
      <c r="J514" s="33">
        <f t="shared" si="2"/>
        <v>0.4566</v>
      </c>
      <c r="K514" s="33">
        <f t="shared" si="3"/>
        <v>0.1876</v>
      </c>
    </row>
    <row r="515">
      <c r="A515" s="70">
        <v>44655.0</v>
      </c>
      <c r="B515" s="57">
        <v>2093.0</v>
      </c>
      <c r="C515" s="57" t="s">
        <v>177</v>
      </c>
      <c r="D515" s="57" t="s">
        <v>178</v>
      </c>
      <c r="E515" s="57" t="s">
        <v>179</v>
      </c>
      <c r="F515" s="57">
        <f t="shared" si="12"/>
        <v>1</v>
      </c>
      <c r="G515" s="57">
        <v>26.2935</v>
      </c>
      <c r="H515" s="57">
        <v>27.4909</v>
      </c>
      <c r="I515" s="57">
        <v>26.9108</v>
      </c>
      <c r="J515" s="33">
        <f t="shared" si="2"/>
        <v>1.1974</v>
      </c>
      <c r="K515" s="33">
        <f t="shared" si="3"/>
        <v>0.6173</v>
      </c>
    </row>
    <row r="516">
      <c r="A516" s="70">
        <v>44655.0</v>
      </c>
      <c r="B516" s="57">
        <v>2021.0</v>
      </c>
      <c r="C516" s="57" t="s">
        <v>180</v>
      </c>
      <c r="D516" s="57" t="s">
        <v>181</v>
      </c>
      <c r="E516" s="57" t="s">
        <v>182</v>
      </c>
      <c r="F516" s="57">
        <f t="shared" si="12"/>
        <v>0</v>
      </c>
      <c r="G516" s="57">
        <v>25.8127</v>
      </c>
      <c r="H516" s="57">
        <v>30.0684</v>
      </c>
      <c r="I516" s="57">
        <v>27.6857</v>
      </c>
      <c r="J516" s="33">
        <f t="shared" si="2"/>
        <v>4.2557</v>
      </c>
      <c r="K516" s="33">
        <f t="shared" si="3"/>
        <v>1.873</v>
      </c>
    </row>
    <row r="517">
      <c r="A517" s="70">
        <v>44655.0</v>
      </c>
      <c r="B517" s="57">
        <v>2020.0</v>
      </c>
      <c r="C517" s="57" t="s">
        <v>180</v>
      </c>
      <c r="D517" s="57" t="s">
        <v>181</v>
      </c>
      <c r="E517" s="57" t="s">
        <v>182</v>
      </c>
      <c r="F517" s="57">
        <f t="shared" si="12"/>
        <v>0</v>
      </c>
      <c r="G517" s="57">
        <v>26.4119</v>
      </c>
      <c r="H517" s="57">
        <v>30.9124</v>
      </c>
      <c r="I517" s="57">
        <v>28.5926</v>
      </c>
      <c r="J517" s="33">
        <f t="shared" si="2"/>
        <v>4.5005</v>
      </c>
      <c r="K517" s="33">
        <f t="shared" si="3"/>
        <v>2.1807</v>
      </c>
    </row>
    <row r="518">
      <c r="A518" s="70">
        <v>44655.0</v>
      </c>
      <c r="B518" s="57">
        <v>2013.0</v>
      </c>
      <c r="C518" s="57" t="s">
        <v>180</v>
      </c>
      <c r="D518" s="57" t="s">
        <v>181</v>
      </c>
      <c r="E518" s="57" t="s">
        <v>182</v>
      </c>
      <c r="F518" s="57">
        <f t="shared" si="12"/>
        <v>0</v>
      </c>
      <c r="G518" s="57">
        <v>26.3893</v>
      </c>
      <c r="H518" s="57">
        <v>30.4017</v>
      </c>
      <c r="I518" s="57">
        <v>27.7784</v>
      </c>
      <c r="J518" s="33">
        <f t="shared" si="2"/>
        <v>4.0124</v>
      </c>
      <c r="K518" s="33">
        <f t="shared" si="3"/>
        <v>1.3891</v>
      </c>
    </row>
    <row r="519">
      <c r="A519" s="70">
        <v>44655.0</v>
      </c>
      <c r="B519" s="57">
        <v>2025.0</v>
      </c>
      <c r="C519" s="57" t="s">
        <v>180</v>
      </c>
      <c r="D519" s="57" t="s">
        <v>181</v>
      </c>
      <c r="E519" s="57" t="s">
        <v>179</v>
      </c>
      <c r="F519" s="57">
        <f t="shared" si="12"/>
        <v>0</v>
      </c>
      <c r="G519" s="57">
        <v>26.2536</v>
      </c>
      <c r="H519" s="57">
        <v>26.6686</v>
      </c>
      <c r="I519" s="57">
        <v>26.582</v>
      </c>
      <c r="J519" s="33">
        <f t="shared" si="2"/>
        <v>0.415</v>
      </c>
      <c r="K519" s="33">
        <f t="shared" si="3"/>
        <v>0.3284</v>
      </c>
    </row>
    <row r="520">
      <c r="A520" s="70">
        <v>44655.0</v>
      </c>
      <c r="B520" s="57">
        <v>2020.0</v>
      </c>
      <c r="C520" s="57" t="s">
        <v>180</v>
      </c>
      <c r="D520" s="57" t="s">
        <v>181</v>
      </c>
      <c r="E520" s="57" t="s">
        <v>179</v>
      </c>
      <c r="F520" s="57">
        <f t="shared" si="12"/>
        <v>0</v>
      </c>
      <c r="G520" s="57">
        <v>26.1932</v>
      </c>
      <c r="H520" s="57">
        <v>26.9692</v>
      </c>
      <c r="I520" s="57">
        <v>26.5225</v>
      </c>
      <c r="J520" s="33">
        <f t="shared" si="2"/>
        <v>0.776</v>
      </c>
      <c r="K520" s="33">
        <f t="shared" si="3"/>
        <v>0.3293</v>
      </c>
    </row>
    <row r="521">
      <c r="A521" s="70">
        <v>44655.0</v>
      </c>
      <c r="B521" s="57">
        <v>2089.0</v>
      </c>
      <c r="C521" s="57" t="s">
        <v>177</v>
      </c>
      <c r="D521" s="57" t="s">
        <v>178</v>
      </c>
      <c r="E521" s="57" t="s">
        <v>182</v>
      </c>
      <c r="F521" s="57">
        <f t="shared" si="12"/>
        <v>1</v>
      </c>
      <c r="G521" s="57">
        <v>25.8289</v>
      </c>
      <c r="H521" s="57">
        <v>30.4171</v>
      </c>
      <c r="I521" s="57">
        <v>28.238</v>
      </c>
      <c r="J521" s="33">
        <f t="shared" si="2"/>
        <v>4.5882</v>
      </c>
      <c r="K521" s="33">
        <f t="shared" si="3"/>
        <v>2.4091</v>
      </c>
    </row>
    <row r="522">
      <c r="A522" s="70">
        <v>44655.0</v>
      </c>
      <c r="B522" s="57">
        <v>2024.0</v>
      </c>
      <c r="C522" s="57" t="s">
        <v>177</v>
      </c>
      <c r="D522" s="57" t="s">
        <v>181</v>
      </c>
      <c r="E522" s="57" t="s">
        <v>179</v>
      </c>
      <c r="F522" s="57">
        <f t="shared" si="12"/>
        <v>0</v>
      </c>
      <c r="G522" s="57">
        <v>25.7543</v>
      </c>
      <c r="H522" s="57">
        <v>26.68</v>
      </c>
      <c r="I522" s="57">
        <v>25.9506</v>
      </c>
      <c r="J522" s="33">
        <f t="shared" si="2"/>
        <v>0.9257</v>
      </c>
      <c r="K522" s="33">
        <f t="shared" si="3"/>
        <v>0.1963</v>
      </c>
    </row>
    <row r="523">
      <c r="A523" s="70">
        <v>44655.0</v>
      </c>
      <c r="B523" s="57">
        <v>2005.0</v>
      </c>
      <c r="C523" s="57" t="s">
        <v>177</v>
      </c>
      <c r="D523" s="57" t="s">
        <v>181</v>
      </c>
      <c r="E523" s="57" t="s">
        <v>182</v>
      </c>
      <c r="F523" s="57">
        <f t="shared" si="12"/>
        <v>0</v>
      </c>
      <c r="G523" s="57">
        <v>25.7242</v>
      </c>
      <c r="H523" s="57">
        <v>32.8895</v>
      </c>
      <c r="I523" s="57">
        <v>28.8153</v>
      </c>
      <c r="J523" s="33">
        <f t="shared" si="2"/>
        <v>7.1653</v>
      </c>
      <c r="K523" s="33">
        <f t="shared" si="3"/>
        <v>3.0911</v>
      </c>
    </row>
    <row r="524">
      <c r="A524" s="70">
        <v>44655.0</v>
      </c>
      <c r="B524" s="57">
        <v>2021.0</v>
      </c>
      <c r="C524" s="57" t="s">
        <v>180</v>
      </c>
      <c r="D524" s="57" t="s">
        <v>181</v>
      </c>
      <c r="E524" s="57" t="s">
        <v>179</v>
      </c>
      <c r="F524" s="57">
        <f t="shared" si="12"/>
        <v>0</v>
      </c>
      <c r="G524" s="57">
        <v>15.344</v>
      </c>
      <c r="H524" s="57">
        <v>15.7636</v>
      </c>
      <c r="I524" s="57">
        <v>15.5144</v>
      </c>
      <c r="J524" s="33">
        <f t="shared" si="2"/>
        <v>0.4196</v>
      </c>
      <c r="K524" s="33">
        <f t="shared" si="3"/>
        <v>0.1704</v>
      </c>
    </row>
    <row r="525">
      <c r="A525" s="70">
        <v>44655.0</v>
      </c>
      <c r="B525" s="57">
        <v>2022.0</v>
      </c>
      <c r="C525" s="57" t="s">
        <v>180</v>
      </c>
      <c r="D525" s="57" t="s">
        <v>178</v>
      </c>
      <c r="E525" s="57" t="s">
        <v>179</v>
      </c>
      <c r="F525" s="57">
        <f t="shared" si="12"/>
        <v>1</v>
      </c>
      <c r="G525" s="57">
        <v>26.5832</v>
      </c>
      <c r="H525" s="57">
        <v>26.75</v>
      </c>
      <c r="I525" s="57">
        <v>26.9055</v>
      </c>
      <c r="J525" s="33">
        <f t="shared" si="2"/>
        <v>0.1668</v>
      </c>
      <c r="K525" s="33">
        <f t="shared" si="3"/>
        <v>0.3223</v>
      </c>
    </row>
    <row r="526">
      <c r="A526" s="70">
        <v>44655.0</v>
      </c>
      <c r="B526" s="57">
        <v>2027.0</v>
      </c>
      <c r="C526" s="57" t="s">
        <v>180</v>
      </c>
      <c r="D526" s="57" t="s">
        <v>181</v>
      </c>
      <c r="E526" s="57" t="s">
        <v>179</v>
      </c>
      <c r="F526" s="57">
        <f t="shared" si="12"/>
        <v>0</v>
      </c>
      <c r="G526" s="57">
        <v>26.2668</v>
      </c>
      <c r="H526" s="57">
        <v>26.9642</v>
      </c>
      <c r="I526" s="57">
        <v>26.5994</v>
      </c>
      <c r="J526" s="33">
        <f t="shared" si="2"/>
        <v>0.6974</v>
      </c>
      <c r="K526" s="33">
        <f t="shared" si="3"/>
        <v>0.3326</v>
      </c>
    </row>
    <row r="527">
      <c r="A527" s="70">
        <v>44655.0</v>
      </c>
      <c r="B527" s="57">
        <v>2087.0</v>
      </c>
      <c r="C527" s="57" t="s">
        <v>177</v>
      </c>
      <c r="D527" s="57" t="s">
        <v>181</v>
      </c>
      <c r="E527" s="57" t="s">
        <v>179</v>
      </c>
      <c r="F527" s="57">
        <f t="shared" si="12"/>
        <v>0</v>
      </c>
      <c r="G527" s="57">
        <v>26.355</v>
      </c>
      <c r="H527" s="57">
        <v>26.9673</v>
      </c>
      <c r="I527" s="57">
        <v>26.6509</v>
      </c>
      <c r="J527" s="33">
        <f t="shared" si="2"/>
        <v>0.6123</v>
      </c>
      <c r="K527" s="33">
        <f t="shared" si="3"/>
        <v>0.2959</v>
      </c>
    </row>
    <row r="528">
      <c r="A528" s="70">
        <v>44655.0</v>
      </c>
      <c r="B528" s="57">
        <v>2014.0</v>
      </c>
      <c r="C528" s="57" t="s">
        <v>180</v>
      </c>
      <c r="D528" s="57" t="s">
        <v>181</v>
      </c>
      <c r="E528" s="57" t="s">
        <v>182</v>
      </c>
      <c r="F528" s="57">
        <f t="shared" si="12"/>
        <v>0</v>
      </c>
      <c r="G528" s="57">
        <v>25.9272</v>
      </c>
      <c r="H528" s="57">
        <v>28.7987</v>
      </c>
      <c r="I528" s="57">
        <v>26.9342</v>
      </c>
      <c r="J528" s="33">
        <f t="shared" si="2"/>
        <v>2.8715</v>
      </c>
      <c r="K528" s="33">
        <f t="shared" si="3"/>
        <v>1.007</v>
      </c>
    </row>
    <row r="529">
      <c r="A529" s="70">
        <v>44655.0</v>
      </c>
      <c r="B529" s="57">
        <v>2086.0</v>
      </c>
      <c r="C529" s="57" t="s">
        <v>177</v>
      </c>
      <c r="D529" s="57" t="s">
        <v>181</v>
      </c>
      <c r="E529" s="57" t="s">
        <v>182</v>
      </c>
      <c r="F529" s="57">
        <f t="shared" si="12"/>
        <v>0</v>
      </c>
      <c r="G529" s="57">
        <v>25.7902</v>
      </c>
      <c r="H529" s="57">
        <v>31.0075</v>
      </c>
      <c r="I529" s="57">
        <v>27.3285</v>
      </c>
      <c r="J529" s="33">
        <f t="shared" si="2"/>
        <v>5.2173</v>
      </c>
      <c r="K529" s="33">
        <f t="shared" si="3"/>
        <v>1.5383</v>
      </c>
    </row>
    <row r="530">
      <c r="A530" s="70">
        <v>44655.0</v>
      </c>
      <c r="B530" s="57">
        <v>2031.0</v>
      </c>
      <c r="C530" s="57" t="s">
        <v>177</v>
      </c>
      <c r="D530" s="57" t="s">
        <v>181</v>
      </c>
      <c r="E530" s="57" t="s">
        <v>179</v>
      </c>
      <c r="F530" s="57">
        <f t="shared" si="12"/>
        <v>0</v>
      </c>
      <c r="G530" s="57">
        <v>25.9265</v>
      </c>
      <c r="H530" s="57">
        <v>26.6474</v>
      </c>
      <c r="I530" s="57">
        <v>26.0561</v>
      </c>
      <c r="J530" s="33">
        <f t="shared" si="2"/>
        <v>0.7209</v>
      </c>
      <c r="K530" s="33">
        <f t="shared" si="3"/>
        <v>0.1296</v>
      </c>
    </row>
    <row r="531">
      <c r="A531" s="70">
        <v>44655.0</v>
      </c>
      <c r="B531" s="57">
        <v>2086.0</v>
      </c>
      <c r="C531" s="57" t="s">
        <v>177</v>
      </c>
      <c r="D531" s="57" t="s">
        <v>181</v>
      </c>
      <c r="E531" s="57" t="s">
        <v>179</v>
      </c>
      <c r="F531" s="57">
        <f t="shared" si="12"/>
        <v>0</v>
      </c>
      <c r="G531" s="57">
        <v>26.5299</v>
      </c>
      <c r="H531" s="57">
        <v>27.6661</v>
      </c>
      <c r="I531" s="57">
        <v>26.865</v>
      </c>
      <c r="J531" s="33">
        <f t="shared" si="2"/>
        <v>1.1362</v>
      </c>
      <c r="K531" s="33">
        <f t="shared" si="3"/>
        <v>0.3351</v>
      </c>
    </row>
    <row r="532">
      <c r="A532" s="70">
        <v>44655.0</v>
      </c>
      <c r="B532" s="57">
        <v>2091.0</v>
      </c>
      <c r="C532" s="57" t="s">
        <v>60</v>
      </c>
      <c r="D532" s="57" t="s">
        <v>178</v>
      </c>
      <c r="E532" s="57" t="s">
        <v>179</v>
      </c>
      <c r="F532" s="57">
        <f t="shared" si="12"/>
        <v>1</v>
      </c>
      <c r="G532" s="57">
        <v>26.1664</v>
      </c>
      <c r="H532" s="57">
        <v>27.2728</v>
      </c>
      <c r="I532" s="57">
        <v>26.9001</v>
      </c>
      <c r="J532" s="33">
        <f t="shared" si="2"/>
        <v>1.1064</v>
      </c>
      <c r="K532" s="33">
        <f t="shared" si="3"/>
        <v>0.7337</v>
      </c>
    </row>
    <row r="533">
      <c r="A533" s="70">
        <v>44655.0</v>
      </c>
      <c r="B533" s="57">
        <v>2028.0</v>
      </c>
      <c r="C533" s="57" t="s">
        <v>177</v>
      </c>
      <c r="D533" s="57" t="s">
        <v>181</v>
      </c>
      <c r="E533" s="57" t="s">
        <v>179</v>
      </c>
      <c r="F533" s="57">
        <f t="shared" si="12"/>
        <v>0</v>
      </c>
      <c r="G533" s="57">
        <v>26.0559</v>
      </c>
      <c r="H533" s="57">
        <v>26.5931</v>
      </c>
      <c r="I533" s="57">
        <v>26.2326</v>
      </c>
      <c r="J533" s="33">
        <f t="shared" si="2"/>
        <v>0.5372</v>
      </c>
      <c r="K533" s="33">
        <f t="shared" si="3"/>
        <v>0.1767</v>
      </c>
    </row>
    <row r="534">
      <c r="A534" s="70">
        <v>44655.0</v>
      </c>
      <c r="B534" s="57">
        <v>2015.0</v>
      </c>
      <c r="C534" s="57" t="s">
        <v>177</v>
      </c>
      <c r="D534" s="57" t="s">
        <v>178</v>
      </c>
      <c r="E534" s="57" t="s">
        <v>179</v>
      </c>
      <c r="F534" s="57">
        <f t="shared" si="12"/>
        <v>1</v>
      </c>
      <c r="G534" s="57">
        <v>25.8177</v>
      </c>
      <c r="H534" s="57">
        <v>27.2863</v>
      </c>
      <c r="I534" s="57">
        <v>26.5226</v>
      </c>
      <c r="J534" s="33">
        <f t="shared" si="2"/>
        <v>1.4686</v>
      </c>
      <c r="K534" s="33">
        <f t="shared" si="3"/>
        <v>0.7049</v>
      </c>
    </row>
    <row r="535">
      <c r="A535" s="70">
        <v>44655.0</v>
      </c>
      <c r="B535" s="57">
        <v>2030.0</v>
      </c>
      <c r="C535" s="57" t="s">
        <v>180</v>
      </c>
      <c r="D535" s="57" t="s">
        <v>181</v>
      </c>
      <c r="E535" s="57" t="s">
        <v>182</v>
      </c>
      <c r="F535" s="57">
        <f t="shared" si="12"/>
        <v>0</v>
      </c>
      <c r="G535" s="57">
        <v>25.751</v>
      </c>
      <c r="H535" s="57">
        <v>29.5736</v>
      </c>
      <c r="I535" s="57">
        <v>27.7392</v>
      </c>
      <c r="J535" s="33">
        <f t="shared" si="2"/>
        <v>3.8226</v>
      </c>
      <c r="K535" s="33">
        <f t="shared" si="3"/>
        <v>1.9882</v>
      </c>
    </row>
    <row r="536">
      <c r="A536" s="70">
        <v>44655.0</v>
      </c>
      <c r="B536" s="57">
        <v>2025.0</v>
      </c>
      <c r="C536" s="57" t="s">
        <v>180</v>
      </c>
      <c r="D536" s="57" t="s">
        <v>181</v>
      </c>
      <c r="E536" s="57" t="s">
        <v>182</v>
      </c>
      <c r="F536" s="57">
        <f t="shared" si="12"/>
        <v>0</v>
      </c>
      <c r="G536" s="57">
        <v>25.8341</v>
      </c>
      <c r="H536" s="57">
        <v>30.6206</v>
      </c>
      <c r="I536" s="57">
        <v>28.1627</v>
      </c>
      <c r="J536" s="33">
        <f t="shared" si="2"/>
        <v>4.7865</v>
      </c>
      <c r="K536" s="33">
        <f t="shared" si="3"/>
        <v>2.3286</v>
      </c>
    </row>
    <row r="537">
      <c r="A537" s="70">
        <v>44655.0</v>
      </c>
      <c r="B537" s="57">
        <v>2005.0</v>
      </c>
      <c r="C537" s="57" t="s">
        <v>177</v>
      </c>
      <c r="D537" s="57" t="s">
        <v>178</v>
      </c>
      <c r="E537" s="57" t="s">
        <v>179</v>
      </c>
      <c r="F537" s="57">
        <f t="shared" si="12"/>
        <v>1</v>
      </c>
      <c r="G537" s="57">
        <v>26.0849</v>
      </c>
      <c r="H537" s="57">
        <v>26.5511</v>
      </c>
      <c r="I537" s="57">
        <v>26.4805</v>
      </c>
      <c r="J537" s="33">
        <f t="shared" si="2"/>
        <v>0.4662</v>
      </c>
      <c r="K537" s="33">
        <f t="shared" si="3"/>
        <v>0.3956</v>
      </c>
    </row>
    <row r="538">
      <c r="A538" s="70">
        <v>44655.0</v>
      </c>
      <c r="B538" s="57">
        <v>2027.0</v>
      </c>
      <c r="C538" s="57" t="s">
        <v>180</v>
      </c>
      <c r="D538" s="57" t="s">
        <v>181</v>
      </c>
      <c r="E538" s="57" t="s">
        <v>182</v>
      </c>
      <c r="F538" s="57">
        <f t="shared" si="12"/>
        <v>0</v>
      </c>
      <c r="G538" s="57">
        <v>25.7434</v>
      </c>
      <c r="H538" s="57">
        <v>31.5626</v>
      </c>
      <c r="I538" s="57">
        <v>28.454</v>
      </c>
      <c r="J538" s="33">
        <f t="shared" si="2"/>
        <v>5.8192</v>
      </c>
      <c r="K538" s="33">
        <f t="shared" si="3"/>
        <v>2.7106</v>
      </c>
    </row>
    <row r="539">
      <c r="A539" s="70">
        <v>44655.0</v>
      </c>
      <c r="B539" s="57">
        <v>2028.0</v>
      </c>
      <c r="C539" s="57" t="s">
        <v>177</v>
      </c>
      <c r="D539" s="57" t="s">
        <v>178</v>
      </c>
      <c r="E539" s="57" t="s">
        <v>179</v>
      </c>
      <c r="F539" s="57">
        <f t="shared" si="12"/>
        <v>1</v>
      </c>
      <c r="G539" s="57">
        <v>25.2967</v>
      </c>
      <c r="H539" s="57">
        <v>26.6481</v>
      </c>
      <c r="I539" s="57">
        <v>25.7962</v>
      </c>
      <c r="J539" s="33">
        <f t="shared" si="2"/>
        <v>1.3514</v>
      </c>
      <c r="K539" s="33">
        <f t="shared" si="3"/>
        <v>0.4995</v>
      </c>
    </row>
    <row r="540">
      <c r="A540" s="70">
        <v>44655.0</v>
      </c>
      <c r="B540" s="57">
        <v>2022.0</v>
      </c>
      <c r="C540" s="57" t="s">
        <v>180</v>
      </c>
      <c r="D540" s="57" t="s">
        <v>181</v>
      </c>
      <c r="E540" s="57" t="s">
        <v>182</v>
      </c>
      <c r="F540" s="57">
        <f t="shared" si="12"/>
        <v>0</v>
      </c>
      <c r="G540" s="57">
        <v>26.1863</v>
      </c>
      <c r="H540" s="57">
        <v>29.8743</v>
      </c>
      <c r="I540" s="57">
        <v>28.0259</v>
      </c>
      <c r="J540" s="33">
        <f t="shared" si="2"/>
        <v>3.688</v>
      </c>
      <c r="K540" s="33">
        <f t="shared" si="3"/>
        <v>1.8396</v>
      </c>
    </row>
    <row r="541">
      <c r="A541" s="70">
        <v>44655.0</v>
      </c>
      <c r="B541" s="57">
        <v>2093.0</v>
      </c>
      <c r="C541" s="57" t="s">
        <v>177</v>
      </c>
      <c r="D541" s="57" t="s">
        <v>181</v>
      </c>
      <c r="E541" s="57" t="s">
        <v>179</v>
      </c>
      <c r="F541" s="57">
        <f t="shared" si="12"/>
        <v>0</v>
      </c>
      <c r="G541" s="57">
        <v>14.8138</v>
      </c>
      <c r="H541" s="57">
        <v>15.3997</v>
      </c>
      <c r="I541" s="57">
        <v>14.8704</v>
      </c>
      <c r="J541" s="33">
        <f t="shared" si="2"/>
        <v>0.5859</v>
      </c>
      <c r="K541" s="33">
        <f t="shared" si="3"/>
        <v>0.0566</v>
      </c>
    </row>
    <row r="542">
      <c r="A542" s="70">
        <v>44655.0</v>
      </c>
      <c r="B542" s="57">
        <v>2025.0</v>
      </c>
      <c r="C542" s="57" t="s">
        <v>177</v>
      </c>
      <c r="D542" s="57" t="s">
        <v>181</v>
      </c>
      <c r="E542" s="57" t="s">
        <v>182</v>
      </c>
      <c r="F542" s="57">
        <f t="shared" si="12"/>
        <v>0</v>
      </c>
      <c r="G542" s="57">
        <v>26.259</v>
      </c>
      <c r="H542" s="57">
        <v>32.724</v>
      </c>
      <c r="I542" s="57">
        <v>29.1754</v>
      </c>
      <c r="J542" s="33">
        <f t="shared" si="2"/>
        <v>6.465</v>
      </c>
      <c r="K542" s="33">
        <f t="shared" si="3"/>
        <v>2.9164</v>
      </c>
    </row>
    <row r="543">
      <c r="A543" s="70">
        <v>44655.0</v>
      </c>
      <c r="B543" s="57">
        <v>2031.0</v>
      </c>
      <c r="C543" s="57" t="s">
        <v>177</v>
      </c>
      <c r="D543" s="57" t="s">
        <v>178</v>
      </c>
      <c r="E543" s="57" t="s">
        <v>182</v>
      </c>
      <c r="F543" s="57">
        <f t="shared" si="12"/>
        <v>1</v>
      </c>
      <c r="G543" s="57">
        <v>26.0808</v>
      </c>
      <c r="H543" s="57">
        <v>27.132</v>
      </c>
      <c r="I543" s="57">
        <v>26.6089</v>
      </c>
      <c r="J543" s="33">
        <f t="shared" si="2"/>
        <v>1.0512</v>
      </c>
      <c r="K543" s="33">
        <f t="shared" si="3"/>
        <v>0.5281</v>
      </c>
    </row>
    <row r="544">
      <c r="A544" s="70">
        <v>44655.0</v>
      </c>
      <c r="B544" s="57">
        <v>2011.0</v>
      </c>
      <c r="C544" s="57" t="s">
        <v>177</v>
      </c>
      <c r="D544" s="57" t="s">
        <v>178</v>
      </c>
      <c r="E544" s="57" t="s">
        <v>179</v>
      </c>
      <c r="F544" s="57">
        <f t="shared" si="12"/>
        <v>1</v>
      </c>
      <c r="G544" s="57">
        <v>26.3089</v>
      </c>
      <c r="H544" s="57">
        <v>27.6462</v>
      </c>
      <c r="I544" s="57">
        <v>27.0188</v>
      </c>
      <c r="J544" s="33">
        <f t="shared" si="2"/>
        <v>1.3373</v>
      </c>
      <c r="K544" s="33">
        <f t="shared" si="3"/>
        <v>0.7099</v>
      </c>
    </row>
    <row r="545">
      <c r="A545" s="70">
        <v>44655.0</v>
      </c>
      <c r="B545" s="57">
        <v>2020.0</v>
      </c>
      <c r="C545" s="57" t="s">
        <v>177</v>
      </c>
      <c r="D545" s="57" t="s">
        <v>181</v>
      </c>
      <c r="E545" s="57" t="s">
        <v>182</v>
      </c>
      <c r="F545" s="57">
        <f t="shared" si="12"/>
        <v>0</v>
      </c>
      <c r="G545" s="57">
        <v>15.4223</v>
      </c>
      <c r="H545" s="57">
        <v>22.1666</v>
      </c>
      <c r="I545" s="57">
        <v>18.3334</v>
      </c>
      <c r="J545" s="33">
        <f t="shared" si="2"/>
        <v>6.7443</v>
      </c>
      <c r="K545" s="33">
        <f t="shared" si="3"/>
        <v>2.9111</v>
      </c>
    </row>
    <row r="546">
      <c r="A546" s="70">
        <v>44655.0</v>
      </c>
      <c r="B546" s="57">
        <v>2015.0</v>
      </c>
      <c r="C546" s="57" t="s">
        <v>177</v>
      </c>
      <c r="D546" s="57" t="s">
        <v>181</v>
      </c>
      <c r="E546" s="57" t="s">
        <v>182</v>
      </c>
      <c r="F546" s="57">
        <f t="shared" si="12"/>
        <v>0</v>
      </c>
      <c r="G546" s="57">
        <v>26.2509</v>
      </c>
      <c r="H546" s="57">
        <v>34.1866</v>
      </c>
      <c r="I546" s="57">
        <v>29.7915</v>
      </c>
      <c r="J546" s="33">
        <f t="shared" si="2"/>
        <v>7.9357</v>
      </c>
      <c r="K546" s="33">
        <f t="shared" si="3"/>
        <v>3.5406</v>
      </c>
    </row>
    <row r="547">
      <c r="A547" s="70">
        <v>44655.0</v>
      </c>
      <c r="B547" s="57">
        <v>1478.0</v>
      </c>
      <c r="C547" s="57" t="s">
        <v>177</v>
      </c>
      <c r="D547" s="57" t="s">
        <v>181</v>
      </c>
      <c r="E547" s="57" t="s">
        <v>179</v>
      </c>
      <c r="F547" s="57">
        <f t="shared" si="12"/>
        <v>0</v>
      </c>
      <c r="G547" s="57">
        <v>26.157</v>
      </c>
      <c r="H547" s="57">
        <v>26.9587</v>
      </c>
      <c r="I547" s="57">
        <v>26.4866</v>
      </c>
      <c r="J547" s="33">
        <f t="shared" si="2"/>
        <v>0.8017</v>
      </c>
      <c r="K547" s="33">
        <f t="shared" si="3"/>
        <v>0.3296</v>
      </c>
    </row>
    <row r="548">
      <c r="A548" s="70">
        <v>44655.0</v>
      </c>
      <c r="B548" s="57">
        <v>2029.0</v>
      </c>
      <c r="C548" s="57" t="s">
        <v>180</v>
      </c>
      <c r="D548" s="57" t="s">
        <v>178</v>
      </c>
      <c r="E548" s="57" t="s">
        <v>182</v>
      </c>
      <c r="F548" s="57">
        <f t="shared" si="12"/>
        <v>1</v>
      </c>
      <c r="G548" s="57">
        <v>26.3083</v>
      </c>
      <c r="H548" s="57">
        <v>28.934</v>
      </c>
      <c r="I548" s="57">
        <v>27.8872</v>
      </c>
      <c r="J548" s="33">
        <f t="shared" si="2"/>
        <v>2.6257</v>
      </c>
      <c r="K548" s="33">
        <f t="shared" si="3"/>
        <v>1.5789</v>
      </c>
    </row>
    <row r="549">
      <c r="A549" s="70">
        <v>44655.0</v>
      </c>
      <c r="B549" s="57" t="s">
        <v>144</v>
      </c>
      <c r="C549" s="57" t="s">
        <v>177</v>
      </c>
      <c r="D549" s="57" t="s">
        <v>181</v>
      </c>
      <c r="E549" s="57" t="s">
        <v>183</v>
      </c>
      <c r="F549" s="57">
        <f t="shared" si="12"/>
        <v>0</v>
      </c>
      <c r="G549" s="57">
        <v>26.2971</v>
      </c>
      <c r="H549" s="57">
        <v>30.6492</v>
      </c>
      <c r="I549" s="57">
        <v>27.7628</v>
      </c>
      <c r="J549" s="33">
        <f t="shared" si="2"/>
        <v>4.3521</v>
      </c>
      <c r="K549" s="33">
        <f t="shared" si="3"/>
        <v>1.4657</v>
      </c>
    </row>
    <row r="550">
      <c r="A550" s="70">
        <v>44655.0</v>
      </c>
      <c r="B550" s="57">
        <v>2030.0</v>
      </c>
      <c r="C550" s="57" t="s">
        <v>180</v>
      </c>
      <c r="D550" s="57" t="s">
        <v>178</v>
      </c>
      <c r="E550" s="57" t="s">
        <v>182</v>
      </c>
      <c r="F550" s="57">
        <f t="shared" si="12"/>
        <v>1</v>
      </c>
      <c r="G550" s="57">
        <v>25.9105</v>
      </c>
      <c r="H550" s="57">
        <v>26.3294</v>
      </c>
      <c r="I550" s="57">
        <v>26.2056</v>
      </c>
      <c r="J550" s="33">
        <f t="shared" si="2"/>
        <v>0.4189</v>
      </c>
      <c r="K550" s="33">
        <f t="shared" si="3"/>
        <v>0.2951</v>
      </c>
    </row>
    <row r="551">
      <c r="A551" s="70">
        <v>44655.0</v>
      </c>
      <c r="B551" s="57">
        <v>2090.0</v>
      </c>
      <c r="C551" s="57" t="s">
        <v>177</v>
      </c>
      <c r="D551" s="57" t="s">
        <v>181</v>
      </c>
      <c r="E551" s="57" t="s">
        <v>179</v>
      </c>
      <c r="F551" s="57">
        <f t="shared" si="12"/>
        <v>0</v>
      </c>
      <c r="G551" s="57">
        <v>25.6921</v>
      </c>
      <c r="H551" s="57">
        <v>26.422</v>
      </c>
      <c r="I551" s="57">
        <v>25.7958</v>
      </c>
      <c r="J551" s="33">
        <f t="shared" si="2"/>
        <v>0.7299</v>
      </c>
      <c r="K551" s="33">
        <f t="shared" si="3"/>
        <v>0.1037</v>
      </c>
    </row>
    <row r="552">
      <c r="A552" s="70">
        <v>44655.0</v>
      </c>
      <c r="B552" s="57">
        <v>2090.0</v>
      </c>
      <c r="C552" s="57" t="s">
        <v>177</v>
      </c>
      <c r="D552" s="57" t="s">
        <v>181</v>
      </c>
      <c r="E552" s="57" t="s">
        <v>182</v>
      </c>
      <c r="F552" s="57">
        <f t="shared" si="12"/>
        <v>0</v>
      </c>
      <c r="G552" s="57">
        <v>25.865</v>
      </c>
      <c r="H552" s="57">
        <v>29.9086</v>
      </c>
      <c r="I552" s="57">
        <v>27.2839</v>
      </c>
      <c r="J552" s="33">
        <f t="shared" si="2"/>
        <v>4.0436</v>
      </c>
      <c r="K552" s="33">
        <f t="shared" si="3"/>
        <v>1.4189</v>
      </c>
    </row>
    <row r="553">
      <c r="A553" s="70">
        <v>44655.0</v>
      </c>
      <c r="B553" s="57">
        <v>2022.0</v>
      </c>
      <c r="C553" s="57" t="s">
        <v>180</v>
      </c>
      <c r="D553" s="57" t="s">
        <v>181</v>
      </c>
      <c r="E553" s="57" t="s">
        <v>179</v>
      </c>
      <c r="F553" s="57">
        <f t="shared" si="12"/>
        <v>0</v>
      </c>
      <c r="G553" s="57">
        <v>26.5813</v>
      </c>
      <c r="H553" s="57">
        <v>26.861</v>
      </c>
      <c r="I553" s="57">
        <v>26.7102</v>
      </c>
      <c r="J553" s="33">
        <f t="shared" si="2"/>
        <v>0.2797</v>
      </c>
      <c r="K553" s="33">
        <f t="shared" si="3"/>
        <v>0.1289</v>
      </c>
    </row>
    <row r="554">
      <c r="A554" s="70">
        <v>44655.0</v>
      </c>
      <c r="B554" s="57">
        <v>2008.0</v>
      </c>
      <c r="C554" s="57" t="s">
        <v>177</v>
      </c>
      <c r="D554" s="57" t="s">
        <v>178</v>
      </c>
      <c r="E554" s="57" t="s">
        <v>179</v>
      </c>
      <c r="F554" s="57">
        <f t="shared" si="12"/>
        <v>1</v>
      </c>
      <c r="G554" s="57">
        <v>26.5093</v>
      </c>
      <c r="H554" s="57">
        <v>27.5948</v>
      </c>
      <c r="I554" s="57">
        <v>27.2555</v>
      </c>
      <c r="J554" s="33">
        <f t="shared" si="2"/>
        <v>1.0855</v>
      </c>
      <c r="K554" s="33">
        <f t="shared" si="3"/>
        <v>0.7462</v>
      </c>
    </row>
    <row r="555">
      <c r="A555" s="70">
        <v>44655.0</v>
      </c>
      <c r="B555" s="57">
        <v>2089.0</v>
      </c>
      <c r="C555" s="57" t="s">
        <v>177</v>
      </c>
      <c r="D555" s="57" t="s">
        <v>178</v>
      </c>
      <c r="E555" s="57" t="s">
        <v>179</v>
      </c>
      <c r="F555" s="57">
        <f t="shared" si="12"/>
        <v>1</v>
      </c>
      <c r="G555" s="57">
        <v>26.1011</v>
      </c>
      <c r="H555" s="57">
        <v>26.1795</v>
      </c>
      <c r="I555" s="57">
        <v>26.38</v>
      </c>
      <c r="J555" s="33">
        <f t="shared" si="2"/>
        <v>0.0784</v>
      </c>
      <c r="K555" s="33">
        <f t="shared" si="3"/>
        <v>0.2789</v>
      </c>
    </row>
    <row r="556">
      <c r="A556" s="70">
        <v>44655.0</v>
      </c>
      <c r="B556" s="57">
        <v>2026.0</v>
      </c>
      <c r="C556" s="57" t="s">
        <v>177</v>
      </c>
      <c r="D556" s="57" t="s">
        <v>181</v>
      </c>
      <c r="E556" s="57" t="s">
        <v>179</v>
      </c>
      <c r="F556" s="57">
        <f t="shared" si="12"/>
        <v>0</v>
      </c>
      <c r="G556" s="57">
        <v>26.4466</v>
      </c>
      <c r="H556" s="57">
        <v>26.775</v>
      </c>
      <c r="I556" s="57">
        <v>26.6058</v>
      </c>
      <c r="J556" s="33">
        <f t="shared" si="2"/>
        <v>0.3284</v>
      </c>
      <c r="K556" s="33">
        <f t="shared" si="3"/>
        <v>0.1592</v>
      </c>
    </row>
    <row r="557">
      <c r="A557" s="70">
        <v>44655.0</v>
      </c>
      <c r="B557" s="57">
        <v>2013.0</v>
      </c>
      <c r="C557" s="57" t="s">
        <v>180</v>
      </c>
      <c r="D557" s="57" t="s">
        <v>178</v>
      </c>
      <c r="E557" s="57" t="s">
        <v>179</v>
      </c>
      <c r="F557" s="57">
        <f t="shared" si="12"/>
        <v>1</v>
      </c>
      <c r="G557" s="57">
        <v>25.8835</v>
      </c>
      <c r="H557" s="57">
        <v>26.7522</v>
      </c>
      <c r="I557" s="57">
        <v>26.2867</v>
      </c>
      <c r="J557" s="33">
        <f t="shared" si="2"/>
        <v>0.8687</v>
      </c>
      <c r="K557" s="33">
        <f t="shared" si="3"/>
        <v>0.4032</v>
      </c>
    </row>
    <row r="558">
      <c r="A558" s="70">
        <v>44655.0</v>
      </c>
      <c r="B558" s="57">
        <v>2007.0</v>
      </c>
      <c r="C558" s="57" t="s">
        <v>177</v>
      </c>
      <c r="D558" s="57" t="s">
        <v>178</v>
      </c>
      <c r="E558" s="57" t="s">
        <v>179</v>
      </c>
      <c r="F558" s="57">
        <f t="shared" si="12"/>
        <v>1</v>
      </c>
      <c r="G558" s="57">
        <v>25.7793</v>
      </c>
      <c r="H558" s="57">
        <v>26.3918</v>
      </c>
      <c r="I558" s="57">
        <v>26.062</v>
      </c>
      <c r="J558" s="33">
        <f t="shared" si="2"/>
        <v>0.6125</v>
      </c>
      <c r="K558" s="33">
        <f t="shared" si="3"/>
        <v>0.2827</v>
      </c>
    </row>
    <row r="559">
      <c r="A559" s="70">
        <v>44655.0</v>
      </c>
      <c r="B559" s="57">
        <v>2030.0</v>
      </c>
      <c r="C559" s="57" t="s">
        <v>180</v>
      </c>
      <c r="D559" s="57" t="s">
        <v>178</v>
      </c>
      <c r="E559" s="57" t="s">
        <v>179</v>
      </c>
      <c r="F559" s="57">
        <f t="shared" si="12"/>
        <v>1</v>
      </c>
      <c r="G559" s="57">
        <v>15.5665</v>
      </c>
      <c r="H559" s="57">
        <v>15.7277</v>
      </c>
      <c r="I559" s="57">
        <v>15.883</v>
      </c>
      <c r="J559" s="33">
        <f t="shared" si="2"/>
        <v>0.1612</v>
      </c>
      <c r="K559" s="33">
        <f t="shared" si="3"/>
        <v>0.3165</v>
      </c>
    </row>
    <row r="560">
      <c r="A560" s="70">
        <v>44655.0</v>
      </c>
      <c r="B560" s="57" t="s">
        <v>144</v>
      </c>
      <c r="C560" s="57" t="s">
        <v>177</v>
      </c>
      <c r="D560" s="57" t="s">
        <v>181</v>
      </c>
      <c r="E560" s="57" t="s">
        <v>183</v>
      </c>
      <c r="F560" s="57">
        <f t="shared" si="12"/>
        <v>0</v>
      </c>
      <c r="G560" s="57">
        <v>25.8207</v>
      </c>
      <c r="H560" s="57">
        <v>31.4223</v>
      </c>
      <c r="I560" s="57">
        <v>27.5656</v>
      </c>
      <c r="J560" s="33">
        <f t="shared" si="2"/>
        <v>5.6016</v>
      </c>
      <c r="K560" s="33">
        <f t="shared" si="3"/>
        <v>1.7449</v>
      </c>
    </row>
    <row r="561">
      <c r="A561" s="70">
        <v>44655.0</v>
      </c>
      <c r="B561" s="57">
        <v>2030.0</v>
      </c>
      <c r="C561" s="57" t="s">
        <v>180</v>
      </c>
      <c r="D561" s="57" t="s">
        <v>181</v>
      </c>
      <c r="E561" s="57" t="s">
        <v>179</v>
      </c>
      <c r="F561" s="57">
        <f t="shared" si="12"/>
        <v>0</v>
      </c>
      <c r="G561" s="57">
        <v>15.6556</v>
      </c>
      <c r="H561" s="57">
        <v>15.6256</v>
      </c>
      <c r="I561" s="57">
        <v>15.8303</v>
      </c>
      <c r="J561" s="33">
        <f t="shared" si="2"/>
        <v>-0.03</v>
      </c>
      <c r="K561" s="33">
        <f t="shared" si="3"/>
        <v>0.1747</v>
      </c>
    </row>
    <row r="562">
      <c r="A562" s="70">
        <v>44655.0</v>
      </c>
      <c r="B562" s="57">
        <v>2022.0</v>
      </c>
      <c r="C562" s="57" t="s">
        <v>180</v>
      </c>
      <c r="D562" s="57" t="s">
        <v>178</v>
      </c>
      <c r="E562" s="57" t="s">
        <v>182</v>
      </c>
      <c r="F562" s="57">
        <f t="shared" si="12"/>
        <v>1</v>
      </c>
      <c r="G562" s="57">
        <v>26.2969</v>
      </c>
      <c r="H562" s="57">
        <v>29.5968</v>
      </c>
      <c r="I562" s="57">
        <v>28.2144</v>
      </c>
      <c r="J562" s="33">
        <f t="shared" si="2"/>
        <v>3.2999</v>
      </c>
      <c r="K562" s="33">
        <f t="shared" si="3"/>
        <v>1.9175</v>
      </c>
    </row>
    <row r="563">
      <c r="A563" s="70">
        <v>44655.0</v>
      </c>
      <c r="B563" s="57">
        <v>2014.0</v>
      </c>
      <c r="C563" s="57" t="s">
        <v>177</v>
      </c>
      <c r="D563" s="57" t="s">
        <v>178</v>
      </c>
      <c r="E563" s="57" t="s">
        <v>179</v>
      </c>
      <c r="F563" s="57">
        <f t="shared" si="12"/>
        <v>1</v>
      </c>
      <c r="G563" s="57">
        <v>25.4844</v>
      </c>
      <c r="H563" s="57">
        <v>26.7995</v>
      </c>
      <c r="I563" s="57">
        <v>25.8833</v>
      </c>
      <c r="J563" s="33">
        <f t="shared" si="2"/>
        <v>1.3151</v>
      </c>
      <c r="K563" s="33">
        <f t="shared" si="3"/>
        <v>0.3989</v>
      </c>
    </row>
    <row r="564">
      <c r="A564" s="70">
        <v>44655.0</v>
      </c>
      <c r="B564" s="57">
        <v>2301.0</v>
      </c>
      <c r="C564" s="57" t="s">
        <v>177</v>
      </c>
      <c r="D564" s="57" t="s">
        <v>178</v>
      </c>
      <c r="E564" s="57" t="s">
        <v>182</v>
      </c>
      <c r="F564" s="57">
        <f t="shared" si="12"/>
        <v>1</v>
      </c>
      <c r="G564" s="57">
        <v>0.0</v>
      </c>
      <c r="H564" s="57">
        <v>6.8129</v>
      </c>
      <c r="I564" s="57">
        <v>4.231</v>
      </c>
      <c r="J564" s="33">
        <f t="shared" si="2"/>
        <v>6.8129</v>
      </c>
      <c r="K564" s="33">
        <f t="shared" si="3"/>
        <v>4.231</v>
      </c>
    </row>
    <row r="565">
      <c r="A565" s="70">
        <v>44655.0</v>
      </c>
      <c r="B565" s="57">
        <v>2377.0</v>
      </c>
      <c r="C565" s="57" t="s">
        <v>177</v>
      </c>
      <c r="D565" s="57" t="s">
        <v>181</v>
      </c>
      <c r="E565" s="57" t="s">
        <v>182</v>
      </c>
      <c r="F565" s="57">
        <f t="shared" si="12"/>
        <v>0</v>
      </c>
      <c r="G565" s="57">
        <v>0.0</v>
      </c>
      <c r="H565" s="57">
        <v>0.9708</v>
      </c>
      <c r="I565" s="57">
        <v>0.508</v>
      </c>
      <c r="J565" s="33">
        <f t="shared" si="2"/>
        <v>0.9708</v>
      </c>
      <c r="K565" s="33">
        <f t="shared" si="3"/>
        <v>0.508</v>
      </c>
    </row>
    <row r="566">
      <c r="A566" s="70">
        <v>44655.0</v>
      </c>
      <c r="B566" s="57">
        <v>2343.0</v>
      </c>
      <c r="C566" s="57" t="s">
        <v>177</v>
      </c>
      <c r="D566" s="57" t="s">
        <v>181</v>
      </c>
      <c r="E566" s="57" t="s">
        <v>182</v>
      </c>
      <c r="F566" s="57">
        <f t="shared" si="12"/>
        <v>0</v>
      </c>
      <c r="G566" s="57">
        <v>0.0</v>
      </c>
      <c r="H566" s="57">
        <v>7.8771</v>
      </c>
      <c r="I566" s="57">
        <v>3.733</v>
      </c>
      <c r="J566" s="33">
        <f t="shared" si="2"/>
        <v>7.8771</v>
      </c>
      <c r="K566" s="33">
        <f t="shared" si="3"/>
        <v>3.733</v>
      </c>
    </row>
    <row r="567">
      <c r="A567" s="70">
        <v>44655.0</v>
      </c>
      <c r="B567" s="57">
        <v>2384.0</v>
      </c>
      <c r="C567" s="57" t="s">
        <v>177</v>
      </c>
      <c r="D567" s="57" t="s">
        <v>181</v>
      </c>
      <c r="E567" s="57" t="s">
        <v>182</v>
      </c>
      <c r="F567" s="57">
        <f t="shared" si="12"/>
        <v>0</v>
      </c>
      <c r="G567" s="57">
        <v>0.0</v>
      </c>
      <c r="H567" s="57">
        <v>2.3248</v>
      </c>
      <c r="I567" s="57">
        <v>1.252</v>
      </c>
      <c r="J567" s="33">
        <f t="shared" si="2"/>
        <v>2.3248</v>
      </c>
      <c r="K567" s="33">
        <f t="shared" si="3"/>
        <v>1.252</v>
      </c>
    </row>
    <row r="568">
      <c r="A568" s="70">
        <v>44655.0</v>
      </c>
      <c r="B568" s="57">
        <v>2009.0</v>
      </c>
      <c r="C568" s="57" t="s">
        <v>177</v>
      </c>
      <c r="D568" s="57" t="s">
        <v>181</v>
      </c>
      <c r="E568" s="57" t="s">
        <v>182</v>
      </c>
      <c r="F568" s="57">
        <f t="shared" si="12"/>
        <v>0</v>
      </c>
      <c r="G568" s="57">
        <v>0.0</v>
      </c>
      <c r="H568" s="57">
        <v>5.8315</v>
      </c>
      <c r="I568" s="57">
        <v>2.846</v>
      </c>
      <c r="J568" s="33">
        <f t="shared" si="2"/>
        <v>5.8315</v>
      </c>
      <c r="K568" s="33">
        <f t="shared" si="3"/>
        <v>2.846</v>
      </c>
    </row>
    <row r="569">
      <c r="A569" s="70">
        <v>44655.0</v>
      </c>
      <c r="B569" s="57">
        <v>2331.0</v>
      </c>
      <c r="C569" s="57" t="s">
        <v>177</v>
      </c>
      <c r="D569" s="57" t="s">
        <v>178</v>
      </c>
      <c r="E569" s="57" t="s">
        <v>182</v>
      </c>
      <c r="F569" s="57">
        <f t="shared" si="12"/>
        <v>1</v>
      </c>
      <c r="G569" s="57">
        <v>0.0</v>
      </c>
      <c r="H569" s="57">
        <v>5.9126</v>
      </c>
      <c r="I569" s="57">
        <v>3.726</v>
      </c>
      <c r="J569" s="33">
        <f t="shared" si="2"/>
        <v>5.9126</v>
      </c>
      <c r="K569" s="33">
        <f t="shared" si="3"/>
        <v>3.726</v>
      </c>
    </row>
    <row r="570">
      <c r="A570" s="70">
        <v>44655.0</v>
      </c>
      <c r="B570" s="57">
        <v>2354.0</v>
      </c>
      <c r="C570" s="57" t="s">
        <v>177</v>
      </c>
      <c r="D570" s="57" t="s">
        <v>181</v>
      </c>
      <c r="E570" s="57" t="s">
        <v>182</v>
      </c>
      <c r="F570" s="57">
        <f t="shared" si="12"/>
        <v>0</v>
      </c>
      <c r="G570" s="57">
        <v>0.0</v>
      </c>
      <c r="H570" s="57">
        <v>3.4094</v>
      </c>
      <c r="I570" s="57">
        <v>1.696</v>
      </c>
      <c r="J570" s="33">
        <f t="shared" si="2"/>
        <v>3.4094</v>
      </c>
      <c r="K570" s="33">
        <f t="shared" si="3"/>
        <v>1.696</v>
      </c>
    </row>
    <row r="571">
      <c r="A571" s="70">
        <v>44655.0</v>
      </c>
      <c r="B571" s="57">
        <v>2354.0</v>
      </c>
      <c r="C571" s="57" t="s">
        <v>177</v>
      </c>
      <c r="D571" s="57" t="s">
        <v>178</v>
      </c>
      <c r="E571" s="57" t="s">
        <v>182</v>
      </c>
      <c r="F571" s="57">
        <f t="shared" si="12"/>
        <v>1</v>
      </c>
      <c r="G571" s="57">
        <v>0.0</v>
      </c>
      <c r="H571" s="57">
        <v>3.8779</v>
      </c>
      <c r="I571" s="57">
        <v>2.346</v>
      </c>
      <c r="J571" s="33">
        <f t="shared" si="2"/>
        <v>3.8779</v>
      </c>
      <c r="K571" s="33">
        <f t="shared" si="3"/>
        <v>2.346</v>
      </c>
    </row>
    <row r="572">
      <c r="A572" s="70">
        <v>44655.0</v>
      </c>
      <c r="B572" s="57">
        <v>2372.0</v>
      </c>
      <c r="C572" s="57" t="s">
        <v>177</v>
      </c>
      <c r="D572" s="57" t="s">
        <v>181</v>
      </c>
      <c r="E572" s="57" t="s">
        <v>182</v>
      </c>
      <c r="F572" s="57">
        <f t="shared" si="12"/>
        <v>0</v>
      </c>
      <c r="G572" s="57">
        <v>0.0</v>
      </c>
      <c r="H572" s="57">
        <v>3.5645</v>
      </c>
      <c r="I572" s="57">
        <v>1.649</v>
      </c>
      <c r="J572" s="33">
        <f t="shared" si="2"/>
        <v>3.5645</v>
      </c>
      <c r="K572" s="33">
        <f t="shared" si="3"/>
        <v>1.649</v>
      </c>
    </row>
    <row r="573">
      <c r="A573" s="70">
        <v>44655.0</v>
      </c>
      <c r="B573" s="57">
        <v>2369.0</v>
      </c>
      <c r="C573" s="57" t="s">
        <v>177</v>
      </c>
      <c r="D573" s="57" t="s">
        <v>181</v>
      </c>
      <c r="E573" s="57" t="s">
        <v>182</v>
      </c>
      <c r="F573" s="57">
        <f t="shared" si="12"/>
        <v>0</v>
      </c>
      <c r="G573" s="57">
        <v>0.0</v>
      </c>
      <c r="H573" s="57">
        <v>2.7164</v>
      </c>
      <c r="I573" s="57">
        <v>1.375</v>
      </c>
      <c r="J573" s="33">
        <f t="shared" si="2"/>
        <v>2.7164</v>
      </c>
      <c r="K573" s="33">
        <f t="shared" si="3"/>
        <v>1.375</v>
      </c>
    </row>
    <row r="574">
      <c r="A574" s="70">
        <v>44655.0</v>
      </c>
      <c r="B574" s="57">
        <v>2367.0</v>
      </c>
      <c r="C574" s="57" t="s">
        <v>177</v>
      </c>
      <c r="D574" s="57" t="s">
        <v>181</v>
      </c>
      <c r="E574" s="57" t="s">
        <v>182</v>
      </c>
      <c r="F574" s="57">
        <f t="shared" si="12"/>
        <v>0</v>
      </c>
      <c r="G574" s="57">
        <v>0.0</v>
      </c>
      <c r="H574" s="57">
        <v>2.7037</v>
      </c>
      <c r="I574" s="57">
        <v>1.385</v>
      </c>
      <c r="J574" s="33">
        <f t="shared" si="2"/>
        <v>2.7037</v>
      </c>
      <c r="K574" s="33">
        <f t="shared" si="3"/>
        <v>1.385</v>
      </c>
    </row>
    <row r="575">
      <c r="A575" s="70">
        <v>44655.0</v>
      </c>
      <c r="B575" s="57">
        <v>2378.0</v>
      </c>
      <c r="C575" s="57" t="s">
        <v>177</v>
      </c>
      <c r="D575" s="57" t="s">
        <v>181</v>
      </c>
      <c r="E575" s="57" t="s">
        <v>182</v>
      </c>
      <c r="F575" s="57">
        <f t="shared" si="12"/>
        <v>0</v>
      </c>
      <c r="G575" s="57">
        <v>0.0</v>
      </c>
      <c r="H575" s="57">
        <v>4.9918</v>
      </c>
      <c r="I575" s="57">
        <v>2.6</v>
      </c>
      <c r="J575" s="33">
        <f t="shared" si="2"/>
        <v>4.9918</v>
      </c>
      <c r="K575" s="33">
        <f t="shared" si="3"/>
        <v>2.6</v>
      </c>
    </row>
    <row r="576">
      <c r="A576" s="70">
        <v>44655.0</v>
      </c>
      <c r="B576" s="57">
        <v>2383.0</v>
      </c>
      <c r="C576" s="57" t="s">
        <v>177</v>
      </c>
      <c r="D576" s="57" t="s">
        <v>181</v>
      </c>
      <c r="E576" s="57" t="s">
        <v>182</v>
      </c>
      <c r="F576" s="57">
        <f t="shared" si="12"/>
        <v>0</v>
      </c>
      <c r="G576" s="57">
        <v>0.0</v>
      </c>
      <c r="H576" s="57">
        <v>5.9707</v>
      </c>
      <c r="I576" s="57">
        <v>3.208</v>
      </c>
      <c r="J576" s="33">
        <f t="shared" si="2"/>
        <v>5.9707</v>
      </c>
      <c r="K576" s="33">
        <f t="shared" si="3"/>
        <v>3.208</v>
      </c>
    </row>
    <row r="577">
      <c r="A577" s="70">
        <v>44655.0</v>
      </c>
      <c r="B577" s="57">
        <v>2370.0</v>
      </c>
      <c r="C577" s="57" t="s">
        <v>177</v>
      </c>
      <c r="D577" s="57" t="s">
        <v>181</v>
      </c>
      <c r="E577" s="57" t="s">
        <v>182</v>
      </c>
      <c r="F577" s="57">
        <f t="shared" si="12"/>
        <v>0</v>
      </c>
      <c r="G577" s="57">
        <v>0.0</v>
      </c>
      <c r="H577" s="57">
        <v>3.2043</v>
      </c>
      <c r="I577" s="57">
        <v>1.438</v>
      </c>
      <c r="J577" s="33">
        <f t="shared" si="2"/>
        <v>3.2043</v>
      </c>
      <c r="K577" s="33">
        <f t="shared" si="3"/>
        <v>1.438</v>
      </c>
    </row>
    <row r="578">
      <c r="A578" s="70">
        <v>44655.0</v>
      </c>
      <c r="B578" s="57">
        <v>2347.0</v>
      </c>
      <c r="C578" s="57" t="s">
        <v>177</v>
      </c>
      <c r="D578" s="57" t="s">
        <v>181</v>
      </c>
      <c r="E578" s="57" t="s">
        <v>182</v>
      </c>
      <c r="F578" s="57">
        <f t="shared" si="12"/>
        <v>0</v>
      </c>
      <c r="G578" s="57">
        <v>0.0</v>
      </c>
      <c r="H578" s="57">
        <v>5.2775</v>
      </c>
      <c r="I578" s="57">
        <v>2.469</v>
      </c>
      <c r="J578" s="33">
        <f t="shared" si="2"/>
        <v>5.2775</v>
      </c>
      <c r="K578" s="33">
        <f t="shared" si="3"/>
        <v>2.469</v>
      </c>
    </row>
    <row r="579">
      <c r="A579" s="70">
        <v>44655.0</v>
      </c>
      <c r="B579" s="57">
        <v>2352.0</v>
      </c>
      <c r="C579" s="57" t="s">
        <v>177</v>
      </c>
      <c r="D579" s="57" t="s">
        <v>181</v>
      </c>
      <c r="E579" s="57" t="s">
        <v>182</v>
      </c>
      <c r="F579" s="57">
        <f t="shared" si="12"/>
        <v>0</v>
      </c>
      <c r="G579" s="57">
        <v>0.0</v>
      </c>
      <c r="H579" s="57">
        <v>0.7679</v>
      </c>
      <c r="I579" s="57">
        <v>0.428</v>
      </c>
      <c r="J579" s="33">
        <f t="shared" si="2"/>
        <v>0.7679</v>
      </c>
      <c r="K579" s="33">
        <f t="shared" si="3"/>
        <v>0.428</v>
      </c>
    </row>
    <row r="580">
      <c r="A580" s="70">
        <v>44655.0</v>
      </c>
      <c r="B580" s="57">
        <v>2360.0</v>
      </c>
      <c r="C580" s="57" t="s">
        <v>177</v>
      </c>
      <c r="D580" s="57" t="s">
        <v>181</v>
      </c>
      <c r="E580" s="57" t="s">
        <v>182</v>
      </c>
      <c r="F580" s="57">
        <f t="shared" si="12"/>
        <v>0</v>
      </c>
      <c r="G580" s="57">
        <v>0.0</v>
      </c>
      <c r="H580" s="57">
        <v>6.6461</v>
      </c>
      <c r="I580" s="57">
        <v>3.574</v>
      </c>
      <c r="J580" s="33">
        <f t="shared" si="2"/>
        <v>6.6461</v>
      </c>
      <c r="K580" s="33">
        <f t="shared" si="3"/>
        <v>3.574</v>
      </c>
    </row>
    <row r="581">
      <c r="A581" s="70">
        <v>44655.0</v>
      </c>
      <c r="B581" s="57">
        <v>2371.0</v>
      </c>
      <c r="C581" s="57" t="s">
        <v>177</v>
      </c>
      <c r="D581" s="57" t="s">
        <v>181</v>
      </c>
      <c r="E581" s="57" t="s">
        <v>182</v>
      </c>
      <c r="F581" s="57">
        <f t="shared" si="12"/>
        <v>0</v>
      </c>
      <c r="G581" s="57">
        <v>0.0</v>
      </c>
      <c r="H581" s="57">
        <v>5.3934</v>
      </c>
      <c r="I581" s="57">
        <v>2.118</v>
      </c>
      <c r="J581" s="33">
        <f t="shared" si="2"/>
        <v>5.3934</v>
      </c>
      <c r="K581" s="33">
        <f t="shared" si="3"/>
        <v>2.118</v>
      </c>
    </row>
    <row r="582">
      <c r="A582" s="70">
        <v>44655.0</v>
      </c>
      <c r="B582" s="57">
        <v>2352.0</v>
      </c>
      <c r="C582" s="57" t="s">
        <v>177</v>
      </c>
      <c r="D582" s="57" t="s">
        <v>178</v>
      </c>
      <c r="E582" s="57" t="s">
        <v>182</v>
      </c>
      <c r="F582" s="57">
        <f t="shared" si="12"/>
        <v>1</v>
      </c>
      <c r="G582" s="57">
        <v>0.0</v>
      </c>
      <c r="H582" s="57">
        <v>3.1857</v>
      </c>
      <c r="I582" s="57">
        <v>2.137</v>
      </c>
      <c r="J582" s="33">
        <f t="shared" si="2"/>
        <v>3.1857</v>
      </c>
      <c r="K582" s="33">
        <f t="shared" si="3"/>
        <v>2.137</v>
      </c>
    </row>
    <row r="583">
      <c r="A583" s="70">
        <v>44655.0</v>
      </c>
      <c r="B583" s="57">
        <v>2377.0</v>
      </c>
      <c r="C583" s="57" t="s">
        <v>177</v>
      </c>
      <c r="D583" s="57" t="s">
        <v>178</v>
      </c>
      <c r="E583" s="57" t="s">
        <v>182</v>
      </c>
      <c r="F583" s="57">
        <f t="shared" si="12"/>
        <v>1</v>
      </c>
      <c r="G583" s="57">
        <v>0.0</v>
      </c>
      <c r="H583" s="57">
        <v>5.6534</v>
      </c>
      <c r="I583" s="57">
        <v>3.478</v>
      </c>
      <c r="J583" s="33">
        <f t="shared" si="2"/>
        <v>5.6534</v>
      </c>
      <c r="K583" s="33">
        <f t="shared" si="3"/>
        <v>3.478</v>
      </c>
    </row>
    <row r="584">
      <c r="A584" s="70">
        <v>44655.0</v>
      </c>
      <c r="B584" s="57">
        <v>2365.0</v>
      </c>
      <c r="C584" s="57" t="s">
        <v>177</v>
      </c>
      <c r="D584" s="57" t="s">
        <v>181</v>
      </c>
      <c r="E584" s="57" t="s">
        <v>182</v>
      </c>
      <c r="F584" s="57">
        <f t="shared" si="12"/>
        <v>0</v>
      </c>
      <c r="G584" s="57">
        <v>0.0</v>
      </c>
      <c r="H584" s="57">
        <v>3.4957</v>
      </c>
      <c r="I584" s="57">
        <v>1.755</v>
      </c>
      <c r="J584" s="33">
        <f t="shared" si="2"/>
        <v>3.4957</v>
      </c>
      <c r="K584" s="33">
        <f t="shared" si="3"/>
        <v>1.755</v>
      </c>
    </row>
    <row r="585">
      <c r="A585" s="70">
        <v>44678.0</v>
      </c>
      <c r="B585" s="57">
        <v>2029.0</v>
      </c>
      <c r="C585" s="57" t="s">
        <v>177</v>
      </c>
      <c r="D585" s="57" t="s">
        <v>181</v>
      </c>
      <c r="E585" s="57" t="s">
        <v>182</v>
      </c>
      <c r="F585" s="57">
        <f t="shared" si="12"/>
        <v>0</v>
      </c>
      <c r="G585" s="57">
        <v>0.0</v>
      </c>
      <c r="H585" s="57">
        <v>8.191</v>
      </c>
      <c r="I585" s="57">
        <v>4.606</v>
      </c>
      <c r="J585" s="33">
        <f t="shared" si="2"/>
        <v>8.191</v>
      </c>
      <c r="K585" s="33">
        <f t="shared" si="3"/>
        <v>4.606</v>
      </c>
    </row>
    <row r="586">
      <c r="A586" s="70">
        <v>44678.0</v>
      </c>
      <c r="B586" s="57">
        <v>2032.0</v>
      </c>
      <c r="C586" s="57" t="s">
        <v>177</v>
      </c>
      <c r="D586" s="57" t="s">
        <v>181</v>
      </c>
      <c r="E586" s="57" t="s">
        <v>182</v>
      </c>
      <c r="F586" s="57">
        <f t="shared" si="12"/>
        <v>0</v>
      </c>
      <c r="G586" s="57">
        <v>0.0</v>
      </c>
      <c r="H586" s="57">
        <v>3.213</v>
      </c>
      <c r="I586" s="57">
        <v>1.76</v>
      </c>
      <c r="J586" s="33">
        <f t="shared" si="2"/>
        <v>3.213</v>
      </c>
      <c r="K586" s="33">
        <f t="shared" si="3"/>
        <v>1.76</v>
      </c>
    </row>
    <row r="587">
      <c r="A587" s="70">
        <v>44678.0</v>
      </c>
      <c r="B587" s="57">
        <v>2092.0</v>
      </c>
      <c r="C587" s="57" t="s">
        <v>177</v>
      </c>
      <c r="D587" s="57" t="s">
        <v>181</v>
      </c>
      <c r="E587" s="57" t="s">
        <v>179</v>
      </c>
      <c r="F587" s="57">
        <f t="shared" si="12"/>
        <v>0</v>
      </c>
      <c r="G587" s="57">
        <v>0.0</v>
      </c>
      <c r="H587" s="57">
        <v>0.102</v>
      </c>
      <c r="I587" s="57">
        <v>0.0472</v>
      </c>
      <c r="J587" s="33">
        <f t="shared" si="2"/>
        <v>0.102</v>
      </c>
      <c r="K587" s="33">
        <f t="shared" si="3"/>
        <v>0.0472</v>
      </c>
    </row>
    <row r="588">
      <c r="A588" s="70">
        <v>44678.0</v>
      </c>
      <c r="B588" s="57">
        <v>1472.0</v>
      </c>
      <c r="C588" s="57" t="s">
        <v>177</v>
      </c>
      <c r="D588" s="57" t="s">
        <v>181</v>
      </c>
      <c r="E588" s="57" t="s">
        <v>179</v>
      </c>
      <c r="F588" s="57">
        <f t="shared" si="12"/>
        <v>0</v>
      </c>
      <c r="G588" s="57">
        <v>0.0</v>
      </c>
      <c r="H588" s="57">
        <v>0.567</v>
      </c>
      <c r="I588" s="57">
        <v>0.257</v>
      </c>
      <c r="J588" s="33">
        <f t="shared" si="2"/>
        <v>0.567</v>
      </c>
      <c r="K588" s="33">
        <f t="shared" si="3"/>
        <v>0.257</v>
      </c>
    </row>
    <row r="589">
      <c r="A589" s="70">
        <v>44678.0</v>
      </c>
      <c r="B589" s="57">
        <v>2032.0</v>
      </c>
      <c r="C589" s="57" t="s">
        <v>177</v>
      </c>
      <c r="D589" s="57" t="s">
        <v>181</v>
      </c>
      <c r="E589" s="57" t="s">
        <v>179</v>
      </c>
      <c r="F589" s="57">
        <f t="shared" si="12"/>
        <v>0</v>
      </c>
      <c r="G589" s="57">
        <v>0.0</v>
      </c>
      <c r="H589" s="57">
        <v>0.331</v>
      </c>
      <c r="I589" s="57">
        <v>0.181</v>
      </c>
      <c r="J589" s="33">
        <f t="shared" si="2"/>
        <v>0.331</v>
      </c>
      <c r="K589" s="33">
        <f t="shared" si="3"/>
        <v>0.181</v>
      </c>
    </row>
    <row r="590">
      <c r="A590" s="70">
        <v>44678.0</v>
      </c>
      <c r="B590" s="57">
        <v>2088.0</v>
      </c>
      <c r="C590" s="57" t="s">
        <v>177</v>
      </c>
      <c r="D590" s="57" t="s">
        <v>181</v>
      </c>
      <c r="E590" s="57" t="s">
        <v>182</v>
      </c>
      <c r="F590" s="57">
        <f t="shared" si="12"/>
        <v>0</v>
      </c>
      <c r="G590" s="57">
        <v>0.0</v>
      </c>
      <c r="H590" s="57">
        <v>2.55</v>
      </c>
      <c r="I590" s="57">
        <v>1.284</v>
      </c>
      <c r="J590" s="33">
        <f t="shared" si="2"/>
        <v>2.55</v>
      </c>
      <c r="K590" s="33">
        <f t="shared" si="3"/>
        <v>1.284</v>
      </c>
    </row>
    <row r="591">
      <c r="A591" s="70">
        <v>44678.0</v>
      </c>
      <c r="B591" s="57">
        <v>2092.0</v>
      </c>
      <c r="C591" s="57" t="s">
        <v>177</v>
      </c>
      <c r="D591" s="57" t="s">
        <v>181</v>
      </c>
      <c r="E591" s="57" t="s">
        <v>182</v>
      </c>
      <c r="F591" s="57">
        <f t="shared" si="12"/>
        <v>0</v>
      </c>
      <c r="G591" s="57">
        <v>0.0</v>
      </c>
      <c r="H591" s="57">
        <v>2.118</v>
      </c>
      <c r="I591" s="57">
        <v>0.983</v>
      </c>
      <c r="J591" s="33">
        <f t="shared" si="2"/>
        <v>2.118</v>
      </c>
      <c r="K591" s="33">
        <f t="shared" si="3"/>
        <v>0.983</v>
      </c>
    </row>
    <row r="592">
      <c r="A592" s="70">
        <v>44678.0</v>
      </c>
      <c r="B592" s="57">
        <v>2015.0</v>
      </c>
      <c r="C592" s="57" t="s">
        <v>177</v>
      </c>
      <c r="D592" s="57" t="s">
        <v>181</v>
      </c>
      <c r="E592" s="57" t="s">
        <v>179</v>
      </c>
      <c r="F592" s="57">
        <f t="shared" si="12"/>
        <v>0</v>
      </c>
      <c r="G592" s="57">
        <v>0.0</v>
      </c>
      <c r="H592" s="57">
        <v>0.555</v>
      </c>
      <c r="I592" s="57">
        <v>0.2754</v>
      </c>
      <c r="J592" s="33">
        <f t="shared" si="2"/>
        <v>0.555</v>
      </c>
      <c r="K592" s="33">
        <f t="shared" si="3"/>
        <v>0.2754</v>
      </c>
    </row>
    <row r="593">
      <c r="A593" s="70">
        <v>44678.0</v>
      </c>
      <c r="B593" s="57">
        <v>2028.0</v>
      </c>
      <c r="C593" s="57" t="s">
        <v>177</v>
      </c>
      <c r="D593" s="57" t="s">
        <v>181</v>
      </c>
      <c r="E593" s="57" t="s">
        <v>179</v>
      </c>
      <c r="F593" s="57">
        <f t="shared" si="12"/>
        <v>0</v>
      </c>
      <c r="G593" s="57">
        <v>0.0</v>
      </c>
      <c r="H593" s="57">
        <v>0.274</v>
      </c>
      <c r="I593" s="57">
        <v>0.146</v>
      </c>
      <c r="J593" s="33">
        <f t="shared" si="2"/>
        <v>0.274</v>
      </c>
      <c r="K593" s="33">
        <f t="shared" si="3"/>
        <v>0.146</v>
      </c>
    </row>
    <row r="594">
      <c r="A594" s="70">
        <v>44678.0</v>
      </c>
      <c r="B594" s="57">
        <v>2029.0</v>
      </c>
      <c r="C594" s="57" t="s">
        <v>177</v>
      </c>
      <c r="D594" s="57" t="s">
        <v>181</v>
      </c>
      <c r="E594" s="57" t="s">
        <v>179</v>
      </c>
      <c r="F594" s="57">
        <f t="shared" si="12"/>
        <v>0</v>
      </c>
      <c r="G594" s="57">
        <v>0.0</v>
      </c>
      <c r="H594" s="57">
        <v>0.538</v>
      </c>
      <c r="I594" s="57">
        <v>0.302</v>
      </c>
      <c r="J594" s="33">
        <f t="shared" si="2"/>
        <v>0.538</v>
      </c>
      <c r="K594" s="33">
        <f t="shared" si="3"/>
        <v>0.302</v>
      </c>
    </row>
    <row r="595">
      <c r="A595" s="70">
        <v>44678.0</v>
      </c>
      <c r="B595" s="57">
        <v>2385.0</v>
      </c>
      <c r="C595" s="57" t="s">
        <v>177</v>
      </c>
      <c r="D595" s="57" t="s">
        <v>181</v>
      </c>
      <c r="E595" s="57" t="s">
        <v>182</v>
      </c>
      <c r="F595" s="57">
        <f t="shared" si="12"/>
        <v>0</v>
      </c>
      <c r="G595" s="57">
        <v>0.0</v>
      </c>
      <c r="H595" s="57">
        <v>4.126</v>
      </c>
      <c r="I595" s="57">
        <v>2.073</v>
      </c>
      <c r="J595" s="33">
        <f t="shared" si="2"/>
        <v>4.126</v>
      </c>
      <c r="K595" s="33">
        <f t="shared" si="3"/>
        <v>2.073</v>
      </c>
    </row>
    <row r="596">
      <c r="A596" s="70">
        <v>44678.0</v>
      </c>
      <c r="B596" s="57">
        <v>2092.0</v>
      </c>
      <c r="C596" s="57" t="s">
        <v>177</v>
      </c>
      <c r="D596" s="57" t="s">
        <v>178</v>
      </c>
      <c r="E596" s="57" t="s">
        <v>179</v>
      </c>
      <c r="F596" s="57">
        <f t="shared" si="12"/>
        <v>1</v>
      </c>
      <c r="G596" s="57">
        <v>0.0</v>
      </c>
      <c r="H596" s="57">
        <v>1.106</v>
      </c>
      <c r="I596" s="57">
        <v>0.596</v>
      </c>
      <c r="J596" s="33">
        <f t="shared" si="2"/>
        <v>1.106</v>
      </c>
      <c r="K596" s="33">
        <f t="shared" si="3"/>
        <v>0.596</v>
      </c>
    </row>
    <row r="597">
      <c r="A597" s="70">
        <v>44678.0</v>
      </c>
      <c r="B597" s="57">
        <v>2088.0</v>
      </c>
      <c r="C597" s="57" t="s">
        <v>177</v>
      </c>
      <c r="D597" s="57" t="s">
        <v>181</v>
      </c>
      <c r="E597" s="57" t="s">
        <v>179</v>
      </c>
      <c r="F597" s="57">
        <f t="shared" si="12"/>
        <v>0</v>
      </c>
      <c r="G597" s="57">
        <v>0.0</v>
      </c>
      <c r="H597" s="57">
        <v>0.171</v>
      </c>
      <c r="I597" s="57">
        <v>0.0852</v>
      </c>
      <c r="J597" s="33">
        <f t="shared" si="2"/>
        <v>0.171</v>
      </c>
      <c r="K597" s="33">
        <f t="shared" si="3"/>
        <v>0.0852</v>
      </c>
    </row>
    <row r="598">
      <c r="A598" s="70">
        <v>44678.0</v>
      </c>
      <c r="B598" s="57">
        <v>2015.0</v>
      </c>
      <c r="C598" s="57" t="s">
        <v>177</v>
      </c>
      <c r="D598" s="57" t="s">
        <v>181</v>
      </c>
      <c r="E598" s="57" t="s">
        <v>182</v>
      </c>
      <c r="F598" s="57">
        <f t="shared" si="12"/>
        <v>0</v>
      </c>
      <c r="G598" s="57">
        <v>0.0</v>
      </c>
      <c r="H598" s="57">
        <v>3.208</v>
      </c>
      <c r="I598" s="57">
        <v>1.711</v>
      </c>
      <c r="J598" s="33">
        <f t="shared" si="2"/>
        <v>3.208</v>
      </c>
      <c r="K598" s="33">
        <f t="shared" si="3"/>
        <v>1.711</v>
      </c>
    </row>
    <row r="599">
      <c r="A599" s="70">
        <v>44678.0</v>
      </c>
      <c r="B599" s="57">
        <v>2086.0</v>
      </c>
      <c r="C599" s="57" t="s">
        <v>177</v>
      </c>
      <c r="D599" s="57" t="s">
        <v>181</v>
      </c>
      <c r="E599" s="57" t="s">
        <v>179</v>
      </c>
      <c r="F599" s="57">
        <f t="shared" si="12"/>
        <v>0</v>
      </c>
      <c r="G599" s="57">
        <v>0.0</v>
      </c>
      <c r="H599" s="57">
        <v>0.19</v>
      </c>
      <c r="I599" s="57">
        <v>0.09</v>
      </c>
      <c r="J599" s="33">
        <f t="shared" si="2"/>
        <v>0.19</v>
      </c>
      <c r="K599" s="33">
        <f t="shared" si="3"/>
        <v>0.09</v>
      </c>
    </row>
    <row r="600">
      <c r="A600" s="70">
        <v>44678.0</v>
      </c>
      <c r="B600" s="57">
        <v>2004.0</v>
      </c>
      <c r="C600" s="57" t="s">
        <v>177</v>
      </c>
      <c r="D600" s="57" t="s">
        <v>181</v>
      </c>
      <c r="E600" s="57" t="s">
        <v>179</v>
      </c>
      <c r="F600" s="57">
        <f t="shared" si="12"/>
        <v>0</v>
      </c>
      <c r="G600" s="57">
        <v>0.0</v>
      </c>
      <c r="H600" s="57">
        <v>0.686</v>
      </c>
      <c r="I600" s="57">
        <v>0.34</v>
      </c>
      <c r="J600" s="33">
        <f t="shared" si="2"/>
        <v>0.686</v>
      </c>
      <c r="K600" s="33">
        <f t="shared" si="3"/>
        <v>0.34</v>
      </c>
    </row>
    <row r="601">
      <c r="A601" s="70">
        <v>44678.0</v>
      </c>
      <c r="B601" s="57">
        <v>2385.0</v>
      </c>
      <c r="C601" s="57" t="s">
        <v>177</v>
      </c>
      <c r="D601" s="57" t="s">
        <v>181</v>
      </c>
      <c r="E601" s="57" t="s">
        <v>179</v>
      </c>
      <c r="F601" s="57">
        <f t="shared" si="12"/>
        <v>0</v>
      </c>
      <c r="G601" s="57">
        <v>0.0</v>
      </c>
      <c r="H601" s="57">
        <v>0.956</v>
      </c>
      <c r="I601" s="57">
        <v>0.444</v>
      </c>
      <c r="J601" s="33">
        <f t="shared" si="2"/>
        <v>0.956</v>
      </c>
      <c r="K601" s="33">
        <f t="shared" si="3"/>
        <v>0.444</v>
      </c>
    </row>
    <row r="602">
      <c r="A602" s="70">
        <v>44678.0</v>
      </c>
      <c r="B602" s="57">
        <v>1472.0</v>
      </c>
      <c r="C602" s="57" t="s">
        <v>177</v>
      </c>
      <c r="D602" s="57" t="s">
        <v>181</v>
      </c>
      <c r="E602" s="57" t="s">
        <v>182</v>
      </c>
      <c r="F602" s="57">
        <f t="shared" si="12"/>
        <v>0</v>
      </c>
      <c r="G602" s="57">
        <v>0.0</v>
      </c>
      <c r="H602" s="57">
        <v>3.044</v>
      </c>
      <c r="I602" s="57">
        <v>1.527</v>
      </c>
      <c r="J602" s="33">
        <f t="shared" si="2"/>
        <v>3.044</v>
      </c>
      <c r="K602" s="33">
        <f t="shared" si="3"/>
        <v>1.527</v>
      </c>
    </row>
    <row r="603">
      <c r="A603" s="70">
        <v>44678.0</v>
      </c>
      <c r="B603" s="57">
        <v>2007.0</v>
      </c>
      <c r="C603" s="57" t="s">
        <v>177</v>
      </c>
      <c r="D603" s="57" t="s">
        <v>181</v>
      </c>
      <c r="E603" s="57" t="s">
        <v>179</v>
      </c>
      <c r="F603" s="57">
        <f t="shared" si="12"/>
        <v>0</v>
      </c>
      <c r="G603" s="57">
        <v>0.0</v>
      </c>
      <c r="H603" s="57">
        <v>0.552</v>
      </c>
      <c r="I603" s="57">
        <v>0.286</v>
      </c>
      <c r="J603" s="33">
        <f t="shared" si="2"/>
        <v>0.552</v>
      </c>
      <c r="K603" s="33">
        <f t="shared" si="3"/>
        <v>0.286</v>
      </c>
    </row>
    <row r="604">
      <c r="A604" s="70">
        <v>44678.0</v>
      </c>
      <c r="B604" s="57">
        <v>2007.0</v>
      </c>
      <c r="C604" s="57" t="s">
        <v>177</v>
      </c>
      <c r="D604" s="57" t="s">
        <v>181</v>
      </c>
      <c r="E604" s="57" t="s">
        <v>182</v>
      </c>
      <c r="F604" s="57">
        <f t="shared" si="12"/>
        <v>0</v>
      </c>
      <c r="G604" s="57">
        <v>0.0</v>
      </c>
      <c r="H604" s="57">
        <v>3.577</v>
      </c>
      <c r="I604" s="57">
        <v>1.923</v>
      </c>
      <c r="J604" s="33">
        <f t="shared" si="2"/>
        <v>3.577</v>
      </c>
      <c r="K604" s="33">
        <f t="shared" si="3"/>
        <v>1.923</v>
      </c>
    </row>
    <row r="605">
      <c r="A605" s="70">
        <v>44678.0</v>
      </c>
      <c r="B605" s="57">
        <v>2086.0</v>
      </c>
      <c r="C605" s="57" t="s">
        <v>177</v>
      </c>
      <c r="D605" s="57" t="s">
        <v>181</v>
      </c>
      <c r="E605" s="57" t="s">
        <v>182</v>
      </c>
      <c r="F605" s="57">
        <f t="shared" si="12"/>
        <v>0</v>
      </c>
      <c r="G605" s="57">
        <v>0.0</v>
      </c>
      <c r="H605" s="57">
        <v>2.211</v>
      </c>
      <c r="I605" s="57">
        <v>1.097</v>
      </c>
      <c r="J605" s="33">
        <f t="shared" si="2"/>
        <v>2.211</v>
      </c>
      <c r="K605" s="33">
        <f t="shared" si="3"/>
        <v>1.097</v>
      </c>
    </row>
    <row r="606">
      <c r="A606" s="70">
        <v>44678.0</v>
      </c>
      <c r="B606" s="57">
        <v>2029.0</v>
      </c>
      <c r="C606" s="57" t="s">
        <v>177</v>
      </c>
      <c r="D606" s="57" t="s">
        <v>178</v>
      </c>
      <c r="E606" s="57" t="s">
        <v>179</v>
      </c>
      <c r="F606" s="57">
        <f t="shared" si="12"/>
        <v>1</v>
      </c>
      <c r="G606" s="57">
        <v>0.0</v>
      </c>
      <c r="H606" s="57">
        <v>1.344</v>
      </c>
      <c r="I606" s="57">
        <v>0.812</v>
      </c>
      <c r="J606" s="33">
        <f t="shared" si="2"/>
        <v>1.344</v>
      </c>
      <c r="K606" s="33">
        <f t="shared" si="3"/>
        <v>0.812</v>
      </c>
    </row>
    <row r="607">
      <c r="A607" s="70">
        <v>44678.0</v>
      </c>
      <c r="B607" s="57">
        <v>2092.0</v>
      </c>
      <c r="C607" s="57" t="s">
        <v>177</v>
      </c>
      <c r="D607" s="57" t="s">
        <v>178</v>
      </c>
      <c r="E607" s="57" t="s">
        <v>182</v>
      </c>
      <c r="F607" s="57">
        <f t="shared" si="12"/>
        <v>1</v>
      </c>
      <c r="G607" s="57">
        <v>0.0</v>
      </c>
      <c r="H607" s="57">
        <v>1.988</v>
      </c>
      <c r="I607" s="57">
        <v>1.253</v>
      </c>
      <c r="J607" s="33">
        <f t="shared" si="2"/>
        <v>1.988</v>
      </c>
      <c r="K607" s="33">
        <f t="shared" si="3"/>
        <v>1.253</v>
      </c>
    </row>
    <row r="608">
      <c r="A608" s="70">
        <v>44678.0</v>
      </c>
      <c r="B608" s="57">
        <v>2028.0</v>
      </c>
      <c r="C608" s="57" t="s">
        <v>177</v>
      </c>
      <c r="D608" s="57" t="s">
        <v>181</v>
      </c>
      <c r="E608" s="57" t="s">
        <v>182</v>
      </c>
      <c r="F608" s="57">
        <f t="shared" si="12"/>
        <v>0</v>
      </c>
      <c r="G608" s="57">
        <v>0.0</v>
      </c>
      <c r="H608" s="57">
        <v>3.688</v>
      </c>
      <c r="I608" s="57">
        <v>2.141</v>
      </c>
      <c r="J608" s="33">
        <f t="shared" si="2"/>
        <v>3.688</v>
      </c>
      <c r="K608" s="33">
        <f t="shared" si="3"/>
        <v>2.141</v>
      </c>
    </row>
    <row r="609">
      <c r="A609" s="70">
        <v>44678.0</v>
      </c>
      <c r="B609" s="57">
        <v>2029.0</v>
      </c>
      <c r="C609" s="57" t="s">
        <v>177</v>
      </c>
      <c r="D609" s="57" t="s">
        <v>178</v>
      </c>
      <c r="E609" s="57" t="s">
        <v>182</v>
      </c>
      <c r="F609" s="57">
        <f t="shared" si="12"/>
        <v>1</v>
      </c>
      <c r="G609" s="57">
        <v>0.0</v>
      </c>
      <c r="H609" s="57">
        <v>3.872</v>
      </c>
      <c r="I609" s="57">
        <v>2.449</v>
      </c>
      <c r="J609" s="33">
        <f t="shared" si="2"/>
        <v>3.872</v>
      </c>
      <c r="K609" s="33">
        <f t="shared" si="3"/>
        <v>2.449</v>
      </c>
    </row>
    <row r="610">
      <c r="A610" s="70">
        <v>44678.0</v>
      </c>
      <c r="B610" s="57">
        <v>2004.0</v>
      </c>
      <c r="C610" s="57" t="s">
        <v>177</v>
      </c>
      <c r="D610" s="57" t="s">
        <v>181</v>
      </c>
      <c r="E610" s="57" t="s">
        <v>182</v>
      </c>
      <c r="F610" s="57">
        <f t="shared" si="12"/>
        <v>0</v>
      </c>
      <c r="G610" s="57">
        <v>0.0</v>
      </c>
      <c r="H610" s="57">
        <v>4.623</v>
      </c>
      <c r="I610" s="57">
        <v>2.554</v>
      </c>
      <c r="J610" s="33">
        <f t="shared" si="2"/>
        <v>4.623</v>
      </c>
      <c r="K610" s="33">
        <f t="shared" si="3"/>
        <v>2.554</v>
      </c>
    </row>
    <row r="611">
      <c r="A611" s="70">
        <v>44678.0</v>
      </c>
      <c r="B611" s="57">
        <v>2023.0</v>
      </c>
      <c r="C611" s="57" t="s">
        <v>180</v>
      </c>
      <c r="D611" s="57" t="s">
        <v>181</v>
      </c>
      <c r="E611" s="57" t="s">
        <v>182</v>
      </c>
      <c r="F611" s="57">
        <f t="shared" si="12"/>
        <v>0</v>
      </c>
      <c r="G611" s="57">
        <v>0.0</v>
      </c>
      <c r="H611" s="57">
        <v>5.449</v>
      </c>
      <c r="I611" s="57">
        <v>3.0508</v>
      </c>
      <c r="J611" s="33">
        <f t="shared" si="2"/>
        <v>5.449</v>
      </c>
      <c r="K611" s="33">
        <f t="shared" si="3"/>
        <v>3.0508</v>
      </c>
    </row>
    <row r="612">
      <c r="A612" s="70">
        <v>44678.0</v>
      </c>
      <c r="B612" s="57">
        <v>2091.0</v>
      </c>
      <c r="C612" s="57" t="s">
        <v>180</v>
      </c>
      <c r="D612" s="57" t="s">
        <v>181</v>
      </c>
      <c r="E612" s="57" t="s">
        <v>179</v>
      </c>
      <c r="F612" s="57">
        <f t="shared" si="12"/>
        <v>0</v>
      </c>
      <c r="G612" s="57">
        <v>0.0</v>
      </c>
      <c r="H612" s="57">
        <v>0.57</v>
      </c>
      <c r="I612" s="57">
        <v>0.2418</v>
      </c>
      <c r="J612" s="33">
        <f t="shared" si="2"/>
        <v>0.57</v>
      </c>
      <c r="K612" s="33">
        <f t="shared" si="3"/>
        <v>0.2418</v>
      </c>
    </row>
    <row r="613">
      <c r="A613" s="70">
        <v>44678.0</v>
      </c>
      <c r="B613" s="57">
        <v>2004.0</v>
      </c>
      <c r="C613" s="57" t="s">
        <v>180</v>
      </c>
      <c r="D613" s="57" t="s">
        <v>178</v>
      </c>
      <c r="E613" s="57" t="s">
        <v>182</v>
      </c>
      <c r="F613" s="57">
        <f t="shared" si="12"/>
        <v>1</v>
      </c>
      <c r="G613" s="57">
        <v>0.0</v>
      </c>
      <c r="H613" s="57">
        <v>8.6991</v>
      </c>
      <c r="I613" s="57">
        <v>4.8098</v>
      </c>
      <c r="J613" s="33">
        <f t="shared" si="2"/>
        <v>8.6991</v>
      </c>
      <c r="K613" s="33">
        <f t="shared" si="3"/>
        <v>4.8098</v>
      </c>
    </row>
    <row r="614">
      <c r="A614" s="70">
        <v>44678.0</v>
      </c>
      <c r="B614" s="57">
        <v>2091.0</v>
      </c>
      <c r="C614" s="57" t="s">
        <v>180</v>
      </c>
      <c r="D614" s="57" t="s">
        <v>178</v>
      </c>
      <c r="E614" s="57" t="s">
        <v>179</v>
      </c>
      <c r="F614" s="57">
        <f t="shared" si="12"/>
        <v>1</v>
      </c>
      <c r="G614" s="57">
        <v>0.0</v>
      </c>
      <c r="H614" s="57">
        <v>1.104</v>
      </c>
      <c r="I614" s="57">
        <v>0.6092</v>
      </c>
      <c r="J614" s="33">
        <f t="shared" si="2"/>
        <v>1.104</v>
      </c>
      <c r="K614" s="33">
        <f t="shared" si="3"/>
        <v>0.6092</v>
      </c>
    </row>
    <row r="615">
      <c r="A615" s="70">
        <v>44678.0</v>
      </c>
      <c r="B615" s="57">
        <v>2089.0</v>
      </c>
      <c r="C615" s="57" t="s">
        <v>180</v>
      </c>
      <c r="D615" s="57" t="s">
        <v>178</v>
      </c>
      <c r="E615" s="57" t="s">
        <v>182</v>
      </c>
      <c r="F615" s="57">
        <f t="shared" si="12"/>
        <v>1</v>
      </c>
      <c r="G615" s="57">
        <v>0.0</v>
      </c>
      <c r="H615" s="57">
        <v>4.466</v>
      </c>
      <c r="I615" s="57">
        <v>2.662</v>
      </c>
      <c r="J615" s="33">
        <f t="shared" si="2"/>
        <v>4.466</v>
      </c>
      <c r="K615" s="33">
        <f t="shared" si="3"/>
        <v>2.662</v>
      </c>
    </row>
    <row r="616">
      <c r="A616" s="70">
        <v>44678.0</v>
      </c>
      <c r="B616" s="57">
        <v>2004.0</v>
      </c>
      <c r="C616" s="57" t="s">
        <v>180</v>
      </c>
      <c r="D616" s="57" t="s">
        <v>181</v>
      </c>
      <c r="E616" s="57" t="s">
        <v>179</v>
      </c>
      <c r="F616" s="57">
        <f t="shared" si="12"/>
        <v>0</v>
      </c>
      <c r="G616" s="57">
        <v>0.0</v>
      </c>
      <c r="H616" s="57">
        <v>1.5017</v>
      </c>
      <c r="I616" s="57">
        <v>0.7525</v>
      </c>
      <c r="J616" s="33">
        <f t="shared" si="2"/>
        <v>1.5017</v>
      </c>
      <c r="K616" s="33">
        <f t="shared" si="3"/>
        <v>0.7525</v>
      </c>
    </row>
    <row r="617">
      <c r="A617" s="70">
        <v>44678.0</v>
      </c>
      <c r="B617" s="57">
        <v>2029.0</v>
      </c>
      <c r="C617" s="57" t="s">
        <v>180</v>
      </c>
      <c r="D617" s="57" t="s">
        <v>181</v>
      </c>
      <c r="E617" s="57" t="s">
        <v>182</v>
      </c>
      <c r="F617" s="57">
        <f t="shared" si="12"/>
        <v>0</v>
      </c>
      <c r="G617" s="57">
        <v>0.0</v>
      </c>
      <c r="H617" s="57">
        <v>5.05</v>
      </c>
      <c r="I617" s="57">
        <v>2.8392</v>
      </c>
      <c r="J617" s="33">
        <f t="shared" si="2"/>
        <v>5.05</v>
      </c>
      <c r="K617" s="33">
        <f t="shared" si="3"/>
        <v>2.8392</v>
      </c>
    </row>
    <row r="618">
      <c r="A618" s="70">
        <v>44678.0</v>
      </c>
      <c r="B618" s="57">
        <v>2092.0</v>
      </c>
      <c r="C618" s="57" t="s">
        <v>180</v>
      </c>
      <c r="D618" s="57" t="s">
        <v>178</v>
      </c>
      <c r="E618" s="57" t="s">
        <v>182</v>
      </c>
      <c r="F618" s="57">
        <f t="shared" si="12"/>
        <v>1</v>
      </c>
      <c r="G618" s="57">
        <v>0.0</v>
      </c>
      <c r="H618" s="57">
        <v>9.5756</v>
      </c>
      <c r="I618" s="57">
        <v>5.8114</v>
      </c>
      <c r="J618" s="33">
        <f t="shared" si="2"/>
        <v>9.5756</v>
      </c>
      <c r="K618" s="33">
        <f t="shared" si="3"/>
        <v>5.8114</v>
      </c>
    </row>
    <row r="619">
      <c r="A619" s="70">
        <v>44678.0</v>
      </c>
      <c r="B619" s="57">
        <v>2091.0</v>
      </c>
      <c r="C619" s="57" t="s">
        <v>180</v>
      </c>
      <c r="D619" s="57" t="s">
        <v>181</v>
      </c>
      <c r="E619" s="57" t="s">
        <v>182</v>
      </c>
      <c r="F619" s="57">
        <f t="shared" si="12"/>
        <v>0</v>
      </c>
      <c r="G619" s="57">
        <v>0.0</v>
      </c>
      <c r="H619" s="57">
        <v>4.026</v>
      </c>
      <c r="I619" s="57">
        <v>1.834</v>
      </c>
      <c r="J619" s="33">
        <f t="shared" si="2"/>
        <v>4.026</v>
      </c>
      <c r="K619" s="33">
        <f t="shared" si="3"/>
        <v>1.834</v>
      </c>
    </row>
    <row r="620">
      <c r="A620" s="70">
        <v>44678.0</v>
      </c>
      <c r="B620" s="57">
        <v>2090.0</v>
      </c>
      <c r="C620" s="57" t="s">
        <v>180</v>
      </c>
      <c r="D620" s="57" t="s">
        <v>178</v>
      </c>
      <c r="E620" s="57" t="s">
        <v>179</v>
      </c>
      <c r="F620" s="57">
        <f t="shared" si="12"/>
        <v>1</v>
      </c>
      <c r="G620" s="57">
        <v>0.0</v>
      </c>
      <c r="H620" s="57">
        <v>1.4486</v>
      </c>
      <c r="I620" s="57">
        <v>0.7866</v>
      </c>
      <c r="J620" s="33">
        <f t="shared" si="2"/>
        <v>1.4486</v>
      </c>
      <c r="K620" s="33">
        <f t="shared" si="3"/>
        <v>0.7866</v>
      </c>
    </row>
    <row r="621">
      <c r="A621" s="70">
        <v>44678.0</v>
      </c>
      <c r="B621" s="57">
        <v>2088.0</v>
      </c>
      <c r="C621" s="57" t="s">
        <v>180</v>
      </c>
      <c r="D621" s="57" t="s">
        <v>181</v>
      </c>
      <c r="E621" s="57" t="s">
        <v>182</v>
      </c>
      <c r="F621" s="57">
        <f t="shared" si="12"/>
        <v>0</v>
      </c>
      <c r="G621" s="57">
        <v>0.0</v>
      </c>
      <c r="H621" s="57">
        <v>6.7886</v>
      </c>
      <c r="I621" s="57">
        <v>3.4679</v>
      </c>
      <c r="J621" s="33">
        <f t="shared" si="2"/>
        <v>6.7886</v>
      </c>
      <c r="K621" s="33">
        <f t="shared" si="3"/>
        <v>3.4679</v>
      </c>
    </row>
    <row r="622">
      <c r="A622" s="70">
        <v>44678.0</v>
      </c>
      <c r="B622" s="57">
        <v>2087.0</v>
      </c>
      <c r="C622" s="57" t="s">
        <v>180</v>
      </c>
      <c r="D622" s="57" t="s">
        <v>178</v>
      </c>
      <c r="E622" s="57" t="s">
        <v>179</v>
      </c>
      <c r="F622" s="57">
        <f t="shared" si="12"/>
        <v>1</v>
      </c>
      <c r="G622" s="57">
        <v>0.0</v>
      </c>
      <c r="H622" s="57">
        <v>3.2059</v>
      </c>
      <c r="I622" s="57">
        <v>1.7342</v>
      </c>
      <c r="J622" s="33">
        <f t="shared" si="2"/>
        <v>3.2059</v>
      </c>
      <c r="K622" s="33">
        <f t="shared" si="3"/>
        <v>1.7342</v>
      </c>
    </row>
    <row r="623">
      <c r="A623" s="70">
        <v>44678.0</v>
      </c>
      <c r="B623" s="57">
        <v>2020.0</v>
      </c>
      <c r="C623" s="57" t="s">
        <v>180</v>
      </c>
      <c r="D623" s="57" t="s">
        <v>181</v>
      </c>
      <c r="E623" s="57" t="s">
        <v>182</v>
      </c>
      <c r="F623" s="57">
        <f t="shared" si="12"/>
        <v>0</v>
      </c>
      <c r="G623" s="57">
        <v>0.0</v>
      </c>
      <c r="H623" s="57">
        <v>5.879</v>
      </c>
      <c r="I623" s="57">
        <v>3.2193</v>
      </c>
      <c r="J623" s="33">
        <f t="shared" si="2"/>
        <v>5.879</v>
      </c>
      <c r="K623" s="33">
        <f t="shared" si="3"/>
        <v>3.2193</v>
      </c>
    </row>
    <row r="624">
      <c r="A624" s="70">
        <v>44678.0</v>
      </c>
      <c r="B624" s="57">
        <v>2085.0</v>
      </c>
      <c r="C624" s="57" t="s">
        <v>180</v>
      </c>
      <c r="D624" s="57" t="s">
        <v>181</v>
      </c>
      <c r="E624" s="57" t="s">
        <v>182</v>
      </c>
      <c r="F624" s="57">
        <f t="shared" si="12"/>
        <v>0</v>
      </c>
      <c r="G624" s="57">
        <v>0.0</v>
      </c>
      <c r="H624" s="57">
        <v>5.999</v>
      </c>
      <c r="I624" s="57">
        <v>5.263</v>
      </c>
      <c r="J624" s="33">
        <f t="shared" si="2"/>
        <v>5.999</v>
      </c>
      <c r="K624" s="57">
        <v>3.1601</v>
      </c>
    </row>
    <row r="625">
      <c r="A625" s="70">
        <v>44678.0</v>
      </c>
      <c r="B625" s="57" t="s">
        <v>187</v>
      </c>
      <c r="C625" s="57" t="s">
        <v>180</v>
      </c>
      <c r="D625" s="57" t="s">
        <v>181</v>
      </c>
      <c r="E625" s="57" t="s">
        <v>183</v>
      </c>
      <c r="F625" s="57">
        <f t="shared" si="12"/>
        <v>0</v>
      </c>
      <c r="G625" s="57">
        <v>0.0</v>
      </c>
      <c r="H625" s="57">
        <v>0.6169</v>
      </c>
      <c r="I625" s="57">
        <v>0.3071</v>
      </c>
      <c r="J625" s="33">
        <f t="shared" si="2"/>
        <v>0.6169</v>
      </c>
      <c r="K625" s="33">
        <f t="shared" ref="K625:K1000" si="13">I625-G625</f>
        <v>0.3071</v>
      </c>
    </row>
    <row r="626">
      <c r="A626" s="70">
        <v>44678.0</v>
      </c>
      <c r="B626" s="57">
        <v>2086.0</v>
      </c>
      <c r="C626" s="57" t="s">
        <v>180</v>
      </c>
      <c r="D626" s="57" t="s">
        <v>181</v>
      </c>
      <c r="E626" s="57" t="s">
        <v>182</v>
      </c>
      <c r="F626" s="57">
        <f t="shared" si="12"/>
        <v>0</v>
      </c>
      <c r="G626" s="57">
        <v>0.0</v>
      </c>
      <c r="H626" s="57">
        <v>6.6059</v>
      </c>
      <c r="I626" s="57">
        <v>2.9093</v>
      </c>
      <c r="J626" s="33">
        <f t="shared" si="2"/>
        <v>6.6059</v>
      </c>
      <c r="K626" s="33">
        <f t="shared" si="13"/>
        <v>2.9093</v>
      </c>
    </row>
    <row r="627">
      <c r="A627" s="70">
        <v>44678.0</v>
      </c>
      <c r="B627" s="57">
        <v>2020.0</v>
      </c>
      <c r="C627" s="57" t="s">
        <v>180</v>
      </c>
      <c r="D627" s="57" t="s">
        <v>181</v>
      </c>
      <c r="E627" s="57" t="s">
        <v>179</v>
      </c>
      <c r="F627" s="57">
        <f t="shared" si="12"/>
        <v>0</v>
      </c>
      <c r="G627" s="57">
        <v>0.0</v>
      </c>
      <c r="H627" s="57">
        <v>0.601</v>
      </c>
      <c r="I627" s="57">
        <v>0.3039</v>
      </c>
      <c r="J627" s="33">
        <f t="shared" si="2"/>
        <v>0.601</v>
      </c>
      <c r="K627" s="33">
        <f t="shared" si="13"/>
        <v>0.3039</v>
      </c>
    </row>
    <row r="628">
      <c r="A628" s="70">
        <v>44678.0</v>
      </c>
      <c r="B628" s="57">
        <v>2087.0</v>
      </c>
      <c r="C628" s="57" t="s">
        <v>180</v>
      </c>
      <c r="D628" s="57" t="s">
        <v>181</v>
      </c>
      <c r="E628" s="57" t="s">
        <v>179</v>
      </c>
      <c r="F628" s="57">
        <f t="shared" si="12"/>
        <v>0</v>
      </c>
      <c r="G628" s="57">
        <v>0.0</v>
      </c>
      <c r="H628" s="57">
        <v>2.1071</v>
      </c>
      <c r="I628" s="57">
        <v>0.9552</v>
      </c>
      <c r="J628" s="33">
        <f t="shared" si="2"/>
        <v>2.1071</v>
      </c>
      <c r="K628" s="33">
        <f t="shared" si="13"/>
        <v>0.9552</v>
      </c>
    </row>
    <row r="629">
      <c r="A629" s="70">
        <v>44678.0</v>
      </c>
      <c r="B629" s="57">
        <v>2030.0</v>
      </c>
      <c r="C629" s="57" t="s">
        <v>180</v>
      </c>
      <c r="D629" s="57" t="s">
        <v>181</v>
      </c>
      <c r="E629" s="57" t="s">
        <v>182</v>
      </c>
      <c r="F629" s="57">
        <f t="shared" si="12"/>
        <v>0</v>
      </c>
      <c r="G629" s="57">
        <v>0.0</v>
      </c>
      <c r="H629" s="57">
        <v>3.002</v>
      </c>
      <c r="I629" s="57">
        <v>1.698</v>
      </c>
      <c r="J629" s="33">
        <f t="shared" si="2"/>
        <v>3.002</v>
      </c>
      <c r="K629" s="33">
        <f t="shared" si="13"/>
        <v>1.698</v>
      </c>
    </row>
    <row r="630">
      <c r="A630" s="70">
        <v>44678.0</v>
      </c>
      <c r="B630" s="57">
        <v>2092.0</v>
      </c>
      <c r="C630" s="57" t="s">
        <v>180</v>
      </c>
      <c r="D630" s="57" t="s">
        <v>181</v>
      </c>
      <c r="E630" s="57" t="s">
        <v>182</v>
      </c>
      <c r="F630" s="57">
        <f t="shared" si="12"/>
        <v>0</v>
      </c>
      <c r="G630" s="57">
        <v>0.0</v>
      </c>
      <c r="H630" s="57">
        <v>1.2072</v>
      </c>
      <c r="I630" s="57">
        <v>0.5212</v>
      </c>
      <c r="J630" s="33">
        <f t="shared" si="2"/>
        <v>1.2072</v>
      </c>
      <c r="K630" s="33">
        <f t="shared" si="13"/>
        <v>0.5212</v>
      </c>
    </row>
    <row r="631">
      <c r="A631" s="70">
        <v>44678.0</v>
      </c>
      <c r="B631" s="57">
        <v>2090.0</v>
      </c>
      <c r="C631" s="57" t="s">
        <v>180</v>
      </c>
      <c r="D631" s="57" t="s">
        <v>181</v>
      </c>
      <c r="E631" s="57" t="s">
        <v>179</v>
      </c>
      <c r="F631" s="57">
        <f t="shared" si="12"/>
        <v>0</v>
      </c>
      <c r="G631" s="57">
        <v>0.0</v>
      </c>
      <c r="H631" s="57">
        <v>0.6778</v>
      </c>
      <c r="I631" s="57">
        <v>0.3299</v>
      </c>
      <c r="J631" s="33">
        <f t="shared" si="2"/>
        <v>0.6778</v>
      </c>
      <c r="K631" s="33">
        <f t="shared" si="13"/>
        <v>0.3299</v>
      </c>
    </row>
    <row r="632">
      <c r="A632" s="70">
        <v>44678.0</v>
      </c>
      <c r="B632" s="57">
        <v>2090.0</v>
      </c>
      <c r="C632" s="57" t="s">
        <v>180</v>
      </c>
      <c r="D632" s="57" t="s">
        <v>181</v>
      </c>
      <c r="E632" s="57" t="s">
        <v>182</v>
      </c>
      <c r="F632" s="57">
        <f t="shared" si="12"/>
        <v>0</v>
      </c>
      <c r="G632" s="57">
        <v>0.0</v>
      </c>
      <c r="H632" s="57">
        <v>6.7417</v>
      </c>
      <c r="I632" s="57">
        <v>5.5394</v>
      </c>
      <c r="J632" s="33">
        <f t="shared" si="2"/>
        <v>6.7417</v>
      </c>
      <c r="K632" s="33">
        <f t="shared" si="13"/>
        <v>5.5394</v>
      </c>
    </row>
    <row r="633">
      <c r="A633" s="70">
        <v>44678.0</v>
      </c>
      <c r="B633" s="57">
        <v>2085.0</v>
      </c>
      <c r="C633" s="57" t="s">
        <v>180</v>
      </c>
      <c r="D633" s="57" t="s">
        <v>181</v>
      </c>
      <c r="E633" s="57" t="s">
        <v>179</v>
      </c>
      <c r="F633" s="57">
        <f t="shared" si="12"/>
        <v>0</v>
      </c>
      <c r="G633" s="57">
        <v>0.0</v>
      </c>
      <c r="H633" s="57">
        <v>1.024</v>
      </c>
      <c r="I633" s="57">
        <v>0.4951</v>
      </c>
      <c r="J633" s="33">
        <f t="shared" si="2"/>
        <v>1.024</v>
      </c>
      <c r="K633" s="33">
        <f t="shared" si="13"/>
        <v>0.4951</v>
      </c>
    </row>
    <row r="634">
      <c r="A634" s="70">
        <v>44678.0</v>
      </c>
      <c r="B634" s="57">
        <v>2026.0</v>
      </c>
      <c r="C634" s="57" t="s">
        <v>180</v>
      </c>
      <c r="D634" s="57" t="s">
        <v>181</v>
      </c>
      <c r="E634" s="57" t="s">
        <v>179</v>
      </c>
      <c r="F634" s="57">
        <f t="shared" si="12"/>
        <v>0</v>
      </c>
      <c r="G634" s="57">
        <v>0.0</v>
      </c>
      <c r="H634" s="57">
        <v>0.746</v>
      </c>
      <c r="I634" s="57">
        <v>0.4139</v>
      </c>
      <c r="J634" s="33">
        <f t="shared" si="2"/>
        <v>0.746</v>
      </c>
      <c r="K634" s="33">
        <f t="shared" si="13"/>
        <v>0.4139</v>
      </c>
    </row>
    <row r="635">
      <c r="A635" s="70">
        <v>44678.0</v>
      </c>
      <c r="B635" s="57">
        <v>2088.0</v>
      </c>
      <c r="C635" s="57" t="s">
        <v>180</v>
      </c>
      <c r="D635" s="57" t="s">
        <v>181</v>
      </c>
      <c r="E635" s="57" t="s">
        <v>179</v>
      </c>
      <c r="F635" s="57">
        <f t="shared" si="12"/>
        <v>0</v>
      </c>
      <c r="G635" s="57">
        <v>0.0</v>
      </c>
      <c r="H635" s="57">
        <v>0.9856</v>
      </c>
      <c r="I635" s="57">
        <v>0.4717</v>
      </c>
      <c r="J635" s="33">
        <f t="shared" si="2"/>
        <v>0.9856</v>
      </c>
      <c r="K635" s="33">
        <f t="shared" si="13"/>
        <v>0.4717</v>
      </c>
    </row>
    <row r="636">
      <c r="A636" s="70">
        <v>44678.0</v>
      </c>
      <c r="B636" s="57">
        <v>2030.0</v>
      </c>
      <c r="C636" s="57" t="s">
        <v>180</v>
      </c>
      <c r="D636" s="57" t="s">
        <v>181</v>
      </c>
      <c r="E636" s="57" t="s">
        <v>179</v>
      </c>
      <c r="F636" s="57">
        <f t="shared" si="12"/>
        <v>0</v>
      </c>
      <c r="G636" s="57">
        <v>0.0</v>
      </c>
      <c r="H636" s="57">
        <v>0.297</v>
      </c>
      <c r="I636" s="57">
        <v>0.1634</v>
      </c>
      <c r="J636" s="33">
        <f t="shared" si="2"/>
        <v>0.297</v>
      </c>
      <c r="K636" s="33">
        <f t="shared" si="13"/>
        <v>0.1634</v>
      </c>
    </row>
    <row r="637">
      <c r="A637" s="70">
        <v>44678.0</v>
      </c>
      <c r="B637" s="57">
        <v>2093.0</v>
      </c>
      <c r="C637" s="57" t="s">
        <v>180</v>
      </c>
      <c r="D637" s="57" t="s">
        <v>181</v>
      </c>
      <c r="E637" s="57" t="s">
        <v>182</v>
      </c>
      <c r="F637" s="57">
        <f t="shared" si="12"/>
        <v>0</v>
      </c>
      <c r="G637" s="57">
        <v>0.0</v>
      </c>
      <c r="H637" s="57">
        <v>6.3935</v>
      </c>
      <c r="I637" s="57">
        <v>2.583</v>
      </c>
      <c r="J637" s="33">
        <f t="shared" si="2"/>
        <v>6.3935</v>
      </c>
      <c r="K637" s="33">
        <f t="shared" si="13"/>
        <v>2.583</v>
      </c>
    </row>
    <row r="638">
      <c r="A638" s="70">
        <v>44678.0</v>
      </c>
      <c r="B638" s="57">
        <v>2029.0</v>
      </c>
      <c r="C638" s="57" t="s">
        <v>180</v>
      </c>
      <c r="D638" s="57" t="s">
        <v>181</v>
      </c>
      <c r="E638" s="57" t="s">
        <v>179</v>
      </c>
      <c r="F638" s="57">
        <f t="shared" si="12"/>
        <v>0</v>
      </c>
      <c r="G638" s="57">
        <v>0.0</v>
      </c>
      <c r="H638" s="57">
        <v>0.21</v>
      </c>
      <c r="I638" s="57">
        <v>0.1165</v>
      </c>
      <c r="J638" s="33">
        <f t="shared" si="2"/>
        <v>0.21</v>
      </c>
      <c r="K638" s="33">
        <f t="shared" si="13"/>
        <v>0.1165</v>
      </c>
    </row>
    <row r="639">
      <c r="A639" s="70">
        <v>44678.0</v>
      </c>
      <c r="B639" s="57">
        <v>2028.0</v>
      </c>
      <c r="C639" s="57" t="s">
        <v>180</v>
      </c>
      <c r="D639" s="57" t="s">
        <v>181</v>
      </c>
      <c r="E639" s="57" t="s">
        <v>179</v>
      </c>
      <c r="F639" s="57">
        <f t="shared" si="12"/>
        <v>0</v>
      </c>
      <c r="G639" s="57">
        <v>0.0</v>
      </c>
      <c r="H639" s="57">
        <v>0.348</v>
      </c>
      <c r="I639" s="57">
        <v>0.1871</v>
      </c>
      <c r="J639" s="33">
        <f t="shared" si="2"/>
        <v>0.348</v>
      </c>
      <c r="K639" s="33">
        <f t="shared" si="13"/>
        <v>0.1871</v>
      </c>
    </row>
    <row r="640">
      <c r="A640" s="70">
        <v>44678.0</v>
      </c>
      <c r="B640" s="57">
        <v>2006.0</v>
      </c>
      <c r="C640" s="57" t="s">
        <v>180</v>
      </c>
      <c r="D640" s="57" t="s">
        <v>181</v>
      </c>
      <c r="E640" s="57" t="s">
        <v>182</v>
      </c>
      <c r="F640" s="57">
        <f t="shared" si="12"/>
        <v>0</v>
      </c>
      <c r="G640" s="57">
        <v>0.0</v>
      </c>
      <c r="H640" s="57">
        <v>6.339</v>
      </c>
      <c r="I640" s="57">
        <v>3.5353</v>
      </c>
      <c r="J640" s="33">
        <f t="shared" si="2"/>
        <v>6.339</v>
      </c>
      <c r="K640" s="33">
        <f t="shared" si="13"/>
        <v>3.5353</v>
      </c>
    </row>
    <row r="641">
      <c r="A641" s="70">
        <v>44678.0</v>
      </c>
      <c r="B641" s="57">
        <v>2086.0</v>
      </c>
      <c r="C641" s="57" t="s">
        <v>180</v>
      </c>
      <c r="D641" s="57" t="s">
        <v>181</v>
      </c>
      <c r="E641" s="57" t="s">
        <v>179</v>
      </c>
      <c r="F641" s="57">
        <f t="shared" si="12"/>
        <v>0</v>
      </c>
      <c r="G641" s="57">
        <v>0.0</v>
      </c>
      <c r="H641" s="57">
        <v>0.5302</v>
      </c>
      <c r="I641" s="57">
        <v>0.2599</v>
      </c>
      <c r="J641" s="33">
        <f t="shared" si="2"/>
        <v>0.5302</v>
      </c>
      <c r="K641" s="33">
        <f t="shared" si="13"/>
        <v>0.2599</v>
      </c>
    </row>
    <row r="642">
      <c r="A642" s="70">
        <v>44678.0</v>
      </c>
      <c r="B642" s="57">
        <v>2092.0</v>
      </c>
      <c r="C642" s="57" t="s">
        <v>180</v>
      </c>
      <c r="D642" s="57" t="s">
        <v>178</v>
      </c>
      <c r="E642" s="57" t="s">
        <v>179</v>
      </c>
      <c r="F642" s="57">
        <f t="shared" si="12"/>
        <v>1</v>
      </c>
      <c r="G642" s="57">
        <v>0.0</v>
      </c>
      <c r="H642" s="57">
        <v>1.9468</v>
      </c>
      <c r="I642" s="57">
        <v>1.0978</v>
      </c>
      <c r="J642" s="33">
        <f t="shared" si="2"/>
        <v>1.9468</v>
      </c>
      <c r="K642" s="33">
        <f t="shared" si="13"/>
        <v>1.0978</v>
      </c>
    </row>
    <row r="643">
      <c r="A643" s="70">
        <v>44678.0</v>
      </c>
      <c r="B643" s="57">
        <v>2025.0</v>
      </c>
      <c r="C643" s="57" t="s">
        <v>180</v>
      </c>
      <c r="D643" s="57" t="s">
        <v>181</v>
      </c>
      <c r="E643" s="57" t="s">
        <v>179</v>
      </c>
      <c r="F643" s="57">
        <f t="shared" si="12"/>
        <v>0</v>
      </c>
      <c r="G643" s="57">
        <v>0.0</v>
      </c>
      <c r="H643" s="57">
        <v>0.567</v>
      </c>
      <c r="I643" s="57">
        <v>0.3084</v>
      </c>
      <c r="J643" s="33">
        <f t="shared" si="2"/>
        <v>0.567</v>
      </c>
      <c r="K643" s="33">
        <f t="shared" si="13"/>
        <v>0.3084</v>
      </c>
    </row>
    <row r="644">
      <c r="A644" s="70">
        <v>44678.0</v>
      </c>
      <c r="B644" s="57">
        <v>2029.0</v>
      </c>
      <c r="C644" s="57" t="s">
        <v>180</v>
      </c>
      <c r="D644" s="57" t="s">
        <v>178</v>
      </c>
      <c r="E644" s="57" t="s">
        <v>179</v>
      </c>
      <c r="F644" s="57">
        <f t="shared" si="12"/>
        <v>1</v>
      </c>
      <c r="G644" s="57">
        <v>0.0</v>
      </c>
      <c r="H644" s="57">
        <v>1.022</v>
      </c>
      <c r="I644" s="57">
        <v>0.6242</v>
      </c>
      <c r="J644" s="33">
        <f t="shared" si="2"/>
        <v>1.022</v>
      </c>
      <c r="K644" s="33">
        <f t="shared" si="13"/>
        <v>0.6242</v>
      </c>
    </row>
    <row r="645">
      <c r="A645" s="70">
        <v>44678.0</v>
      </c>
      <c r="B645" s="57">
        <v>2088.0</v>
      </c>
      <c r="C645" s="57" t="s">
        <v>180</v>
      </c>
      <c r="D645" s="57" t="s">
        <v>178</v>
      </c>
      <c r="E645" s="57" t="s">
        <v>179</v>
      </c>
      <c r="F645" s="57">
        <f t="shared" si="12"/>
        <v>1</v>
      </c>
      <c r="G645" s="57">
        <v>0.0</v>
      </c>
      <c r="H645" s="57">
        <v>1.6178</v>
      </c>
      <c r="I645" s="57">
        <v>0.8862</v>
      </c>
      <c r="J645" s="33">
        <f t="shared" si="2"/>
        <v>1.6178</v>
      </c>
      <c r="K645" s="33">
        <f t="shared" si="13"/>
        <v>0.8862</v>
      </c>
    </row>
    <row r="646">
      <c r="A646" s="70">
        <v>44678.0</v>
      </c>
      <c r="B646" s="57">
        <v>2089.0</v>
      </c>
      <c r="C646" s="57" t="s">
        <v>180</v>
      </c>
      <c r="D646" s="57" t="s">
        <v>178</v>
      </c>
      <c r="E646" s="57" t="s">
        <v>179</v>
      </c>
      <c r="F646" s="57">
        <f t="shared" si="12"/>
        <v>1</v>
      </c>
      <c r="G646" s="57">
        <v>0.0</v>
      </c>
      <c r="H646" s="57">
        <v>1.599</v>
      </c>
      <c r="I646" s="57">
        <v>0.922</v>
      </c>
      <c r="J646" s="33">
        <f t="shared" si="2"/>
        <v>1.599</v>
      </c>
      <c r="K646" s="33">
        <f t="shared" si="13"/>
        <v>0.922</v>
      </c>
    </row>
    <row r="647">
      <c r="A647" s="70">
        <v>44678.0</v>
      </c>
      <c r="B647" s="57" t="s">
        <v>188</v>
      </c>
      <c r="C647" s="57" t="s">
        <v>180</v>
      </c>
      <c r="D647" s="57" t="s">
        <v>181</v>
      </c>
      <c r="E647" s="57" t="s">
        <v>183</v>
      </c>
      <c r="F647" s="57">
        <f t="shared" si="12"/>
        <v>0</v>
      </c>
      <c r="G647" s="57">
        <v>0.0</v>
      </c>
      <c r="H647" s="57">
        <v>3.23</v>
      </c>
      <c r="I647" s="57">
        <v>1.6227</v>
      </c>
      <c r="J647" s="33">
        <f t="shared" si="2"/>
        <v>3.23</v>
      </c>
      <c r="K647" s="33">
        <f t="shared" si="13"/>
        <v>1.6227</v>
      </c>
    </row>
    <row r="648">
      <c r="A648" s="70">
        <v>44678.0</v>
      </c>
      <c r="B648" s="57" t="s">
        <v>189</v>
      </c>
      <c r="C648" s="57" t="s">
        <v>180</v>
      </c>
      <c r="D648" s="57" t="s">
        <v>181</v>
      </c>
      <c r="E648" s="57" t="s">
        <v>183</v>
      </c>
      <c r="F648" s="57">
        <f t="shared" si="12"/>
        <v>0</v>
      </c>
      <c r="G648" s="57">
        <v>0.0</v>
      </c>
      <c r="H648" s="57">
        <v>2.5066</v>
      </c>
      <c r="I648" s="57">
        <v>1.1612</v>
      </c>
      <c r="J648" s="33">
        <f t="shared" si="2"/>
        <v>2.5066</v>
      </c>
      <c r="K648" s="33">
        <f t="shared" si="13"/>
        <v>1.1612</v>
      </c>
    </row>
    <row r="649">
      <c r="A649" s="70">
        <v>44678.0</v>
      </c>
      <c r="B649" s="57">
        <v>2089.0</v>
      </c>
      <c r="C649" s="57" t="s">
        <v>180</v>
      </c>
      <c r="D649" s="57" t="s">
        <v>181</v>
      </c>
      <c r="E649" s="57" t="s">
        <v>179</v>
      </c>
      <c r="F649" s="57">
        <f t="shared" si="12"/>
        <v>0</v>
      </c>
      <c r="G649" s="57">
        <v>0.0</v>
      </c>
      <c r="H649" s="57">
        <v>0.102</v>
      </c>
      <c r="I649" s="57">
        <v>0.0407</v>
      </c>
      <c r="J649" s="33">
        <f t="shared" si="2"/>
        <v>0.102</v>
      </c>
      <c r="K649" s="33">
        <f t="shared" si="13"/>
        <v>0.0407</v>
      </c>
    </row>
    <row r="650">
      <c r="A650" s="70">
        <v>44678.0</v>
      </c>
      <c r="B650" s="57">
        <v>2092.0</v>
      </c>
      <c r="C650" s="57" t="s">
        <v>180</v>
      </c>
      <c r="D650" s="57" t="s">
        <v>181</v>
      </c>
      <c r="E650" s="57" t="s">
        <v>179</v>
      </c>
      <c r="F650" s="57">
        <f t="shared" si="12"/>
        <v>0</v>
      </c>
      <c r="G650" s="57">
        <v>0.0</v>
      </c>
      <c r="H650" s="57">
        <v>0.1469</v>
      </c>
      <c r="I650" s="57">
        <v>0.0662</v>
      </c>
      <c r="J650" s="33">
        <f t="shared" si="2"/>
        <v>0.1469</v>
      </c>
      <c r="K650" s="33">
        <f t="shared" si="13"/>
        <v>0.0662</v>
      </c>
    </row>
    <row r="651">
      <c r="A651" s="70">
        <v>44678.0</v>
      </c>
      <c r="B651" s="57">
        <v>2091.0</v>
      </c>
      <c r="C651" s="57" t="s">
        <v>180</v>
      </c>
      <c r="D651" s="57" t="s">
        <v>178</v>
      </c>
      <c r="E651" s="57" t="s">
        <v>182</v>
      </c>
      <c r="F651" s="57">
        <f t="shared" si="12"/>
        <v>1</v>
      </c>
      <c r="G651" s="57">
        <v>0.0</v>
      </c>
      <c r="H651" s="57">
        <v>4.104</v>
      </c>
      <c r="I651" s="57">
        <v>2.509</v>
      </c>
      <c r="J651" s="33">
        <f t="shared" si="2"/>
        <v>4.104</v>
      </c>
      <c r="K651" s="33">
        <f t="shared" si="13"/>
        <v>2.509</v>
      </c>
    </row>
    <row r="652">
      <c r="A652" s="70">
        <v>44678.0</v>
      </c>
      <c r="B652" s="57">
        <v>2022.0</v>
      </c>
      <c r="C652" s="57" t="s">
        <v>180</v>
      </c>
      <c r="D652" s="57" t="s">
        <v>181</v>
      </c>
      <c r="E652" s="57" t="s">
        <v>179</v>
      </c>
      <c r="F652" s="57">
        <f t="shared" si="12"/>
        <v>0</v>
      </c>
      <c r="G652" s="57">
        <v>0.0</v>
      </c>
      <c r="H652" s="57">
        <v>0.18</v>
      </c>
      <c r="I652" s="57">
        <v>0.0959</v>
      </c>
      <c r="J652" s="33">
        <f t="shared" si="2"/>
        <v>0.18</v>
      </c>
      <c r="K652" s="33">
        <f t="shared" si="13"/>
        <v>0.0959</v>
      </c>
    </row>
    <row r="653">
      <c r="A653" s="70">
        <v>44678.0</v>
      </c>
      <c r="B653" s="57">
        <v>2027.0</v>
      </c>
      <c r="C653" s="57" t="s">
        <v>180</v>
      </c>
      <c r="D653" s="57" t="s">
        <v>181</v>
      </c>
      <c r="E653" s="57" t="s">
        <v>179</v>
      </c>
      <c r="F653" s="57">
        <f t="shared" si="12"/>
        <v>0</v>
      </c>
      <c r="G653" s="57">
        <v>0.0</v>
      </c>
      <c r="H653" s="57">
        <v>0.154</v>
      </c>
      <c r="I653" s="57">
        <v>0.0808</v>
      </c>
      <c r="J653" s="33">
        <f t="shared" si="2"/>
        <v>0.154</v>
      </c>
      <c r="K653" s="33">
        <f t="shared" si="13"/>
        <v>0.0808</v>
      </c>
    </row>
    <row r="654">
      <c r="A654" s="70">
        <v>44678.0</v>
      </c>
      <c r="B654" s="57">
        <v>2022.0</v>
      </c>
      <c r="C654" s="57" t="s">
        <v>180</v>
      </c>
      <c r="D654" s="57" t="s">
        <v>178</v>
      </c>
      <c r="E654" s="57" t="s">
        <v>179</v>
      </c>
      <c r="F654" s="57">
        <f t="shared" si="12"/>
        <v>1</v>
      </c>
      <c r="G654" s="57">
        <v>0.0</v>
      </c>
      <c r="H654" s="57">
        <v>1.203</v>
      </c>
      <c r="I654" s="57">
        <v>0.7201</v>
      </c>
      <c r="J654" s="33">
        <f t="shared" si="2"/>
        <v>1.203</v>
      </c>
      <c r="K654" s="33">
        <f t="shared" si="13"/>
        <v>0.7201</v>
      </c>
    </row>
    <row r="655">
      <c r="A655" s="70">
        <v>44678.0</v>
      </c>
      <c r="B655" s="57">
        <v>2005.0</v>
      </c>
      <c r="C655" s="57" t="s">
        <v>180</v>
      </c>
      <c r="D655" s="57" t="s">
        <v>181</v>
      </c>
      <c r="E655" s="57" t="s">
        <v>182</v>
      </c>
      <c r="F655" s="57">
        <f t="shared" si="12"/>
        <v>0</v>
      </c>
      <c r="G655" s="57">
        <v>0.0</v>
      </c>
      <c r="H655" s="57">
        <v>8.86</v>
      </c>
      <c r="I655" s="57">
        <v>4.798</v>
      </c>
      <c r="J655" s="33">
        <f t="shared" si="2"/>
        <v>8.86</v>
      </c>
      <c r="K655" s="33">
        <f t="shared" si="13"/>
        <v>4.798</v>
      </c>
    </row>
    <row r="656">
      <c r="A656" s="70">
        <v>44678.0</v>
      </c>
      <c r="B656" s="57">
        <v>2025.0</v>
      </c>
      <c r="C656" s="57" t="s">
        <v>180</v>
      </c>
      <c r="D656" s="57" t="s">
        <v>181</v>
      </c>
      <c r="E656" s="57" t="s">
        <v>182</v>
      </c>
      <c r="F656" s="57">
        <f t="shared" si="12"/>
        <v>0</v>
      </c>
      <c r="G656" s="57">
        <v>0.0</v>
      </c>
      <c r="H656" s="57">
        <v>5.77</v>
      </c>
      <c r="I656" s="57">
        <v>3.0751</v>
      </c>
      <c r="J656" s="33">
        <f t="shared" si="2"/>
        <v>5.77</v>
      </c>
      <c r="K656" s="33">
        <f t="shared" si="13"/>
        <v>3.0751</v>
      </c>
    </row>
    <row r="657">
      <c r="A657" s="70">
        <v>44678.0</v>
      </c>
      <c r="B657" s="57">
        <v>2029.0</v>
      </c>
      <c r="C657" s="57" t="s">
        <v>180</v>
      </c>
      <c r="D657" s="57" t="s">
        <v>178</v>
      </c>
      <c r="E657" s="57" t="s">
        <v>182</v>
      </c>
      <c r="F657" s="57">
        <f t="shared" si="12"/>
        <v>1</v>
      </c>
      <c r="G657" s="57">
        <v>0.0</v>
      </c>
      <c r="H657" s="57">
        <v>4.022</v>
      </c>
      <c r="I657" s="57">
        <v>2.5216</v>
      </c>
      <c r="J657" s="33">
        <f t="shared" si="2"/>
        <v>4.022</v>
      </c>
      <c r="K657" s="33">
        <f t="shared" si="13"/>
        <v>2.5216</v>
      </c>
    </row>
    <row r="658">
      <c r="A658" s="70">
        <v>44678.0</v>
      </c>
      <c r="B658" s="57">
        <v>2021.0</v>
      </c>
      <c r="C658" s="57" t="s">
        <v>180</v>
      </c>
      <c r="D658" s="57" t="s">
        <v>181</v>
      </c>
      <c r="E658" s="57" t="s">
        <v>179</v>
      </c>
      <c r="F658" s="57">
        <f t="shared" si="12"/>
        <v>0</v>
      </c>
      <c r="G658" s="57">
        <v>0.0</v>
      </c>
      <c r="H658" s="57">
        <v>0.33</v>
      </c>
      <c r="I658" s="57">
        <v>0.175</v>
      </c>
      <c r="J658" s="33">
        <f t="shared" si="2"/>
        <v>0.33</v>
      </c>
      <c r="K658" s="33">
        <f t="shared" si="13"/>
        <v>0.175</v>
      </c>
    </row>
    <row r="659">
      <c r="A659" s="70">
        <v>44678.0</v>
      </c>
      <c r="B659" s="57">
        <v>2030.0</v>
      </c>
      <c r="C659" s="57" t="s">
        <v>180</v>
      </c>
      <c r="D659" s="57" t="s">
        <v>178</v>
      </c>
      <c r="E659" s="57" t="s">
        <v>179</v>
      </c>
      <c r="F659" s="57">
        <f t="shared" si="12"/>
        <v>1</v>
      </c>
      <c r="G659" s="57">
        <v>0.0</v>
      </c>
      <c r="H659" s="57">
        <v>0.988</v>
      </c>
      <c r="I659" s="57">
        <v>0.5886</v>
      </c>
      <c r="J659" s="33">
        <f t="shared" si="2"/>
        <v>0.988</v>
      </c>
      <c r="K659" s="33">
        <f t="shared" si="13"/>
        <v>0.5886</v>
      </c>
    </row>
    <row r="660">
      <c r="A660" s="70">
        <v>44678.0</v>
      </c>
      <c r="B660" s="57">
        <v>2006.0</v>
      </c>
      <c r="C660" s="57" t="s">
        <v>180</v>
      </c>
      <c r="D660" s="57" t="s">
        <v>181</v>
      </c>
      <c r="E660" s="57" t="s">
        <v>179</v>
      </c>
      <c r="F660" s="57">
        <f t="shared" si="12"/>
        <v>0</v>
      </c>
      <c r="G660" s="57">
        <v>0.0</v>
      </c>
      <c r="H660" s="57">
        <v>0.625</v>
      </c>
      <c r="I660" s="57">
        <v>0.3236</v>
      </c>
      <c r="J660" s="33">
        <f t="shared" si="2"/>
        <v>0.625</v>
      </c>
      <c r="K660" s="33">
        <f t="shared" si="13"/>
        <v>0.3236</v>
      </c>
    </row>
    <row r="661">
      <c r="A661" s="70">
        <v>44678.0</v>
      </c>
      <c r="B661" s="57">
        <v>2032.0</v>
      </c>
      <c r="C661" s="57" t="s">
        <v>180</v>
      </c>
      <c r="D661" s="57" t="s">
        <v>181</v>
      </c>
      <c r="E661" s="57" t="s">
        <v>182</v>
      </c>
      <c r="F661" s="57">
        <f t="shared" si="12"/>
        <v>0</v>
      </c>
      <c r="G661" s="57">
        <v>0.0</v>
      </c>
      <c r="H661" s="57">
        <v>5.627</v>
      </c>
      <c r="I661" s="57">
        <v>3.1096</v>
      </c>
      <c r="J661" s="33">
        <f t="shared" si="2"/>
        <v>5.627</v>
      </c>
      <c r="K661" s="33">
        <f t="shared" si="13"/>
        <v>3.1096</v>
      </c>
    </row>
    <row r="662">
      <c r="A662" s="70">
        <v>44678.0</v>
      </c>
      <c r="B662" s="57">
        <v>2024.0</v>
      </c>
      <c r="C662" s="57" t="s">
        <v>180</v>
      </c>
      <c r="D662" s="57" t="s">
        <v>181</v>
      </c>
      <c r="E662" s="57" t="s">
        <v>179</v>
      </c>
      <c r="F662" s="57">
        <f t="shared" si="12"/>
        <v>0</v>
      </c>
      <c r="G662" s="57">
        <v>0.0</v>
      </c>
      <c r="H662" s="57">
        <v>0.612</v>
      </c>
      <c r="I662" s="57">
        <v>0.3201</v>
      </c>
      <c r="J662" s="33">
        <f t="shared" si="2"/>
        <v>0.612</v>
      </c>
      <c r="K662" s="33">
        <f t="shared" si="13"/>
        <v>0.3201</v>
      </c>
    </row>
    <row r="663">
      <c r="A663" s="70">
        <v>44678.0</v>
      </c>
      <c r="B663" s="57">
        <v>2027.0</v>
      </c>
      <c r="C663" s="57" t="s">
        <v>180</v>
      </c>
      <c r="D663" s="57" t="s">
        <v>181</v>
      </c>
      <c r="E663" s="57" t="s">
        <v>182</v>
      </c>
      <c r="F663" s="57">
        <f t="shared" si="12"/>
        <v>0</v>
      </c>
      <c r="G663" s="57">
        <v>0.0</v>
      </c>
      <c r="H663" s="57">
        <v>3.467</v>
      </c>
      <c r="I663" s="57">
        <v>1.931</v>
      </c>
      <c r="J663" s="33">
        <f t="shared" si="2"/>
        <v>3.467</v>
      </c>
      <c r="K663" s="33">
        <f t="shared" si="13"/>
        <v>1.931</v>
      </c>
    </row>
    <row r="664">
      <c r="A664" s="70">
        <v>44678.0</v>
      </c>
      <c r="B664" s="57">
        <v>2022.0</v>
      </c>
      <c r="C664" s="57" t="s">
        <v>180</v>
      </c>
      <c r="D664" s="57" t="s">
        <v>178</v>
      </c>
      <c r="E664" s="57" t="s">
        <v>182</v>
      </c>
      <c r="F664" s="57">
        <f t="shared" si="12"/>
        <v>1</v>
      </c>
      <c r="G664" s="57">
        <v>0.0</v>
      </c>
      <c r="H664" s="57">
        <v>2.189</v>
      </c>
      <c r="I664" s="57">
        <v>1.381</v>
      </c>
      <c r="J664" s="33">
        <f t="shared" si="2"/>
        <v>2.189</v>
      </c>
      <c r="K664" s="33">
        <f t="shared" si="13"/>
        <v>1.381</v>
      </c>
    </row>
    <row r="665">
      <c r="A665" s="70">
        <v>44678.0</v>
      </c>
      <c r="B665" s="57">
        <v>2030.0</v>
      </c>
      <c r="C665" s="57" t="s">
        <v>180</v>
      </c>
      <c r="D665" s="57" t="s">
        <v>178</v>
      </c>
      <c r="E665" s="57" t="s">
        <v>182</v>
      </c>
      <c r="F665" s="57">
        <f t="shared" si="12"/>
        <v>1</v>
      </c>
      <c r="G665" s="57">
        <v>0.0</v>
      </c>
      <c r="H665" s="57">
        <v>4.023</v>
      </c>
      <c r="I665" s="57">
        <v>2.4566</v>
      </c>
      <c r="J665" s="33">
        <f t="shared" si="2"/>
        <v>4.023</v>
      </c>
      <c r="K665" s="33">
        <f t="shared" si="13"/>
        <v>2.4566</v>
      </c>
    </row>
    <row r="666">
      <c r="A666" s="70">
        <v>44678.0</v>
      </c>
      <c r="B666" s="57">
        <v>2028.0</v>
      </c>
      <c r="C666" s="57" t="s">
        <v>180</v>
      </c>
      <c r="D666" s="57" t="s">
        <v>181</v>
      </c>
      <c r="E666" s="57" t="s">
        <v>182</v>
      </c>
      <c r="F666" s="57">
        <f t="shared" si="12"/>
        <v>0</v>
      </c>
      <c r="G666" s="57">
        <v>0.0</v>
      </c>
      <c r="H666" s="57">
        <v>5.515</v>
      </c>
      <c r="I666" s="57">
        <v>3.182</v>
      </c>
      <c r="J666" s="33">
        <f t="shared" si="2"/>
        <v>5.515</v>
      </c>
      <c r="K666" s="33">
        <f t="shared" si="13"/>
        <v>3.182</v>
      </c>
    </row>
    <row r="667">
      <c r="A667" s="70">
        <v>44678.0</v>
      </c>
      <c r="B667" s="57">
        <v>2012.0</v>
      </c>
      <c r="C667" s="57" t="s">
        <v>180</v>
      </c>
      <c r="D667" s="57" t="s">
        <v>178</v>
      </c>
      <c r="E667" s="57" t="s">
        <v>179</v>
      </c>
      <c r="F667" s="57">
        <f t="shared" si="12"/>
        <v>1</v>
      </c>
      <c r="G667" s="57">
        <v>0.0</v>
      </c>
      <c r="H667" s="57">
        <v>1.73</v>
      </c>
      <c r="I667" s="57">
        <v>1.017</v>
      </c>
      <c r="J667" s="33">
        <f t="shared" si="2"/>
        <v>1.73</v>
      </c>
      <c r="K667" s="33">
        <f t="shared" si="13"/>
        <v>1.017</v>
      </c>
    </row>
    <row r="668">
      <c r="A668" s="70">
        <v>44678.0</v>
      </c>
      <c r="B668" s="57">
        <v>2015.0</v>
      </c>
      <c r="C668" s="57" t="s">
        <v>180</v>
      </c>
      <c r="D668" s="57" t="s">
        <v>181</v>
      </c>
      <c r="E668" s="57" t="s">
        <v>182</v>
      </c>
      <c r="F668" s="57">
        <f t="shared" si="12"/>
        <v>0</v>
      </c>
      <c r="G668" s="57">
        <v>0.0</v>
      </c>
      <c r="H668" s="57">
        <v>5.76</v>
      </c>
      <c r="I668" s="57">
        <v>3.137</v>
      </c>
      <c r="J668" s="33">
        <f t="shared" si="2"/>
        <v>5.76</v>
      </c>
      <c r="K668" s="33">
        <f t="shared" si="13"/>
        <v>3.137</v>
      </c>
    </row>
    <row r="669">
      <c r="A669" s="70">
        <v>44678.0</v>
      </c>
      <c r="B669" s="57">
        <v>2026.0</v>
      </c>
      <c r="C669" s="57" t="s">
        <v>180</v>
      </c>
      <c r="D669" s="57" t="s">
        <v>181</v>
      </c>
      <c r="E669" s="57" t="s">
        <v>182</v>
      </c>
      <c r="F669" s="57">
        <f t="shared" si="12"/>
        <v>0</v>
      </c>
      <c r="G669" s="57">
        <v>0.0</v>
      </c>
      <c r="H669" s="57">
        <v>4.887</v>
      </c>
      <c r="I669" s="57">
        <v>2.718</v>
      </c>
      <c r="J669" s="33">
        <f t="shared" si="2"/>
        <v>4.887</v>
      </c>
      <c r="K669" s="33">
        <f t="shared" si="13"/>
        <v>2.718</v>
      </c>
    </row>
    <row r="670">
      <c r="A670" s="70">
        <v>44678.0</v>
      </c>
      <c r="B670" s="57">
        <v>2022.0</v>
      </c>
      <c r="C670" s="57" t="s">
        <v>180</v>
      </c>
      <c r="D670" s="57" t="s">
        <v>181</v>
      </c>
      <c r="E670" s="57" t="s">
        <v>182</v>
      </c>
      <c r="F670" s="57">
        <f t="shared" si="12"/>
        <v>0</v>
      </c>
      <c r="G670" s="57">
        <v>0.0</v>
      </c>
      <c r="H670" s="57">
        <v>3.618</v>
      </c>
      <c r="I670" s="57">
        <v>2.038</v>
      </c>
      <c r="J670" s="33">
        <f t="shared" si="2"/>
        <v>3.618</v>
      </c>
      <c r="K670" s="33">
        <f t="shared" si="13"/>
        <v>2.038</v>
      </c>
    </row>
    <row r="671">
      <c r="A671" s="70">
        <v>44678.0</v>
      </c>
      <c r="B671" s="57">
        <v>2087.0</v>
      </c>
      <c r="C671" s="57" t="s">
        <v>180</v>
      </c>
      <c r="D671" s="57" t="s">
        <v>181</v>
      </c>
      <c r="E671" s="57" t="s">
        <v>182</v>
      </c>
      <c r="F671" s="57">
        <f t="shared" si="12"/>
        <v>0</v>
      </c>
      <c r="G671" s="57">
        <v>0.0</v>
      </c>
      <c r="H671" s="57">
        <v>8.2303</v>
      </c>
      <c r="I671" s="57">
        <v>4.1843</v>
      </c>
      <c r="J671" s="33">
        <f t="shared" si="2"/>
        <v>8.2303</v>
      </c>
      <c r="K671" s="33">
        <f t="shared" si="13"/>
        <v>4.1843</v>
      </c>
    </row>
    <row r="672">
      <c r="A672" s="70">
        <v>44678.0</v>
      </c>
      <c r="B672" s="57">
        <v>2021.0</v>
      </c>
      <c r="C672" s="57" t="s">
        <v>180</v>
      </c>
      <c r="D672" s="57" t="s">
        <v>181</v>
      </c>
      <c r="E672" s="57" t="s">
        <v>182</v>
      </c>
      <c r="F672" s="57">
        <f t="shared" si="12"/>
        <v>0</v>
      </c>
      <c r="G672" s="57">
        <v>0.0</v>
      </c>
      <c r="H672" s="57">
        <v>4.756</v>
      </c>
      <c r="I672" s="57">
        <v>2.6147</v>
      </c>
      <c r="J672" s="33">
        <f t="shared" si="2"/>
        <v>4.756</v>
      </c>
      <c r="K672" s="33">
        <f t="shared" si="13"/>
        <v>2.6147</v>
      </c>
    </row>
    <row r="673">
      <c r="A673" s="70">
        <v>44678.0</v>
      </c>
      <c r="B673" s="57">
        <v>2032.0</v>
      </c>
      <c r="C673" s="57" t="s">
        <v>180</v>
      </c>
      <c r="D673" s="57" t="s">
        <v>181</v>
      </c>
      <c r="E673" s="57" t="s">
        <v>179</v>
      </c>
      <c r="F673" s="57">
        <f t="shared" si="12"/>
        <v>0</v>
      </c>
      <c r="G673" s="57">
        <v>0.0</v>
      </c>
      <c r="H673" s="57">
        <v>0.529</v>
      </c>
      <c r="I673" s="57">
        <v>0.2773</v>
      </c>
      <c r="J673" s="33">
        <f t="shared" si="2"/>
        <v>0.529</v>
      </c>
      <c r="K673" s="33">
        <f t="shared" si="13"/>
        <v>0.2773</v>
      </c>
    </row>
    <row r="674">
      <c r="A674" s="70">
        <v>44678.0</v>
      </c>
      <c r="B674" s="57">
        <v>2023.0</v>
      </c>
      <c r="C674" s="57" t="s">
        <v>180</v>
      </c>
      <c r="D674" s="57" t="s">
        <v>181</v>
      </c>
      <c r="E674" s="57" t="s">
        <v>179</v>
      </c>
      <c r="F674" s="57">
        <f t="shared" si="12"/>
        <v>0</v>
      </c>
      <c r="G674" s="57">
        <v>0.0</v>
      </c>
      <c r="H674" s="57">
        <v>0.681</v>
      </c>
      <c r="I674" s="57">
        <v>0.3742</v>
      </c>
      <c r="J674" s="33">
        <f t="shared" si="2"/>
        <v>0.681</v>
      </c>
      <c r="K674" s="33">
        <f t="shared" si="13"/>
        <v>0.3742</v>
      </c>
    </row>
    <row r="675">
      <c r="A675" s="70">
        <v>44678.0</v>
      </c>
      <c r="B675" s="57">
        <v>2023.0</v>
      </c>
      <c r="C675" s="57" t="s">
        <v>180</v>
      </c>
      <c r="D675" s="57" t="s">
        <v>178</v>
      </c>
      <c r="E675" s="57" t="s">
        <v>182</v>
      </c>
      <c r="F675" s="57">
        <f t="shared" si="12"/>
        <v>1</v>
      </c>
      <c r="G675" s="57">
        <v>0.0</v>
      </c>
      <c r="H675" s="57">
        <v>3.128</v>
      </c>
      <c r="I675" s="57">
        <v>1.8907</v>
      </c>
      <c r="J675" s="33">
        <f t="shared" si="2"/>
        <v>3.128</v>
      </c>
      <c r="K675" s="33">
        <f t="shared" si="13"/>
        <v>1.8907</v>
      </c>
    </row>
    <row r="676">
      <c r="A676" s="70">
        <v>44678.0</v>
      </c>
      <c r="B676" s="57">
        <v>2089.0</v>
      </c>
      <c r="C676" s="57" t="s">
        <v>180</v>
      </c>
      <c r="D676" s="57" t="s">
        <v>181</v>
      </c>
      <c r="E676" s="57" t="s">
        <v>182</v>
      </c>
      <c r="F676" s="57">
        <f t="shared" si="12"/>
        <v>0</v>
      </c>
      <c r="G676" s="57">
        <v>0.0</v>
      </c>
      <c r="H676" s="57">
        <v>1.372</v>
      </c>
      <c r="I676" s="57">
        <v>0.5064</v>
      </c>
      <c r="J676" s="33">
        <f t="shared" si="2"/>
        <v>1.372</v>
      </c>
      <c r="K676" s="33">
        <f t="shared" si="13"/>
        <v>0.5064</v>
      </c>
    </row>
    <row r="677">
      <c r="A677" s="70">
        <v>44678.0</v>
      </c>
      <c r="B677" s="57">
        <v>2024.0</v>
      </c>
      <c r="C677" s="57" t="s">
        <v>180</v>
      </c>
      <c r="D677" s="57" t="s">
        <v>181</v>
      </c>
      <c r="E677" s="57" t="s">
        <v>182</v>
      </c>
      <c r="F677" s="57">
        <f t="shared" si="12"/>
        <v>0</v>
      </c>
      <c r="G677" s="57">
        <v>0.0</v>
      </c>
      <c r="H677" s="57">
        <v>5.952</v>
      </c>
      <c r="I677" s="57">
        <v>3.1904</v>
      </c>
      <c r="J677" s="33">
        <f t="shared" si="2"/>
        <v>5.952</v>
      </c>
      <c r="K677" s="33">
        <f t="shared" si="13"/>
        <v>3.1904</v>
      </c>
    </row>
    <row r="678">
      <c r="A678" s="70">
        <v>44678.0</v>
      </c>
      <c r="B678" s="57">
        <v>2005.0</v>
      </c>
      <c r="C678" s="57" t="s">
        <v>180</v>
      </c>
      <c r="D678" s="57" t="s">
        <v>181</v>
      </c>
      <c r="E678" s="57" t="s">
        <v>179</v>
      </c>
      <c r="F678" s="57">
        <f t="shared" si="12"/>
        <v>0</v>
      </c>
      <c r="G678" s="57">
        <v>0.0</v>
      </c>
      <c r="H678" s="57">
        <v>0.635</v>
      </c>
      <c r="I678" s="57">
        <v>0.3405</v>
      </c>
      <c r="J678" s="33">
        <f t="shared" si="2"/>
        <v>0.635</v>
      </c>
      <c r="K678" s="33">
        <f t="shared" si="13"/>
        <v>0.3405</v>
      </c>
    </row>
    <row r="679">
      <c r="A679" s="70">
        <v>44678.0</v>
      </c>
      <c r="B679" s="57">
        <v>2093.0</v>
      </c>
      <c r="C679" s="57" t="s">
        <v>180</v>
      </c>
      <c r="D679" s="57" t="s">
        <v>178</v>
      </c>
      <c r="E679" s="57" t="s">
        <v>182</v>
      </c>
      <c r="F679" s="57">
        <f t="shared" si="12"/>
        <v>1</v>
      </c>
      <c r="G679" s="57">
        <v>0.0</v>
      </c>
      <c r="H679" s="57">
        <v>1.8246</v>
      </c>
      <c r="I679" s="57">
        <v>1.1341</v>
      </c>
      <c r="J679" s="33">
        <f t="shared" si="2"/>
        <v>1.8246</v>
      </c>
      <c r="K679" s="33">
        <f t="shared" si="13"/>
        <v>1.1341</v>
      </c>
    </row>
    <row r="680">
      <c r="A680" s="70">
        <v>44678.0</v>
      </c>
      <c r="B680" s="57">
        <v>2093.0</v>
      </c>
      <c r="C680" s="57" t="s">
        <v>180</v>
      </c>
      <c r="D680" s="57" t="s">
        <v>181</v>
      </c>
      <c r="E680" s="57" t="s">
        <v>179</v>
      </c>
      <c r="F680" s="57">
        <f t="shared" si="12"/>
        <v>0</v>
      </c>
      <c r="G680" s="57">
        <v>0.0</v>
      </c>
      <c r="H680" s="57">
        <v>0.6707</v>
      </c>
      <c r="I680" s="57">
        <v>0.283</v>
      </c>
      <c r="J680" s="33">
        <f t="shared" si="2"/>
        <v>0.6707</v>
      </c>
      <c r="K680" s="33">
        <f t="shared" si="13"/>
        <v>0.283</v>
      </c>
    </row>
    <row r="681">
      <c r="A681" s="70">
        <v>44678.0</v>
      </c>
      <c r="B681" s="57">
        <v>2015.0</v>
      </c>
      <c r="C681" s="57" t="s">
        <v>180</v>
      </c>
      <c r="D681" s="57" t="s">
        <v>181</v>
      </c>
      <c r="E681" s="57" t="s">
        <v>179</v>
      </c>
      <c r="F681" s="57">
        <f t="shared" si="12"/>
        <v>0</v>
      </c>
      <c r="G681" s="57">
        <v>0.0</v>
      </c>
      <c r="H681" s="57">
        <v>0.589</v>
      </c>
      <c r="I681" s="57">
        <v>0.3044</v>
      </c>
      <c r="J681" s="33">
        <f t="shared" si="2"/>
        <v>0.589</v>
      </c>
      <c r="K681" s="33">
        <f t="shared" si="13"/>
        <v>0.3044</v>
      </c>
    </row>
    <row r="682">
      <c r="A682" s="70">
        <v>44678.0</v>
      </c>
      <c r="B682" s="57">
        <v>1478.0</v>
      </c>
      <c r="C682" s="57" t="s">
        <v>180</v>
      </c>
      <c r="D682" s="57" t="s">
        <v>181</v>
      </c>
      <c r="E682" s="57" t="s">
        <v>182</v>
      </c>
      <c r="F682" s="57">
        <f t="shared" si="12"/>
        <v>0</v>
      </c>
      <c r="G682" s="57">
        <v>0.0</v>
      </c>
      <c r="H682" s="57">
        <v>7.06</v>
      </c>
      <c r="I682" s="57">
        <v>5.89</v>
      </c>
      <c r="J682" s="33">
        <f t="shared" si="2"/>
        <v>7.06</v>
      </c>
      <c r="K682" s="33">
        <f t="shared" si="13"/>
        <v>5.89</v>
      </c>
    </row>
    <row r="683">
      <c r="A683" s="70">
        <v>44678.0</v>
      </c>
      <c r="B683" s="57">
        <v>2012.0</v>
      </c>
      <c r="C683" s="57" t="s">
        <v>180</v>
      </c>
      <c r="D683" s="57" t="s">
        <v>181</v>
      </c>
      <c r="E683" s="57" t="s">
        <v>182</v>
      </c>
      <c r="F683" s="57">
        <f t="shared" si="12"/>
        <v>0</v>
      </c>
      <c r="G683" s="57">
        <v>0.0</v>
      </c>
      <c r="H683" s="57">
        <v>5.07</v>
      </c>
      <c r="I683" s="57">
        <v>2.7726</v>
      </c>
      <c r="J683" s="33">
        <f t="shared" si="2"/>
        <v>5.07</v>
      </c>
      <c r="K683" s="33">
        <f t="shared" si="13"/>
        <v>2.7726</v>
      </c>
    </row>
    <row r="684">
      <c r="A684" s="70">
        <v>44678.0</v>
      </c>
      <c r="B684" s="57">
        <v>2013.0</v>
      </c>
      <c r="C684" s="57" t="s">
        <v>180</v>
      </c>
      <c r="D684" s="57" t="s">
        <v>178</v>
      </c>
      <c r="E684" s="57" t="s">
        <v>179</v>
      </c>
      <c r="F684" s="57">
        <f t="shared" si="12"/>
        <v>1</v>
      </c>
      <c r="G684" s="57">
        <v>0.0</v>
      </c>
      <c r="H684" s="57">
        <v>1.12</v>
      </c>
      <c r="I684" s="57">
        <v>0.6027</v>
      </c>
      <c r="J684" s="33">
        <f t="shared" si="2"/>
        <v>1.12</v>
      </c>
      <c r="K684" s="33">
        <f t="shared" si="13"/>
        <v>0.6027</v>
      </c>
    </row>
    <row r="685">
      <c r="A685" s="70">
        <v>44678.0</v>
      </c>
      <c r="B685" s="57">
        <v>2015.0</v>
      </c>
      <c r="C685" s="57" t="s">
        <v>180</v>
      </c>
      <c r="D685" s="57" t="s">
        <v>178</v>
      </c>
      <c r="E685" s="57" t="s">
        <v>179</v>
      </c>
      <c r="F685" s="57">
        <f t="shared" si="12"/>
        <v>1</v>
      </c>
      <c r="G685" s="57">
        <v>0.0</v>
      </c>
      <c r="H685" s="57">
        <v>1.79</v>
      </c>
      <c r="I685" s="57">
        <v>1.0174</v>
      </c>
      <c r="J685" s="33">
        <f t="shared" si="2"/>
        <v>1.79</v>
      </c>
      <c r="K685" s="33">
        <f t="shared" si="13"/>
        <v>1.0174</v>
      </c>
    </row>
    <row r="686">
      <c r="A686" s="70">
        <v>44678.0</v>
      </c>
      <c r="B686" s="57">
        <v>2007.0</v>
      </c>
      <c r="C686" s="57" t="s">
        <v>180</v>
      </c>
      <c r="D686" s="57" t="s">
        <v>181</v>
      </c>
      <c r="E686" s="57" t="s">
        <v>182</v>
      </c>
      <c r="F686" s="57">
        <f t="shared" si="12"/>
        <v>0</v>
      </c>
      <c r="G686" s="57">
        <v>0.0</v>
      </c>
      <c r="H686" s="57">
        <v>7.68</v>
      </c>
      <c r="I686" s="57">
        <v>4.2926</v>
      </c>
      <c r="J686" s="33">
        <f t="shared" si="2"/>
        <v>7.68</v>
      </c>
      <c r="K686" s="33">
        <f t="shared" si="13"/>
        <v>4.2926</v>
      </c>
    </row>
    <row r="687">
      <c r="A687" s="70">
        <v>44678.0</v>
      </c>
      <c r="B687" s="57">
        <v>2005.0</v>
      </c>
      <c r="C687" s="57" t="s">
        <v>180</v>
      </c>
      <c r="D687" s="57" t="s">
        <v>181</v>
      </c>
      <c r="E687" s="57" t="s">
        <v>182</v>
      </c>
      <c r="F687" s="57">
        <f t="shared" si="12"/>
        <v>0</v>
      </c>
      <c r="G687" s="57">
        <v>0.0</v>
      </c>
      <c r="H687" s="57">
        <v>2.25</v>
      </c>
      <c r="I687" s="57">
        <v>1.307</v>
      </c>
      <c r="J687" s="33">
        <f t="shared" si="2"/>
        <v>2.25</v>
      </c>
      <c r="K687" s="33">
        <f t="shared" si="13"/>
        <v>1.307</v>
      </c>
    </row>
    <row r="688">
      <c r="A688" s="70">
        <v>44678.0</v>
      </c>
      <c r="B688" s="57">
        <v>2013.0</v>
      </c>
      <c r="C688" s="57" t="s">
        <v>180</v>
      </c>
      <c r="D688" s="57" t="s">
        <v>181</v>
      </c>
      <c r="E688" s="57" t="s">
        <v>179</v>
      </c>
      <c r="F688" s="57">
        <f t="shared" si="12"/>
        <v>0</v>
      </c>
      <c r="G688" s="57">
        <v>0.0</v>
      </c>
      <c r="H688" s="57">
        <v>0.866</v>
      </c>
      <c r="I688" s="57">
        <v>0.4082</v>
      </c>
      <c r="J688" s="33">
        <f t="shared" si="2"/>
        <v>0.866</v>
      </c>
      <c r="K688" s="33">
        <f t="shared" si="13"/>
        <v>0.4082</v>
      </c>
    </row>
    <row r="689">
      <c r="A689" s="70">
        <v>44678.0</v>
      </c>
      <c r="B689" s="57">
        <v>2007.0</v>
      </c>
      <c r="C689" s="57" t="s">
        <v>180</v>
      </c>
      <c r="D689" s="57" t="s">
        <v>181</v>
      </c>
      <c r="E689" s="57" t="s">
        <v>179</v>
      </c>
      <c r="F689" s="57">
        <f t="shared" si="12"/>
        <v>0</v>
      </c>
      <c r="G689" s="57">
        <v>0.0</v>
      </c>
      <c r="H689" s="57">
        <v>0.797</v>
      </c>
      <c r="I689" s="57">
        <v>0.4243</v>
      </c>
      <c r="J689" s="33">
        <f t="shared" si="2"/>
        <v>0.797</v>
      </c>
      <c r="K689" s="33">
        <f t="shared" si="13"/>
        <v>0.4243</v>
      </c>
    </row>
    <row r="690">
      <c r="A690" s="70">
        <v>44678.0</v>
      </c>
      <c r="B690" s="57">
        <v>2012.0</v>
      </c>
      <c r="C690" s="57" t="s">
        <v>180</v>
      </c>
      <c r="D690" s="57" t="s">
        <v>181</v>
      </c>
      <c r="E690" s="57" t="s">
        <v>179</v>
      </c>
      <c r="F690" s="57">
        <f t="shared" si="12"/>
        <v>0</v>
      </c>
      <c r="G690" s="57">
        <v>0.0</v>
      </c>
      <c r="H690" s="57">
        <v>0.442</v>
      </c>
      <c r="I690" s="57">
        <v>0.2316</v>
      </c>
      <c r="J690" s="33">
        <f t="shared" si="2"/>
        <v>0.442</v>
      </c>
      <c r="K690" s="33">
        <f t="shared" si="13"/>
        <v>0.2316</v>
      </c>
    </row>
    <row r="691">
      <c r="A691" s="70">
        <v>44678.0</v>
      </c>
      <c r="B691" s="57">
        <v>1478.0</v>
      </c>
      <c r="C691" s="57" t="s">
        <v>180</v>
      </c>
      <c r="D691" s="57" t="s">
        <v>181</v>
      </c>
      <c r="E691" s="57" t="s">
        <v>179</v>
      </c>
      <c r="F691" s="57">
        <f t="shared" si="12"/>
        <v>0</v>
      </c>
      <c r="G691" s="57">
        <v>0.0</v>
      </c>
      <c r="H691" s="57">
        <v>1.13</v>
      </c>
      <c r="I691" s="57">
        <v>0.5387</v>
      </c>
      <c r="J691" s="33">
        <f t="shared" si="2"/>
        <v>1.13</v>
      </c>
      <c r="K691" s="33">
        <f t="shared" si="13"/>
        <v>0.5387</v>
      </c>
    </row>
    <row r="692">
      <c r="A692" s="70">
        <v>44678.0</v>
      </c>
      <c r="B692" s="57">
        <v>2007.0</v>
      </c>
      <c r="C692" s="57" t="s">
        <v>180</v>
      </c>
      <c r="D692" s="57" t="s">
        <v>178</v>
      </c>
      <c r="E692" s="57" t="s">
        <v>179</v>
      </c>
      <c r="F692" s="57">
        <f t="shared" si="12"/>
        <v>1</v>
      </c>
      <c r="G692" s="57">
        <v>0.0</v>
      </c>
      <c r="H692" s="57">
        <v>2.214</v>
      </c>
      <c r="I692" s="57">
        <v>1.3093</v>
      </c>
      <c r="J692" s="33">
        <f t="shared" si="2"/>
        <v>2.214</v>
      </c>
      <c r="K692" s="33">
        <f t="shared" si="13"/>
        <v>1.3093</v>
      </c>
    </row>
    <row r="693">
      <c r="A693" s="70">
        <v>44678.0</v>
      </c>
      <c r="B693" s="57">
        <v>1478.0</v>
      </c>
      <c r="C693" s="57" t="s">
        <v>180</v>
      </c>
      <c r="D693" s="57" t="s">
        <v>178</v>
      </c>
      <c r="E693" s="57" t="s">
        <v>179</v>
      </c>
      <c r="F693" s="57">
        <f t="shared" si="12"/>
        <v>1</v>
      </c>
      <c r="G693" s="57">
        <v>0.0</v>
      </c>
      <c r="H693" s="57">
        <v>2.1</v>
      </c>
      <c r="I693" s="57">
        <v>1.1228</v>
      </c>
      <c r="J693" s="33">
        <f t="shared" si="2"/>
        <v>2.1</v>
      </c>
      <c r="K693" s="33">
        <f t="shared" si="13"/>
        <v>1.1228</v>
      </c>
    </row>
    <row r="694">
      <c r="A694" s="70">
        <v>44678.0</v>
      </c>
      <c r="B694" s="57">
        <v>2093.0</v>
      </c>
      <c r="C694" s="57" t="s">
        <v>180</v>
      </c>
      <c r="D694" s="57" t="s">
        <v>178</v>
      </c>
      <c r="E694" s="57" t="s">
        <v>179</v>
      </c>
      <c r="F694" s="57">
        <f t="shared" si="12"/>
        <v>1</v>
      </c>
      <c r="G694" s="57">
        <v>0.0</v>
      </c>
      <c r="H694" s="57">
        <v>0.9382</v>
      </c>
      <c r="I694" s="57">
        <v>0.3337</v>
      </c>
      <c r="J694" s="33">
        <f t="shared" si="2"/>
        <v>0.9382</v>
      </c>
      <c r="K694" s="33">
        <f t="shared" si="13"/>
        <v>0.3337</v>
      </c>
    </row>
    <row r="695">
      <c r="A695" s="70">
        <v>44678.0</v>
      </c>
      <c r="B695" s="57">
        <v>2013.0</v>
      </c>
      <c r="C695" s="57" t="s">
        <v>180</v>
      </c>
      <c r="D695" s="57" t="s">
        <v>181</v>
      </c>
      <c r="E695" s="57" t="s">
        <v>182</v>
      </c>
      <c r="F695" s="57">
        <f t="shared" si="12"/>
        <v>0</v>
      </c>
      <c r="G695" s="57">
        <v>0.0</v>
      </c>
      <c r="H695" s="57">
        <v>5.68</v>
      </c>
      <c r="I695" s="57">
        <v>2.873</v>
      </c>
      <c r="J695" s="33">
        <f t="shared" si="2"/>
        <v>5.68</v>
      </c>
      <c r="K695" s="33">
        <f t="shared" si="13"/>
        <v>2.873</v>
      </c>
    </row>
    <row r="696">
      <c r="A696" s="70">
        <v>44678.0</v>
      </c>
      <c r="B696" s="57">
        <v>2004.0</v>
      </c>
      <c r="C696" s="57" t="s">
        <v>180</v>
      </c>
      <c r="D696" s="57" t="s">
        <v>178</v>
      </c>
      <c r="E696" s="57" t="s">
        <v>179</v>
      </c>
      <c r="F696" s="57">
        <f t="shared" si="12"/>
        <v>1</v>
      </c>
      <c r="G696" s="57">
        <v>0.0</v>
      </c>
      <c r="H696" s="57">
        <v>2.0521</v>
      </c>
      <c r="I696" s="57">
        <v>1.1672</v>
      </c>
      <c r="J696" s="33">
        <f t="shared" si="2"/>
        <v>2.0521</v>
      </c>
      <c r="K696" s="33">
        <f t="shared" si="13"/>
        <v>1.1672</v>
      </c>
    </row>
    <row r="697">
      <c r="A697" s="70">
        <v>44678.0</v>
      </c>
      <c r="B697" s="57">
        <v>2023.0</v>
      </c>
      <c r="C697" s="57" t="s">
        <v>180</v>
      </c>
      <c r="D697" s="57" t="s">
        <v>178</v>
      </c>
      <c r="E697" s="57" t="s">
        <v>179</v>
      </c>
      <c r="F697" s="57">
        <f t="shared" si="12"/>
        <v>1</v>
      </c>
      <c r="G697" s="57">
        <v>0.0</v>
      </c>
      <c r="H697" s="57">
        <v>0.921</v>
      </c>
      <c r="I697" s="57">
        <v>0.547</v>
      </c>
      <c r="J697" s="33">
        <f t="shared" si="2"/>
        <v>0.921</v>
      </c>
      <c r="K697" s="33">
        <f t="shared" si="13"/>
        <v>0.547</v>
      </c>
    </row>
    <row r="698">
      <c r="A698" s="70">
        <v>44678.0</v>
      </c>
      <c r="B698" s="57">
        <v>2086.0</v>
      </c>
      <c r="C698" s="57" t="s">
        <v>180</v>
      </c>
      <c r="D698" s="57" t="s">
        <v>178</v>
      </c>
      <c r="E698" s="57" t="s">
        <v>179</v>
      </c>
      <c r="F698" s="57">
        <f t="shared" si="12"/>
        <v>1</v>
      </c>
      <c r="G698" s="57">
        <v>0.0</v>
      </c>
      <c r="H698" s="57">
        <v>0.9163</v>
      </c>
      <c r="I698" s="57">
        <v>0.495</v>
      </c>
      <c r="J698" s="33">
        <f t="shared" si="2"/>
        <v>0.9163</v>
      </c>
      <c r="K698" s="33">
        <f t="shared" si="13"/>
        <v>0.495</v>
      </c>
    </row>
    <row r="699">
      <c r="A699" s="70">
        <v>44678.0</v>
      </c>
      <c r="B699" s="57">
        <v>2090.0</v>
      </c>
      <c r="C699" s="57" t="s">
        <v>177</v>
      </c>
      <c r="D699" s="57" t="s">
        <v>181</v>
      </c>
      <c r="E699" s="57" t="s">
        <v>182</v>
      </c>
      <c r="F699" s="57">
        <f t="shared" si="12"/>
        <v>0</v>
      </c>
      <c r="G699" s="57">
        <v>25.98</v>
      </c>
      <c r="H699" s="57">
        <v>33.943</v>
      </c>
      <c r="I699" s="57">
        <v>29.5738</v>
      </c>
      <c r="J699" s="33">
        <f t="shared" si="2"/>
        <v>7.963</v>
      </c>
      <c r="K699" s="33">
        <f t="shared" si="13"/>
        <v>3.5938</v>
      </c>
    </row>
    <row r="700">
      <c r="A700" s="70">
        <v>44676.0</v>
      </c>
      <c r="B700" s="57">
        <v>2377.0</v>
      </c>
      <c r="C700" s="57" t="s">
        <v>177</v>
      </c>
      <c r="D700" s="57" t="s">
        <v>181</v>
      </c>
      <c r="E700" s="57" t="s">
        <v>182</v>
      </c>
      <c r="F700" s="57">
        <f t="shared" si="12"/>
        <v>0</v>
      </c>
      <c r="G700" s="57">
        <v>25.518</v>
      </c>
      <c r="H700" s="57">
        <v>27.364</v>
      </c>
      <c r="I700" s="57">
        <v>26.6624</v>
      </c>
      <c r="J700" s="33">
        <f t="shared" si="2"/>
        <v>1.846</v>
      </c>
      <c r="K700" s="33">
        <f t="shared" si="13"/>
        <v>1.1444</v>
      </c>
    </row>
    <row r="701">
      <c r="A701" s="70">
        <v>44676.0</v>
      </c>
      <c r="B701" s="57">
        <v>2346.0</v>
      </c>
      <c r="C701" s="57" t="s">
        <v>177</v>
      </c>
      <c r="D701" s="57" t="s">
        <v>181</v>
      </c>
      <c r="E701" s="57" t="s">
        <v>179</v>
      </c>
      <c r="F701" s="57">
        <f t="shared" si="12"/>
        <v>0</v>
      </c>
      <c r="G701" s="57">
        <v>26.47</v>
      </c>
      <c r="H701" s="57">
        <v>26.763</v>
      </c>
      <c r="I701" s="57">
        <v>26.6227</v>
      </c>
      <c r="J701" s="33">
        <f t="shared" si="2"/>
        <v>0.293</v>
      </c>
      <c r="K701" s="33">
        <f t="shared" si="13"/>
        <v>0.1527</v>
      </c>
    </row>
    <row r="702">
      <c r="A702" s="70">
        <v>44676.0</v>
      </c>
      <c r="B702" s="57">
        <v>2011.0</v>
      </c>
      <c r="C702" s="57" t="s">
        <v>180</v>
      </c>
      <c r="D702" s="57" t="s">
        <v>181</v>
      </c>
      <c r="E702" s="57" t="s">
        <v>182</v>
      </c>
      <c r="F702" s="57">
        <f t="shared" si="12"/>
        <v>0</v>
      </c>
      <c r="G702" s="57">
        <v>26.166</v>
      </c>
      <c r="H702" s="57">
        <v>28.8272</v>
      </c>
      <c r="I702" s="57">
        <v>27.54</v>
      </c>
      <c r="J702" s="33">
        <f t="shared" si="2"/>
        <v>2.6612</v>
      </c>
      <c r="K702" s="33">
        <f t="shared" si="13"/>
        <v>1.374</v>
      </c>
    </row>
    <row r="703">
      <c r="A703" s="70">
        <v>44676.0</v>
      </c>
      <c r="B703" s="57">
        <v>2331.0</v>
      </c>
      <c r="C703" s="57" t="s">
        <v>180</v>
      </c>
      <c r="D703" s="57" t="s">
        <v>178</v>
      </c>
      <c r="E703" s="57" t="s">
        <v>182</v>
      </c>
      <c r="F703" s="57">
        <f t="shared" si="12"/>
        <v>1</v>
      </c>
      <c r="G703" s="57">
        <v>22.974</v>
      </c>
      <c r="H703" s="57">
        <v>32.907</v>
      </c>
      <c r="I703" s="57">
        <v>29.8196</v>
      </c>
      <c r="J703" s="33">
        <f t="shared" si="2"/>
        <v>9.933</v>
      </c>
      <c r="K703" s="33">
        <f t="shared" si="13"/>
        <v>6.8456</v>
      </c>
    </row>
    <row r="704">
      <c r="A704" s="70">
        <v>44676.0</v>
      </c>
      <c r="B704" s="57">
        <v>2377.0</v>
      </c>
      <c r="C704" s="57" t="s">
        <v>180</v>
      </c>
      <c r="D704" s="57" t="s">
        <v>178</v>
      </c>
      <c r="E704" s="57" t="s">
        <v>179</v>
      </c>
      <c r="F704" s="57">
        <f t="shared" si="12"/>
        <v>1</v>
      </c>
      <c r="G704" s="57">
        <v>25.587</v>
      </c>
      <c r="H704" s="57">
        <v>26.7583</v>
      </c>
      <c r="I704" s="57">
        <v>26.4084</v>
      </c>
      <c r="J704" s="33">
        <f t="shared" si="2"/>
        <v>1.1713</v>
      </c>
      <c r="K704" s="33">
        <f t="shared" si="13"/>
        <v>0.8214</v>
      </c>
    </row>
    <row r="705">
      <c r="A705" s="70">
        <v>44676.0</v>
      </c>
      <c r="B705" s="57">
        <v>2372.0</v>
      </c>
      <c r="C705" s="57" t="s">
        <v>177</v>
      </c>
      <c r="D705" s="57" t="s">
        <v>181</v>
      </c>
      <c r="E705" s="57" t="s">
        <v>182</v>
      </c>
      <c r="F705" s="57">
        <f t="shared" si="12"/>
        <v>0</v>
      </c>
      <c r="G705" s="57">
        <v>26.253</v>
      </c>
      <c r="H705" s="57">
        <v>31.468</v>
      </c>
      <c r="I705" s="57">
        <v>29.0609</v>
      </c>
      <c r="J705" s="33">
        <f t="shared" si="2"/>
        <v>5.215</v>
      </c>
      <c r="K705" s="33">
        <f t="shared" si="13"/>
        <v>2.8079</v>
      </c>
    </row>
    <row r="706">
      <c r="A706" s="70">
        <v>44676.0</v>
      </c>
      <c r="B706" s="57">
        <v>2354.0</v>
      </c>
      <c r="C706" s="57" t="s">
        <v>180</v>
      </c>
      <c r="D706" s="57" t="s">
        <v>181</v>
      </c>
      <c r="E706" s="57" t="s">
        <v>182</v>
      </c>
      <c r="F706" s="57">
        <f t="shared" si="12"/>
        <v>0</v>
      </c>
      <c r="G706" s="57">
        <v>25.812</v>
      </c>
      <c r="H706" s="57">
        <v>27.8197</v>
      </c>
      <c r="I706" s="57">
        <v>26.8214</v>
      </c>
      <c r="J706" s="33">
        <f t="shared" si="2"/>
        <v>2.0077</v>
      </c>
      <c r="K706" s="33">
        <f t="shared" si="13"/>
        <v>1.0094</v>
      </c>
    </row>
    <row r="707">
      <c r="A707" s="70">
        <v>44678.0</v>
      </c>
      <c r="B707" s="57">
        <v>2021.0</v>
      </c>
      <c r="C707" s="57" t="s">
        <v>177</v>
      </c>
      <c r="D707" s="57" t="s">
        <v>181</v>
      </c>
      <c r="E707" s="57" t="s">
        <v>182</v>
      </c>
      <c r="F707" s="57">
        <f t="shared" si="12"/>
        <v>0</v>
      </c>
      <c r="G707" s="57">
        <v>25.957</v>
      </c>
      <c r="H707" s="57">
        <v>30.974</v>
      </c>
      <c r="I707" s="57">
        <v>28.4466</v>
      </c>
      <c r="J707" s="33">
        <f t="shared" si="2"/>
        <v>5.017</v>
      </c>
      <c r="K707" s="33">
        <f t="shared" si="13"/>
        <v>2.4896</v>
      </c>
    </row>
    <row r="708">
      <c r="A708" s="70">
        <v>44678.0</v>
      </c>
      <c r="B708" s="57">
        <v>2086.0</v>
      </c>
      <c r="C708" s="57" t="s">
        <v>177</v>
      </c>
      <c r="D708" s="57" t="s">
        <v>181</v>
      </c>
      <c r="E708" s="57" t="s">
        <v>182</v>
      </c>
      <c r="F708" s="57">
        <f t="shared" si="12"/>
        <v>0</v>
      </c>
      <c r="G708" s="57">
        <v>25.713</v>
      </c>
      <c r="H708" s="57">
        <v>31.162</v>
      </c>
      <c r="I708" s="57">
        <v>28.1727</v>
      </c>
      <c r="J708" s="33">
        <f t="shared" si="2"/>
        <v>5.449</v>
      </c>
      <c r="K708" s="33">
        <f t="shared" si="13"/>
        <v>2.4597</v>
      </c>
    </row>
    <row r="709">
      <c r="A709" s="70">
        <v>44678.0</v>
      </c>
      <c r="B709" s="57">
        <v>2021.0</v>
      </c>
      <c r="C709" s="57" t="s">
        <v>177</v>
      </c>
      <c r="D709" s="57" t="s">
        <v>181</v>
      </c>
      <c r="E709" s="57" t="s">
        <v>179</v>
      </c>
      <c r="F709" s="57">
        <f t="shared" si="12"/>
        <v>0</v>
      </c>
      <c r="G709" s="57">
        <v>26.185</v>
      </c>
      <c r="H709" s="57">
        <v>26.219</v>
      </c>
      <c r="I709" s="57">
        <v>26.3752</v>
      </c>
      <c r="J709" s="33">
        <f t="shared" si="2"/>
        <v>0.034</v>
      </c>
      <c r="K709" s="33">
        <f t="shared" si="13"/>
        <v>0.1902</v>
      </c>
    </row>
    <row r="710">
      <c r="A710" s="70">
        <v>44676.0</v>
      </c>
      <c r="B710" s="57">
        <v>2365.0</v>
      </c>
      <c r="C710" s="57" t="s">
        <v>177</v>
      </c>
      <c r="D710" s="57" t="s">
        <v>181</v>
      </c>
      <c r="E710" s="57" t="s">
        <v>182</v>
      </c>
      <c r="F710" s="57">
        <f t="shared" si="12"/>
        <v>0</v>
      </c>
      <c r="G710" s="57">
        <v>26.099</v>
      </c>
      <c r="H710" s="57">
        <v>31.297</v>
      </c>
      <c r="I710" s="57">
        <v>28.5973</v>
      </c>
      <c r="J710" s="33">
        <f t="shared" si="2"/>
        <v>5.198</v>
      </c>
      <c r="K710" s="33">
        <f t="shared" si="13"/>
        <v>2.4983</v>
      </c>
    </row>
    <row r="711">
      <c r="A711" s="70">
        <v>44676.0</v>
      </c>
      <c r="B711" s="57">
        <v>2379.0</v>
      </c>
      <c r="C711" s="57" t="s">
        <v>177</v>
      </c>
      <c r="D711" s="57" t="s">
        <v>178</v>
      </c>
      <c r="E711" s="57" t="s">
        <v>179</v>
      </c>
      <c r="F711" s="57">
        <f t="shared" si="12"/>
        <v>1</v>
      </c>
      <c r="G711" s="57">
        <v>25.6039</v>
      </c>
      <c r="H711" s="57">
        <v>27.062</v>
      </c>
      <c r="I711" s="57">
        <v>26.4595</v>
      </c>
      <c r="J711" s="33">
        <f t="shared" si="2"/>
        <v>1.4581</v>
      </c>
      <c r="K711" s="33">
        <f t="shared" si="13"/>
        <v>0.8556</v>
      </c>
    </row>
    <row r="712">
      <c r="A712" s="70">
        <v>44676.0</v>
      </c>
      <c r="B712" s="57">
        <v>2011.0</v>
      </c>
      <c r="C712" s="57" t="s">
        <v>177</v>
      </c>
      <c r="D712" s="57" t="s">
        <v>181</v>
      </c>
      <c r="E712" s="57" t="s">
        <v>179</v>
      </c>
      <c r="F712" s="57">
        <f t="shared" si="12"/>
        <v>0</v>
      </c>
      <c r="G712" s="57">
        <v>25.2529</v>
      </c>
      <c r="H712" s="57">
        <v>26.418</v>
      </c>
      <c r="I712" s="57">
        <v>25.5752</v>
      </c>
      <c r="J712" s="33">
        <f t="shared" si="2"/>
        <v>1.1651</v>
      </c>
      <c r="K712" s="33">
        <f t="shared" si="13"/>
        <v>0.3223</v>
      </c>
    </row>
    <row r="713">
      <c r="A713" s="70">
        <v>44676.0</v>
      </c>
      <c r="B713" s="57">
        <v>2380.0</v>
      </c>
      <c r="C713" s="57" t="s">
        <v>177</v>
      </c>
      <c r="D713" s="57" t="s">
        <v>178</v>
      </c>
      <c r="E713" s="57" t="s">
        <v>182</v>
      </c>
      <c r="F713" s="57">
        <f t="shared" si="12"/>
        <v>1</v>
      </c>
      <c r="G713" s="57">
        <v>25.619</v>
      </c>
      <c r="H713" s="57">
        <v>30.888</v>
      </c>
      <c r="I713" s="57">
        <v>28.9519</v>
      </c>
      <c r="J713" s="33">
        <f t="shared" si="2"/>
        <v>5.269</v>
      </c>
      <c r="K713" s="33">
        <f t="shared" si="13"/>
        <v>3.3329</v>
      </c>
    </row>
    <row r="714">
      <c r="A714" s="70">
        <v>44676.0</v>
      </c>
      <c r="B714" s="57">
        <v>2383.0</v>
      </c>
      <c r="C714" s="57" t="s">
        <v>177</v>
      </c>
      <c r="D714" s="57" t="s">
        <v>181</v>
      </c>
      <c r="E714" s="57" t="s">
        <v>182</v>
      </c>
      <c r="F714" s="57">
        <f t="shared" si="12"/>
        <v>0</v>
      </c>
      <c r="G714" s="57">
        <v>25.477</v>
      </c>
      <c r="H714" s="57">
        <v>29.54</v>
      </c>
      <c r="I714" s="57">
        <v>27.6829</v>
      </c>
      <c r="J714" s="33">
        <f t="shared" si="2"/>
        <v>4.063</v>
      </c>
      <c r="K714" s="33">
        <f t="shared" si="13"/>
        <v>2.2059</v>
      </c>
    </row>
    <row r="715">
      <c r="A715" s="70">
        <v>44678.0</v>
      </c>
      <c r="B715" s="57">
        <v>2093.0</v>
      </c>
      <c r="C715" s="57" t="s">
        <v>177</v>
      </c>
      <c r="D715" s="57" t="s">
        <v>178</v>
      </c>
      <c r="E715" s="57" t="s">
        <v>182</v>
      </c>
      <c r="F715" s="57">
        <f t="shared" si="12"/>
        <v>1</v>
      </c>
      <c r="G715" s="57">
        <v>25.88</v>
      </c>
      <c r="H715" s="57">
        <v>30.336</v>
      </c>
      <c r="I715" s="57">
        <v>28.467</v>
      </c>
      <c r="J715" s="33">
        <f t="shared" si="2"/>
        <v>4.456</v>
      </c>
      <c r="K715" s="33">
        <f t="shared" si="13"/>
        <v>2.587</v>
      </c>
    </row>
    <row r="716">
      <c r="A716" s="70">
        <v>44676.0</v>
      </c>
      <c r="B716" s="57">
        <v>2381.0</v>
      </c>
      <c r="C716" s="57" t="s">
        <v>180</v>
      </c>
      <c r="D716" s="57" t="s">
        <v>181</v>
      </c>
      <c r="E716" s="57" t="s">
        <v>182</v>
      </c>
      <c r="F716" s="57">
        <f t="shared" si="12"/>
        <v>0</v>
      </c>
      <c r="G716" s="57">
        <v>26.528</v>
      </c>
      <c r="H716" s="57">
        <v>29.7242</v>
      </c>
      <c r="I716" s="57">
        <v>28.171</v>
      </c>
      <c r="J716" s="33">
        <f t="shared" si="2"/>
        <v>3.1962</v>
      </c>
      <c r="K716" s="33">
        <f t="shared" si="13"/>
        <v>1.643</v>
      </c>
    </row>
    <row r="717">
      <c r="A717" s="70">
        <v>44676.0</v>
      </c>
      <c r="B717" s="57">
        <v>2010.0</v>
      </c>
      <c r="C717" s="57" t="s">
        <v>177</v>
      </c>
      <c r="D717" s="57" t="s">
        <v>181</v>
      </c>
      <c r="E717" s="57" t="s">
        <v>179</v>
      </c>
      <c r="F717" s="57">
        <f t="shared" si="12"/>
        <v>0</v>
      </c>
      <c r="G717" s="57">
        <v>25.67</v>
      </c>
      <c r="H717" s="57">
        <v>25.955</v>
      </c>
      <c r="I717" s="57">
        <v>25.995</v>
      </c>
      <c r="J717" s="33">
        <f t="shared" si="2"/>
        <v>0.285</v>
      </c>
      <c r="K717" s="33">
        <f t="shared" si="13"/>
        <v>0.325</v>
      </c>
    </row>
    <row r="718">
      <c r="A718" s="70">
        <v>44676.0</v>
      </c>
      <c r="B718" s="57">
        <v>2354.0</v>
      </c>
      <c r="C718" s="57" t="s">
        <v>180</v>
      </c>
      <c r="D718" s="57" t="s">
        <v>178</v>
      </c>
      <c r="E718" s="57" t="s">
        <v>182</v>
      </c>
      <c r="F718" s="57">
        <f t="shared" si="12"/>
        <v>1</v>
      </c>
      <c r="G718" s="57">
        <v>26.381</v>
      </c>
      <c r="H718" s="57">
        <v>31.1728</v>
      </c>
      <c r="I718" s="57">
        <v>29.1486</v>
      </c>
      <c r="J718" s="33">
        <f t="shared" si="2"/>
        <v>4.7918</v>
      </c>
      <c r="K718" s="33">
        <f t="shared" si="13"/>
        <v>2.7676</v>
      </c>
    </row>
    <row r="719">
      <c r="A719" s="70">
        <v>44676.0</v>
      </c>
      <c r="B719" s="57">
        <v>2382.0</v>
      </c>
      <c r="C719" s="57" t="s">
        <v>180</v>
      </c>
      <c r="D719" s="57" t="s">
        <v>181</v>
      </c>
      <c r="E719" s="57" t="s">
        <v>179</v>
      </c>
      <c r="F719" s="57">
        <f t="shared" si="12"/>
        <v>0</v>
      </c>
      <c r="G719" s="57">
        <v>25.372</v>
      </c>
      <c r="H719" s="57">
        <v>26.3959</v>
      </c>
      <c r="I719" s="57">
        <v>25.7379</v>
      </c>
      <c r="J719" s="33">
        <f t="shared" si="2"/>
        <v>1.0239</v>
      </c>
      <c r="K719" s="33">
        <f t="shared" si="13"/>
        <v>0.3659</v>
      </c>
    </row>
    <row r="720">
      <c r="A720" s="70">
        <v>44676.0</v>
      </c>
      <c r="B720" s="57">
        <v>2127.0</v>
      </c>
      <c r="C720" s="57" t="s">
        <v>177</v>
      </c>
      <c r="D720" s="57" t="s">
        <v>181</v>
      </c>
      <c r="E720" s="57" t="s">
        <v>182</v>
      </c>
      <c r="F720" s="57">
        <f t="shared" si="12"/>
        <v>0</v>
      </c>
      <c r="G720" s="57">
        <v>26.181</v>
      </c>
      <c r="H720" s="57">
        <v>30.264</v>
      </c>
      <c r="I720" s="57">
        <v>28.3745</v>
      </c>
      <c r="J720" s="33">
        <f t="shared" si="2"/>
        <v>4.083</v>
      </c>
      <c r="K720" s="33">
        <f t="shared" si="13"/>
        <v>2.1935</v>
      </c>
    </row>
    <row r="721">
      <c r="A721" s="70">
        <v>44678.0</v>
      </c>
      <c r="B721" s="57">
        <v>2023.0</v>
      </c>
      <c r="C721" s="57" t="s">
        <v>177</v>
      </c>
      <c r="D721" s="57" t="s">
        <v>181</v>
      </c>
      <c r="E721" s="57" t="s">
        <v>182</v>
      </c>
      <c r="F721" s="57">
        <f t="shared" si="12"/>
        <v>0</v>
      </c>
      <c r="G721" s="57">
        <v>26.106</v>
      </c>
      <c r="H721" s="57">
        <v>30.086</v>
      </c>
      <c r="I721" s="57">
        <v>28.1609</v>
      </c>
      <c r="J721" s="33">
        <f t="shared" si="2"/>
        <v>3.98</v>
      </c>
      <c r="K721" s="33">
        <f t="shared" si="13"/>
        <v>2.0549</v>
      </c>
    </row>
    <row r="722">
      <c r="A722" s="70">
        <v>44676.0</v>
      </c>
      <c r="B722" s="57">
        <v>2352.0</v>
      </c>
      <c r="C722" s="57" t="s">
        <v>180</v>
      </c>
      <c r="D722" s="57" t="s">
        <v>181</v>
      </c>
      <c r="E722" s="57" t="s">
        <v>179</v>
      </c>
      <c r="F722" s="57">
        <f t="shared" si="12"/>
        <v>0</v>
      </c>
      <c r="G722" s="57">
        <v>15.532</v>
      </c>
      <c r="H722" s="57">
        <v>16.1569</v>
      </c>
      <c r="I722" s="57">
        <v>15.656</v>
      </c>
      <c r="J722" s="33">
        <f t="shared" si="2"/>
        <v>0.6249</v>
      </c>
      <c r="K722" s="33">
        <f t="shared" si="13"/>
        <v>0.124</v>
      </c>
    </row>
    <row r="723">
      <c r="A723" s="70">
        <v>44676.0</v>
      </c>
      <c r="B723" s="57">
        <v>2367.0</v>
      </c>
      <c r="C723" s="57" t="s">
        <v>180</v>
      </c>
      <c r="D723" s="57" t="s">
        <v>181</v>
      </c>
      <c r="E723" s="57" t="s">
        <v>182</v>
      </c>
      <c r="F723" s="57">
        <f t="shared" si="12"/>
        <v>0</v>
      </c>
      <c r="G723" s="57">
        <v>26.458</v>
      </c>
      <c r="H723" s="57">
        <v>28.2077</v>
      </c>
      <c r="I723" s="57">
        <v>27.3676</v>
      </c>
      <c r="J723" s="33">
        <f t="shared" si="2"/>
        <v>1.7497</v>
      </c>
      <c r="K723" s="33">
        <f t="shared" si="13"/>
        <v>0.9096</v>
      </c>
    </row>
    <row r="724">
      <c r="A724" s="70">
        <v>44676.0</v>
      </c>
      <c r="B724" s="57">
        <v>2379.0</v>
      </c>
      <c r="C724" s="57" t="s">
        <v>177</v>
      </c>
      <c r="D724" s="57" t="s">
        <v>181</v>
      </c>
      <c r="E724" s="57" t="s">
        <v>182</v>
      </c>
      <c r="F724" s="57">
        <f t="shared" si="12"/>
        <v>0</v>
      </c>
      <c r="G724" s="57">
        <v>26.287</v>
      </c>
      <c r="H724" s="57">
        <v>31.908</v>
      </c>
      <c r="I724" s="57">
        <v>29.3536</v>
      </c>
      <c r="J724" s="33">
        <f t="shared" si="2"/>
        <v>5.621</v>
      </c>
      <c r="K724" s="33">
        <f t="shared" si="13"/>
        <v>3.0666</v>
      </c>
    </row>
    <row r="725">
      <c r="A725" s="70">
        <v>44676.0</v>
      </c>
      <c r="B725" s="57">
        <v>2375.0</v>
      </c>
      <c r="C725" s="57" t="s">
        <v>180</v>
      </c>
      <c r="D725" s="57" t="s">
        <v>181</v>
      </c>
      <c r="E725" s="57" t="s">
        <v>182</v>
      </c>
      <c r="F725" s="57">
        <f t="shared" si="12"/>
        <v>0</v>
      </c>
      <c r="G725" s="57">
        <v>25.367</v>
      </c>
      <c r="H725" s="57">
        <v>29.2917</v>
      </c>
      <c r="I725" s="57">
        <v>27.129</v>
      </c>
      <c r="J725" s="33">
        <f t="shared" si="2"/>
        <v>3.9247</v>
      </c>
      <c r="K725" s="33">
        <f t="shared" si="13"/>
        <v>1.762</v>
      </c>
    </row>
    <row r="726">
      <c r="A726" s="70">
        <v>44676.0</v>
      </c>
      <c r="B726" s="57">
        <v>2345.0</v>
      </c>
      <c r="C726" s="57" t="s">
        <v>180</v>
      </c>
      <c r="D726" s="57" t="s">
        <v>178</v>
      </c>
      <c r="E726" s="57" t="s">
        <v>182</v>
      </c>
      <c r="F726" s="57">
        <f t="shared" si="12"/>
        <v>1</v>
      </c>
      <c r="G726" s="57">
        <v>25.999</v>
      </c>
      <c r="H726" s="57">
        <v>31.4128</v>
      </c>
      <c r="I726" s="57">
        <v>29.2922</v>
      </c>
      <c r="J726" s="33">
        <f t="shared" si="2"/>
        <v>5.4138</v>
      </c>
      <c r="K726" s="33">
        <f t="shared" si="13"/>
        <v>3.2932</v>
      </c>
    </row>
    <row r="727">
      <c r="A727" s="70">
        <v>44676.0</v>
      </c>
      <c r="B727" s="57">
        <v>2352.0</v>
      </c>
      <c r="C727" s="57" t="s">
        <v>177</v>
      </c>
      <c r="D727" s="57" t="s">
        <v>178</v>
      </c>
      <c r="E727" s="57" t="s">
        <v>182</v>
      </c>
      <c r="F727" s="57">
        <f t="shared" si="12"/>
        <v>1</v>
      </c>
      <c r="G727" s="57">
        <v>26.068</v>
      </c>
      <c r="H727" s="57">
        <v>32.029</v>
      </c>
      <c r="I727" s="57">
        <v>29.915</v>
      </c>
      <c r="J727" s="33">
        <f t="shared" si="2"/>
        <v>5.961</v>
      </c>
      <c r="K727" s="33">
        <f t="shared" si="13"/>
        <v>3.847</v>
      </c>
    </row>
    <row r="728">
      <c r="A728" s="70">
        <v>44678.0</v>
      </c>
      <c r="B728" s="57">
        <v>2025.0</v>
      </c>
      <c r="C728" s="57" t="s">
        <v>177</v>
      </c>
      <c r="D728" s="57" t="s">
        <v>178</v>
      </c>
      <c r="E728" s="57" t="s">
        <v>179</v>
      </c>
      <c r="F728" s="57">
        <f t="shared" si="12"/>
        <v>1</v>
      </c>
      <c r="G728" s="57">
        <v>25.692</v>
      </c>
      <c r="H728" s="57">
        <v>26.973</v>
      </c>
      <c r="I728" s="57">
        <v>26.3862</v>
      </c>
      <c r="J728" s="33">
        <f t="shared" si="2"/>
        <v>1.281</v>
      </c>
      <c r="K728" s="33">
        <f t="shared" si="13"/>
        <v>0.6942</v>
      </c>
    </row>
    <row r="729">
      <c r="A729" s="70">
        <v>44676.0</v>
      </c>
      <c r="B729" s="57">
        <v>2301.0</v>
      </c>
      <c r="C729" s="57" t="s">
        <v>180</v>
      </c>
      <c r="D729" s="57" t="s">
        <v>178</v>
      </c>
      <c r="E729" s="57" t="s">
        <v>179</v>
      </c>
      <c r="F729" s="57">
        <f t="shared" si="12"/>
        <v>1</v>
      </c>
      <c r="G729" s="57">
        <v>26.0176</v>
      </c>
      <c r="H729" s="57">
        <v>26.5374</v>
      </c>
      <c r="I729" s="57">
        <v>26.278</v>
      </c>
      <c r="J729" s="33">
        <f t="shared" si="2"/>
        <v>0.5198</v>
      </c>
      <c r="K729" s="33">
        <f t="shared" si="13"/>
        <v>0.2604</v>
      </c>
    </row>
    <row r="730">
      <c r="A730" s="70">
        <v>44678.0</v>
      </c>
      <c r="B730" s="57">
        <v>2093.0</v>
      </c>
      <c r="C730" s="57" t="s">
        <v>177</v>
      </c>
      <c r="D730" s="57" t="s">
        <v>181</v>
      </c>
      <c r="E730" s="57" t="s">
        <v>182</v>
      </c>
      <c r="F730" s="57">
        <f t="shared" si="12"/>
        <v>0</v>
      </c>
      <c r="G730" s="57">
        <v>25.748</v>
      </c>
      <c r="H730" s="57">
        <v>31.251</v>
      </c>
      <c r="I730" s="57">
        <v>27.5873</v>
      </c>
      <c r="J730" s="33">
        <f t="shared" si="2"/>
        <v>5.503</v>
      </c>
      <c r="K730" s="33">
        <f t="shared" si="13"/>
        <v>1.8393</v>
      </c>
    </row>
    <row r="731">
      <c r="A731" s="70">
        <v>44676.0</v>
      </c>
      <c r="B731" s="57">
        <v>2370.0</v>
      </c>
      <c r="C731" s="57" t="s">
        <v>180</v>
      </c>
      <c r="D731" s="57" t="s">
        <v>181</v>
      </c>
      <c r="E731" s="57" t="s">
        <v>182</v>
      </c>
      <c r="F731" s="57">
        <f t="shared" si="12"/>
        <v>0</v>
      </c>
      <c r="G731" s="57">
        <v>26.5395</v>
      </c>
      <c r="H731" s="57">
        <v>29.4084</v>
      </c>
      <c r="I731" s="57">
        <v>28.137</v>
      </c>
      <c r="J731" s="33">
        <f t="shared" si="2"/>
        <v>2.8689</v>
      </c>
      <c r="K731" s="33">
        <f t="shared" si="13"/>
        <v>1.5975</v>
      </c>
    </row>
    <row r="732">
      <c r="A732" s="70">
        <v>44676.0</v>
      </c>
      <c r="B732" s="57">
        <v>2352.0</v>
      </c>
      <c r="C732" s="57" t="s">
        <v>180</v>
      </c>
      <c r="D732" s="57" t="s">
        <v>178</v>
      </c>
      <c r="E732" s="57" t="s">
        <v>179</v>
      </c>
      <c r="F732" s="57">
        <f t="shared" si="12"/>
        <v>1</v>
      </c>
      <c r="G732" s="57">
        <v>26.1817</v>
      </c>
      <c r="H732" s="57">
        <v>26.6275</v>
      </c>
      <c r="I732" s="57">
        <v>26.3952</v>
      </c>
      <c r="J732" s="33">
        <f t="shared" si="2"/>
        <v>0.4458</v>
      </c>
      <c r="K732" s="33">
        <f t="shared" si="13"/>
        <v>0.2135</v>
      </c>
    </row>
    <row r="733">
      <c r="A733" s="70">
        <v>44676.0</v>
      </c>
      <c r="B733" s="57">
        <v>2380.0</v>
      </c>
      <c r="C733" s="57" t="s">
        <v>177</v>
      </c>
      <c r="D733" s="57" t="s">
        <v>178</v>
      </c>
      <c r="E733" s="57" t="s">
        <v>179</v>
      </c>
      <c r="F733" s="57">
        <f t="shared" si="12"/>
        <v>1</v>
      </c>
      <c r="G733" s="57">
        <v>26.262</v>
      </c>
      <c r="H733" s="57">
        <v>28.32</v>
      </c>
      <c r="I733" s="57">
        <v>27.659</v>
      </c>
      <c r="J733" s="33">
        <f t="shared" si="2"/>
        <v>2.058</v>
      </c>
      <c r="K733" s="33">
        <f t="shared" si="13"/>
        <v>1.397</v>
      </c>
    </row>
    <row r="734">
      <c r="A734" s="70">
        <v>44678.0</v>
      </c>
      <c r="B734" s="57">
        <v>2027.0</v>
      </c>
      <c r="C734" s="57" t="s">
        <v>177</v>
      </c>
      <c r="D734" s="57" t="s">
        <v>178</v>
      </c>
      <c r="E734" s="57" t="s">
        <v>179</v>
      </c>
      <c r="F734" s="57">
        <f t="shared" si="12"/>
        <v>1</v>
      </c>
      <c r="G734" s="57">
        <v>25.689</v>
      </c>
      <c r="H734" s="57">
        <v>26.796</v>
      </c>
      <c r="I734" s="57">
        <v>26.4963</v>
      </c>
      <c r="J734" s="33">
        <f t="shared" si="2"/>
        <v>1.107</v>
      </c>
      <c r="K734" s="33">
        <f t="shared" si="13"/>
        <v>0.8073</v>
      </c>
    </row>
    <row r="735">
      <c r="A735" s="70">
        <v>44676.0</v>
      </c>
      <c r="B735" s="57">
        <v>2354.0</v>
      </c>
      <c r="C735" s="57" t="s">
        <v>177</v>
      </c>
      <c r="D735" s="57" t="s">
        <v>181</v>
      </c>
      <c r="E735" s="57" t="s">
        <v>179</v>
      </c>
      <c r="F735" s="57">
        <f t="shared" si="12"/>
        <v>0</v>
      </c>
      <c r="G735" s="57">
        <v>26.065</v>
      </c>
      <c r="H735" s="57">
        <v>26.143</v>
      </c>
      <c r="I735" s="57">
        <v>26.1034</v>
      </c>
      <c r="J735" s="33">
        <f t="shared" si="2"/>
        <v>0.078</v>
      </c>
      <c r="K735" s="33">
        <f t="shared" si="13"/>
        <v>0.0384</v>
      </c>
    </row>
    <row r="736">
      <c r="A736" s="70">
        <v>44676.0</v>
      </c>
      <c r="B736" s="57">
        <v>2379.0</v>
      </c>
      <c r="C736" s="57" t="s">
        <v>180</v>
      </c>
      <c r="D736" s="57" t="s">
        <v>181</v>
      </c>
      <c r="E736" s="57" t="s">
        <v>182</v>
      </c>
      <c r="F736" s="57">
        <f t="shared" si="12"/>
        <v>0</v>
      </c>
      <c r="G736" s="57">
        <v>25.836</v>
      </c>
      <c r="H736" s="57">
        <v>28.0322</v>
      </c>
      <c r="I736" s="57">
        <v>27.1756</v>
      </c>
      <c r="J736" s="33">
        <f t="shared" si="2"/>
        <v>2.1962</v>
      </c>
      <c r="K736" s="33">
        <f t="shared" si="13"/>
        <v>1.3396</v>
      </c>
    </row>
    <row r="737">
      <c r="A737" s="70">
        <v>44676.0</v>
      </c>
      <c r="B737" s="57">
        <v>2377.0</v>
      </c>
      <c r="C737" s="57" t="s">
        <v>177</v>
      </c>
      <c r="D737" s="57" t="s">
        <v>178</v>
      </c>
      <c r="E737" s="57" t="s">
        <v>179</v>
      </c>
      <c r="F737" s="57">
        <f t="shared" si="12"/>
        <v>1</v>
      </c>
      <c r="G737" s="57">
        <v>25.5739</v>
      </c>
      <c r="H737" s="57">
        <v>28.315</v>
      </c>
      <c r="I737" s="57">
        <v>27.3001</v>
      </c>
      <c r="J737" s="33">
        <f t="shared" si="2"/>
        <v>2.7411</v>
      </c>
      <c r="K737" s="33">
        <f t="shared" si="13"/>
        <v>1.7262</v>
      </c>
    </row>
    <row r="738">
      <c r="A738" s="70">
        <v>44678.0</v>
      </c>
      <c r="B738" s="57">
        <v>2012.0</v>
      </c>
      <c r="C738" s="57" t="s">
        <v>177</v>
      </c>
      <c r="D738" s="57" t="s">
        <v>178</v>
      </c>
      <c r="E738" s="57" t="s">
        <v>179</v>
      </c>
      <c r="F738" s="57">
        <f t="shared" si="12"/>
        <v>1</v>
      </c>
      <c r="G738" s="57">
        <v>26.27</v>
      </c>
      <c r="H738" s="57">
        <v>27.127</v>
      </c>
      <c r="I738" s="57">
        <v>26.9124</v>
      </c>
      <c r="J738" s="33">
        <f t="shared" si="2"/>
        <v>0.857</v>
      </c>
      <c r="K738" s="33">
        <f t="shared" si="13"/>
        <v>0.6424</v>
      </c>
    </row>
    <row r="739">
      <c r="A739" s="70">
        <v>44676.0</v>
      </c>
      <c r="B739" s="57">
        <v>2360.0</v>
      </c>
      <c r="C739" s="57" t="s">
        <v>180</v>
      </c>
      <c r="D739" s="57" t="s">
        <v>181</v>
      </c>
      <c r="E739" s="57" t="s">
        <v>179</v>
      </c>
      <c r="F739" s="57">
        <f t="shared" si="12"/>
        <v>0</v>
      </c>
      <c r="G739" s="57">
        <v>26.452</v>
      </c>
      <c r="H739" s="57">
        <v>26.285</v>
      </c>
      <c r="I739" s="57">
        <v>26.5603</v>
      </c>
      <c r="J739" s="33">
        <f t="shared" si="2"/>
        <v>-0.167</v>
      </c>
      <c r="K739" s="33">
        <f t="shared" si="13"/>
        <v>0.1083</v>
      </c>
    </row>
    <row r="740">
      <c r="A740" s="70">
        <v>44676.0</v>
      </c>
      <c r="B740" s="57">
        <v>2009.0</v>
      </c>
      <c r="C740" s="57" t="s">
        <v>180</v>
      </c>
      <c r="D740" s="57" t="s">
        <v>181</v>
      </c>
      <c r="E740" s="57" t="s">
        <v>179</v>
      </c>
      <c r="F740" s="57">
        <f t="shared" si="12"/>
        <v>0</v>
      </c>
      <c r="G740" s="57">
        <v>25.7749</v>
      </c>
      <c r="H740" s="57">
        <v>26.2291</v>
      </c>
      <c r="I740" s="57">
        <v>25.961</v>
      </c>
      <c r="J740" s="33">
        <f t="shared" si="2"/>
        <v>0.4542</v>
      </c>
      <c r="K740" s="33">
        <f t="shared" si="13"/>
        <v>0.1861</v>
      </c>
    </row>
    <row r="741">
      <c r="A741" s="70">
        <v>44676.0</v>
      </c>
      <c r="B741" s="57">
        <v>2369.0</v>
      </c>
      <c r="C741" s="57" t="s">
        <v>177</v>
      </c>
      <c r="D741" s="57" t="s">
        <v>181</v>
      </c>
      <c r="E741" s="57" t="s">
        <v>182</v>
      </c>
      <c r="F741" s="57">
        <f t="shared" si="12"/>
        <v>0</v>
      </c>
      <c r="G741" s="57">
        <v>26.2544</v>
      </c>
      <c r="H741" s="57">
        <v>32.339</v>
      </c>
      <c r="I741" s="57">
        <v>29.4978</v>
      </c>
      <c r="J741" s="33">
        <f t="shared" si="2"/>
        <v>6.0846</v>
      </c>
      <c r="K741" s="33">
        <f t="shared" si="13"/>
        <v>3.2434</v>
      </c>
    </row>
    <row r="742">
      <c r="A742" s="70">
        <v>44676.0</v>
      </c>
      <c r="B742" s="57">
        <v>2369.0</v>
      </c>
      <c r="C742" s="57" t="s">
        <v>180</v>
      </c>
      <c r="D742" s="57" t="s">
        <v>181</v>
      </c>
      <c r="E742" s="57" t="s">
        <v>182</v>
      </c>
      <c r="F742" s="57">
        <f t="shared" si="12"/>
        <v>0</v>
      </c>
      <c r="G742" s="57">
        <v>26.258</v>
      </c>
      <c r="H742" s="57">
        <v>28.3789</v>
      </c>
      <c r="I742" s="57">
        <v>27.3291</v>
      </c>
      <c r="J742" s="33">
        <f t="shared" si="2"/>
        <v>2.1209</v>
      </c>
      <c r="K742" s="33">
        <f t="shared" si="13"/>
        <v>1.0711</v>
      </c>
    </row>
    <row r="743">
      <c r="A743" s="70">
        <v>44676.0</v>
      </c>
      <c r="B743" s="57">
        <v>2367.0</v>
      </c>
      <c r="C743" s="57" t="s">
        <v>177</v>
      </c>
      <c r="D743" s="57" t="s">
        <v>181</v>
      </c>
      <c r="E743" s="57" t="s">
        <v>179</v>
      </c>
      <c r="F743" s="57">
        <f t="shared" si="12"/>
        <v>0</v>
      </c>
      <c r="G743" s="57">
        <v>15.278</v>
      </c>
      <c r="H743" s="57">
        <v>15.37</v>
      </c>
      <c r="I743" s="57">
        <v>15.522</v>
      </c>
      <c r="J743" s="33">
        <f t="shared" si="2"/>
        <v>0.092</v>
      </c>
      <c r="K743" s="33">
        <f t="shared" si="13"/>
        <v>0.244</v>
      </c>
    </row>
    <row r="744">
      <c r="A744" s="70">
        <v>44676.0</v>
      </c>
      <c r="B744" s="57">
        <v>2011.0</v>
      </c>
      <c r="C744" s="57" t="s">
        <v>180</v>
      </c>
      <c r="D744" s="57" t="s">
        <v>181</v>
      </c>
      <c r="E744" s="57" t="s">
        <v>179</v>
      </c>
      <c r="F744" s="57">
        <f t="shared" si="12"/>
        <v>0</v>
      </c>
      <c r="G744" s="57">
        <v>25.498</v>
      </c>
      <c r="H744" s="57">
        <v>26.1024</v>
      </c>
      <c r="I744" s="57">
        <v>25.6186</v>
      </c>
      <c r="J744" s="33">
        <f t="shared" si="2"/>
        <v>0.6044</v>
      </c>
      <c r="K744" s="33">
        <f t="shared" si="13"/>
        <v>0.1206</v>
      </c>
    </row>
    <row r="745">
      <c r="A745" s="70">
        <v>44676.0</v>
      </c>
      <c r="B745" s="57">
        <v>2379.0</v>
      </c>
      <c r="C745" s="57" t="s">
        <v>177</v>
      </c>
      <c r="D745" s="57" t="s">
        <v>181</v>
      </c>
      <c r="E745" s="57" t="s">
        <v>179</v>
      </c>
      <c r="F745" s="57">
        <f t="shared" si="12"/>
        <v>0</v>
      </c>
      <c r="G745" s="57">
        <v>25.3806</v>
      </c>
      <c r="H745" s="57">
        <v>25.697</v>
      </c>
      <c r="I745" s="57">
        <v>25.5124</v>
      </c>
      <c r="J745" s="33">
        <f t="shared" si="2"/>
        <v>0.3164</v>
      </c>
      <c r="K745" s="33">
        <f t="shared" si="13"/>
        <v>0.1318</v>
      </c>
    </row>
    <row r="746">
      <c r="A746" s="70">
        <v>44678.0</v>
      </c>
      <c r="B746" s="57">
        <v>2012.0</v>
      </c>
      <c r="C746" s="57" t="s">
        <v>177</v>
      </c>
      <c r="D746" s="57" t="s">
        <v>181</v>
      </c>
      <c r="E746" s="57" t="s">
        <v>179</v>
      </c>
      <c r="F746" s="57">
        <f t="shared" si="12"/>
        <v>0</v>
      </c>
      <c r="G746" s="57">
        <v>25.14</v>
      </c>
      <c r="H746" s="57">
        <v>26.574</v>
      </c>
      <c r="I746" s="57">
        <v>26.3261</v>
      </c>
      <c r="J746" s="33">
        <f t="shared" si="2"/>
        <v>1.434</v>
      </c>
      <c r="K746" s="33">
        <f t="shared" si="13"/>
        <v>1.1861</v>
      </c>
    </row>
    <row r="747">
      <c r="A747" s="70">
        <v>44676.0</v>
      </c>
      <c r="B747" s="57">
        <v>2343.0</v>
      </c>
      <c r="C747" s="57" t="s">
        <v>180</v>
      </c>
      <c r="D747" s="57" t="s">
        <v>181</v>
      </c>
      <c r="E747" s="57" t="s">
        <v>179</v>
      </c>
      <c r="F747" s="57">
        <f t="shared" si="12"/>
        <v>0</v>
      </c>
      <c r="G747" s="57">
        <v>26.5828</v>
      </c>
      <c r="H747" s="57">
        <v>26.4875</v>
      </c>
      <c r="I747" s="57">
        <v>26.6789</v>
      </c>
      <c r="J747" s="33">
        <f t="shared" si="2"/>
        <v>-0.0953</v>
      </c>
      <c r="K747" s="33">
        <f t="shared" si="13"/>
        <v>0.0961</v>
      </c>
    </row>
    <row r="748">
      <c r="A748" s="70">
        <v>44676.0</v>
      </c>
      <c r="B748" s="57">
        <v>2347.0</v>
      </c>
      <c r="C748" s="57" t="s">
        <v>180</v>
      </c>
      <c r="D748" s="57" t="s">
        <v>181</v>
      </c>
      <c r="E748" s="57" t="s">
        <v>182</v>
      </c>
      <c r="F748" s="57">
        <f t="shared" si="12"/>
        <v>0</v>
      </c>
      <c r="G748" s="57">
        <v>25.3743</v>
      </c>
      <c r="H748" s="57">
        <v>29.0007</v>
      </c>
      <c r="I748" s="57">
        <v>26.9231</v>
      </c>
      <c r="J748" s="33">
        <f t="shared" si="2"/>
        <v>3.6264</v>
      </c>
      <c r="K748" s="33">
        <f t="shared" si="13"/>
        <v>1.5488</v>
      </c>
    </row>
    <row r="749">
      <c r="A749" s="70">
        <v>44678.0</v>
      </c>
      <c r="B749" s="57">
        <v>2091.0</v>
      </c>
      <c r="C749" s="57" t="s">
        <v>177</v>
      </c>
      <c r="D749" s="57" t="s">
        <v>181</v>
      </c>
      <c r="E749" s="57" t="s">
        <v>179</v>
      </c>
      <c r="F749" s="57">
        <f t="shared" si="12"/>
        <v>0</v>
      </c>
      <c r="G749" s="57">
        <v>26.435</v>
      </c>
      <c r="H749" s="57">
        <v>26.845</v>
      </c>
      <c r="I749" s="57">
        <v>26.5917</v>
      </c>
      <c r="J749" s="33">
        <f t="shared" si="2"/>
        <v>0.41</v>
      </c>
      <c r="K749" s="33">
        <f t="shared" si="13"/>
        <v>0.1567</v>
      </c>
    </row>
    <row r="750">
      <c r="A750" s="70">
        <v>44678.0</v>
      </c>
      <c r="B750" s="57">
        <v>2022.0</v>
      </c>
      <c r="C750" s="57" t="s">
        <v>177</v>
      </c>
      <c r="D750" s="57" t="s">
        <v>178</v>
      </c>
      <c r="E750" s="57" t="s">
        <v>179</v>
      </c>
      <c r="F750" s="57">
        <f t="shared" si="12"/>
        <v>1</v>
      </c>
      <c r="G750" s="57">
        <v>14.9128</v>
      </c>
      <c r="H750" s="57">
        <v>16.381</v>
      </c>
      <c r="I750" s="57">
        <v>15.489</v>
      </c>
      <c r="J750" s="33">
        <f t="shared" si="2"/>
        <v>1.4682</v>
      </c>
      <c r="K750" s="33">
        <f t="shared" si="13"/>
        <v>0.5762</v>
      </c>
    </row>
    <row r="751">
      <c r="A751" s="70">
        <v>44676.0</v>
      </c>
      <c r="B751" s="57">
        <v>2354.0</v>
      </c>
      <c r="C751" s="57" t="s">
        <v>180</v>
      </c>
      <c r="D751" s="57" t="s">
        <v>181</v>
      </c>
      <c r="E751" s="57" t="s">
        <v>179</v>
      </c>
      <c r="F751" s="57">
        <f t="shared" si="12"/>
        <v>0</v>
      </c>
      <c r="G751" s="57">
        <v>26.1842</v>
      </c>
      <c r="H751" s="57">
        <v>26.4155</v>
      </c>
      <c r="I751" s="57">
        <v>26.2899</v>
      </c>
      <c r="J751" s="33">
        <f t="shared" si="2"/>
        <v>0.2313</v>
      </c>
      <c r="K751" s="33">
        <f t="shared" si="13"/>
        <v>0.1057</v>
      </c>
    </row>
    <row r="752">
      <c r="A752" s="70">
        <v>44678.0</v>
      </c>
      <c r="B752" s="57">
        <v>2026.0</v>
      </c>
      <c r="C752" s="57" t="s">
        <v>177</v>
      </c>
      <c r="D752" s="57" t="s">
        <v>181</v>
      </c>
      <c r="E752" s="57" t="s">
        <v>182</v>
      </c>
      <c r="F752" s="57">
        <f t="shared" si="12"/>
        <v>0</v>
      </c>
      <c r="G752" s="57">
        <v>26.2037</v>
      </c>
      <c r="H752" s="57">
        <v>32.308</v>
      </c>
      <c r="I752" s="57">
        <v>29.3333</v>
      </c>
      <c r="J752" s="33">
        <f t="shared" si="2"/>
        <v>6.1043</v>
      </c>
      <c r="K752" s="33">
        <f t="shared" si="13"/>
        <v>3.1296</v>
      </c>
    </row>
    <row r="753">
      <c r="A753" s="70">
        <v>44676.0</v>
      </c>
      <c r="B753" s="57">
        <v>2352.0</v>
      </c>
      <c r="C753" s="57" t="s">
        <v>180</v>
      </c>
      <c r="D753" s="57" t="s">
        <v>178</v>
      </c>
      <c r="E753" s="57" t="s">
        <v>182</v>
      </c>
      <c r="F753" s="57">
        <f t="shared" si="12"/>
        <v>1</v>
      </c>
      <c r="G753" s="57">
        <v>25.6375</v>
      </c>
      <c r="H753" s="57">
        <v>27.9826</v>
      </c>
      <c r="I753" s="57">
        <v>26.9772</v>
      </c>
      <c r="J753" s="33">
        <f t="shared" si="2"/>
        <v>2.3451</v>
      </c>
      <c r="K753" s="33">
        <f t="shared" si="13"/>
        <v>1.3397</v>
      </c>
    </row>
    <row r="754">
      <c r="A754" s="70">
        <v>44676.0</v>
      </c>
      <c r="B754" s="57">
        <v>2384.0</v>
      </c>
      <c r="C754" s="57" t="s">
        <v>177</v>
      </c>
      <c r="D754" s="57" t="s">
        <v>181</v>
      </c>
      <c r="E754" s="57" t="s">
        <v>179</v>
      </c>
      <c r="F754" s="57">
        <f t="shared" si="12"/>
        <v>0</v>
      </c>
      <c r="G754" s="57">
        <v>15.3765</v>
      </c>
      <c r="H754" s="57">
        <v>15.166</v>
      </c>
      <c r="I754" s="57">
        <v>15.44</v>
      </c>
      <c r="J754" s="33">
        <f t="shared" si="2"/>
        <v>-0.2105</v>
      </c>
      <c r="K754" s="33">
        <f t="shared" si="13"/>
        <v>0.0635</v>
      </c>
    </row>
    <row r="755">
      <c r="A755" s="70">
        <v>44676.0</v>
      </c>
      <c r="B755" s="57">
        <v>2383.0</v>
      </c>
      <c r="C755" s="57" t="s">
        <v>177</v>
      </c>
      <c r="D755" s="57" t="s">
        <v>181</v>
      </c>
      <c r="E755" s="57" t="s">
        <v>179</v>
      </c>
      <c r="F755" s="57">
        <f t="shared" si="12"/>
        <v>0</v>
      </c>
      <c r="G755" s="57">
        <v>25.5467</v>
      </c>
      <c r="H755" s="57">
        <v>26.432</v>
      </c>
      <c r="I755" s="57">
        <v>25.7653</v>
      </c>
      <c r="J755" s="33">
        <f t="shared" si="2"/>
        <v>0.8853</v>
      </c>
      <c r="K755" s="33">
        <f t="shared" si="13"/>
        <v>0.2186</v>
      </c>
    </row>
    <row r="756">
      <c r="A756" s="70">
        <v>44676.0</v>
      </c>
      <c r="B756" s="57">
        <v>2343.0</v>
      </c>
      <c r="C756" s="57" t="s">
        <v>177</v>
      </c>
      <c r="D756" s="57" t="s">
        <v>181</v>
      </c>
      <c r="E756" s="57" t="s">
        <v>182</v>
      </c>
      <c r="F756" s="57">
        <f t="shared" si="12"/>
        <v>0</v>
      </c>
      <c r="G756" s="57">
        <v>26.0115</v>
      </c>
      <c r="H756" s="57">
        <v>31.448</v>
      </c>
      <c r="I756" s="57">
        <v>28.6598</v>
      </c>
      <c r="J756" s="33">
        <f t="shared" si="2"/>
        <v>5.4365</v>
      </c>
      <c r="K756" s="33">
        <f t="shared" si="13"/>
        <v>2.6483</v>
      </c>
    </row>
    <row r="757">
      <c r="A757" s="70">
        <v>44676.0</v>
      </c>
      <c r="B757" s="57">
        <v>2360.0</v>
      </c>
      <c r="C757" s="57" t="s">
        <v>177</v>
      </c>
      <c r="D757" s="57" t="s">
        <v>181</v>
      </c>
      <c r="E757" s="57" t="s">
        <v>182</v>
      </c>
      <c r="F757" s="57">
        <f t="shared" si="12"/>
        <v>0</v>
      </c>
      <c r="G757" s="57">
        <v>25.3851</v>
      </c>
      <c r="H757" s="57">
        <v>29.392</v>
      </c>
      <c r="I757" s="57">
        <v>27.378</v>
      </c>
      <c r="J757" s="33">
        <f t="shared" si="2"/>
        <v>4.0069</v>
      </c>
      <c r="K757" s="33">
        <f t="shared" si="13"/>
        <v>1.9929</v>
      </c>
    </row>
    <row r="758">
      <c r="A758" s="70">
        <v>44676.0</v>
      </c>
      <c r="B758" s="57">
        <v>2352.0</v>
      </c>
      <c r="C758" s="57" t="s">
        <v>177</v>
      </c>
      <c r="D758" s="57" t="s">
        <v>178</v>
      </c>
      <c r="E758" s="57" t="s">
        <v>179</v>
      </c>
      <c r="F758" s="57">
        <f t="shared" si="12"/>
        <v>1</v>
      </c>
      <c r="G758" s="57">
        <v>16.0983</v>
      </c>
      <c r="H758" s="57">
        <v>17.269</v>
      </c>
      <c r="I758" s="57">
        <v>16.7947</v>
      </c>
      <c r="J758" s="33">
        <f t="shared" si="2"/>
        <v>1.1707</v>
      </c>
      <c r="K758" s="33">
        <f t="shared" si="13"/>
        <v>0.6964</v>
      </c>
    </row>
    <row r="759">
      <c r="A759" s="70">
        <v>44678.0</v>
      </c>
      <c r="B759" s="57">
        <v>2022.0</v>
      </c>
      <c r="C759" s="57" t="s">
        <v>177</v>
      </c>
      <c r="D759" s="57" t="s">
        <v>181</v>
      </c>
      <c r="E759" s="57" t="s">
        <v>182</v>
      </c>
      <c r="F759" s="57">
        <f t="shared" si="12"/>
        <v>0</v>
      </c>
      <c r="G759" s="57">
        <v>25.909</v>
      </c>
      <c r="H759" s="57">
        <v>32.608</v>
      </c>
      <c r="I759" s="57">
        <v>29.9796</v>
      </c>
      <c r="J759" s="33">
        <f t="shared" si="2"/>
        <v>6.699</v>
      </c>
      <c r="K759" s="33">
        <f t="shared" si="13"/>
        <v>4.0706</v>
      </c>
    </row>
    <row r="760">
      <c r="A760" s="70">
        <v>44676.0</v>
      </c>
      <c r="B760" s="57">
        <v>2378.0</v>
      </c>
      <c r="C760" s="57" t="s">
        <v>180</v>
      </c>
      <c r="D760" s="57" t="s">
        <v>181</v>
      </c>
      <c r="E760" s="57" t="s">
        <v>179</v>
      </c>
      <c r="F760" s="57">
        <f t="shared" si="12"/>
        <v>0</v>
      </c>
      <c r="G760" s="57">
        <v>26.3192</v>
      </c>
      <c r="H760" s="57">
        <v>26.5913</v>
      </c>
      <c r="I760" s="57">
        <v>26.4686</v>
      </c>
      <c r="J760" s="33">
        <f t="shared" si="2"/>
        <v>0.2721</v>
      </c>
      <c r="K760" s="33">
        <f t="shared" si="13"/>
        <v>0.1494</v>
      </c>
    </row>
    <row r="761">
      <c r="A761" s="70">
        <v>44678.0</v>
      </c>
      <c r="B761" s="57">
        <v>2086.0</v>
      </c>
      <c r="C761" s="57" t="s">
        <v>177</v>
      </c>
      <c r="D761" s="57" t="s">
        <v>181</v>
      </c>
      <c r="E761" s="57" t="s">
        <v>179</v>
      </c>
      <c r="F761" s="57">
        <f t="shared" si="12"/>
        <v>0</v>
      </c>
      <c r="G761" s="57">
        <v>15.2644</v>
      </c>
      <c r="H761" s="57">
        <v>16.577</v>
      </c>
      <c r="I761" s="57">
        <v>15.818</v>
      </c>
      <c r="J761" s="33">
        <f t="shared" si="2"/>
        <v>1.3126</v>
      </c>
      <c r="K761" s="33">
        <f t="shared" si="13"/>
        <v>0.5536</v>
      </c>
    </row>
    <row r="762">
      <c r="A762" s="70">
        <v>44676.0</v>
      </c>
      <c r="B762" s="57">
        <v>2371.0</v>
      </c>
      <c r="C762" s="57" t="s">
        <v>180</v>
      </c>
      <c r="D762" s="57" t="s">
        <v>181</v>
      </c>
      <c r="E762" s="57" t="s">
        <v>179</v>
      </c>
      <c r="F762" s="57">
        <f t="shared" si="12"/>
        <v>0</v>
      </c>
      <c r="G762" s="57">
        <v>26.6243</v>
      </c>
      <c r="H762" s="57">
        <v>26.8907</v>
      </c>
      <c r="I762" s="57">
        <v>26.8747</v>
      </c>
      <c r="J762" s="33">
        <f t="shared" si="2"/>
        <v>0.2664</v>
      </c>
      <c r="K762" s="33">
        <f t="shared" si="13"/>
        <v>0.2504</v>
      </c>
    </row>
    <row r="763">
      <c r="A763" s="70">
        <v>44678.0</v>
      </c>
      <c r="B763" s="57">
        <v>2006.0</v>
      </c>
      <c r="C763" s="57" t="s">
        <v>177</v>
      </c>
      <c r="D763" s="57" t="s">
        <v>181</v>
      </c>
      <c r="E763" s="57" t="s">
        <v>179</v>
      </c>
      <c r="F763" s="57">
        <f t="shared" si="12"/>
        <v>0</v>
      </c>
      <c r="G763" s="57">
        <v>25.8457</v>
      </c>
      <c r="H763" s="57">
        <v>26.501</v>
      </c>
      <c r="I763" s="57">
        <v>25.9476</v>
      </c>
      <c r="J763" s="33">
        <f t="shared" si="2"/>
        <v>0.6553</v>
      </c>
      <c r="K763" s="33">
        <f t="shared" si="13"/>
        <v>0.1019</v>
      </c>
    </row>
    <row r="764">
      <c r="A764" s="70">
        <v>44676.0</v>
      </c>
      <c r="B764" s="57">
        <v>2301.0</v>
      </c>
      <c r="C764" s="57" t="s">
        <v>180</v>
      </c>
      <c r="D764" s="57" t="s">
        <v>178</v>
      </c>
      <c r="E764" s="57" t="s">
        <v>182</v>
      </c>
      <c r="F764" s="57">
        <f t="shared" si="12"/>
        <v>1</v>
      </c>
      <c r="G764" s="57">
        <v>25.7524</v>
      </c>
      <c r="H764" s="57">
        <v>31.6593</v>
      </c>
      <c r="I764" s="57">
        <v>29.178</v>
      </c>
      <c r="J764" s="33">
        <f t="shared" si="2"/>
        <v>5.9069</v>
      </c>
      <c r="K764" s="33">
        <f t="shared" si="13"/>
        <v>3.4256</v>
      </c>
    </row>
    <row r="765">
      <c r="A765" s="70">
        <v>44676.0</v>
      </c>
      <c r="B765" s="57">
        <v>2376.0</v>
      </c>
      <c r="C765" s="57" t="s">
        <v>180</v>
      </c>
      <c r="D765" s="57" t="s">
        <v>178</v>
      </c>
      <c r="E765" s="57" t="s">
        <v>182</v>
      </c>
      <c r="F765" s="57">
        <f t="shared" si="12"/>
        <v>1</v>
      </c>
      <c r="G765" s="57">
        <v>25.7386</v>
      </c>
      <c r="H765" s="57">
        <v>30.9</v>
      </c>
      <c r="I765" s="57">
        <v>28.719</v>
      </c>
      <c r="J765" s="33">
        <f t="shared" si="2"/>
        <v>5.1614</v>
      </c>
      <c r="K765" s="33">
        <f t="shared" si="13"/>
        <v>2.9804</v>
      </c>
    </row>
    <row r="766">
      <c r="A766" s="70">
        <v>44676.0</v>
      </c>
      <c r="B766" s="57">
        <v>2376.0</v>
      </c>
      <c r="C766" s="57" t="s">
        <v>180</v>
      </c>
      <c r="D766" s="57" t="s">
        <v>178</v>
      </c>
      <c r="E766" s="57" t="s">
        <v>179</v>
      </c>
      <c r="F766" s="57">
        <f t="shared" si="12"/>
        <v>1</v>
      </c>
      <c r="G766" s="57">
        <v>25.9381</v>
      </c>
      <c r="H766" s="57">
        <v>27.1828</v>
      </c>
      <c r="I766" s="57">
        <v>26.4232</v>
      </c>
      <c r="J766" s="33">
        <f t="shared" si="2"/>
        <v>1.2447</v>
      </c>
      <c r="K766" s="33">
        <f t="shared" si="13"/>
        <v>0.4851</v>
      </c>
    </row>
    <row r="767">
      <c r="A767" s="70">
        <v>44676.0</v>
      </c>
      <c r="B767" s="57">
        <v>2367.0</v>
      </c>
      <c r="C767" s="57" t="s">
        <v>180</v>
      </c>
      <c r="D767" s="57" t="s">
        <v>181</v>
      </c>
      <c r="E767" s="57" t="s">
        <v>179</v>
      </c>
      <c r="F767" s="57">
        <f t="shared" si="12"/>
        <v>0</v>
      </c>
      <c r="G767" s="57">
        <v>25.8549</v>
      </c>
      <c r="H767" s="57">
        <v>25.5833</v>
      </c>
      <c r="I767" s="57">
        <v>25.8977</v>
      </c>
      <c r="J767" s="33">
        <f t="shared" si="2"/>
        <v>-0.2716</v>
      </c>
      <c r="K767" s="33">
        <f t="shared" si="13"/>
        <v>0.0428</v>
      </c>
    </row>
    <row r="768">
      <c r="A768" s="70">
        <v>44676.0</v>
      </c>
      <c r="B768" s="57">
        <v>2377.0</v>
      </c>
      <c r="C768" s="57" t="s">
        <v>180</v>
      </c>
      <c r="D768" s="57" t="s">
        <v>181</v>
      </c>
      <c r="E768" s="57" t="s">
        <v>182</v>
      </c>
      <c r="F768" s="57">
        <f t="shared" si="12"/>
        <v>0</v>
      </c>
      <c r="G768" s="57">
        <v>15.5338</v>
      </c>
      <c r="H768" s="57">
        <v>16.3388</v>
      </c>
      <c r="I768" s="57">
        <v>15.81</v>
      </c>
      <c r="J768" s="33">
        <f t="shared" si="2"/>
        <v>0.805</v>
      </c>
      <c r="K768" s="33">
        <f t="shared" si="13"/>
        <v>0.2762</v>
      </c>
    </row>
    <row r="769">
      <c r="A769" s="70">
        <v>44678.0</v>
      </c>
      <c r="B769" s="57">
        <v>2027.0</v>
      </c>
      <c r="C769" s="57" t="s">
        <v>177</v>
      </c>
      <c r="D769" s="57" t="s">
        <v>181</v>
      </c>
      <c r="E769" s="57" t="s">
        <v>179</v>
      </c>
      <c r="F769" s="57">
        <f t="shared" si="12"/>
        <v>0</v>
      </c>
      <c r="G769" s="57">
        <v>26.463</v>
      </c>
      <c r="H769" s="57">
        <v>26.722</v>
      </c>
      <c r="I769" s="57">
        <v>26.5978</v>
      </c>
      <c r="J769" s="33">
        <f t="shared" si="2"/>
        <v>0.259</v>
      </c>
      <c r="K769" s="33">
        <f t="shared" si="13"/>
        <v>0.1348</v>
      </c>
    </row>
    <row r="770">
      <c r="A770" s="70">
        <v>44676.0</v>
      </c>
      <c r="B770" s="57">
        <v>2365.0</v>
      </c>
      <c r="C770" s="57" t="s">
        <v>177</v>
      </c>
      <c r="D770" s="57" t="s">
        <v>181</v>
      </c>
      <c r="E770" s="57" t="s">
        <v>179</v>
      </c>
      <c r="F770" s="57">
        <f t="shared" si="12"/>
        <v>0</v>
      </c>
      <c r="G770" s="57">
        <v>26.0049</v>
      </c>
      <c r="H770" s="57">
        <v>26.494</v>
      </c>
      <c r="I770" s="57">
        <v>26.2621</v>
      </c>
      <c r="J770" s="33">
        <f t="shared" si="2"/>
        <v>0.4891</v>
      </c>
      <c r="K770" s="33">
        <f t="shared" si="13"/>
        <v>0.2572</v>
      </c>
    </row>
    <row r="771">
      <c r="A771" s="70">
        <v>44676.0</v>
      </c>
      <c r="B771" s="57">
        <v>2384.0</v>
      </c>
      <c r="C771" s="57" t="s">
        <v>180</v>
      </c>
      <c r="D771" s="57" t="s">
        <v>181</v>
      </c>
      <c r="E771" s="57" t="s">
        <v>179</v>
      </c>
      <c r="F771" s="57">
        <f t="shared" si="12"/>
        <v>0</v>
      </c>
      <c r="G771" s="57">
        <v>26.1761</v>
      </c>
      <c r="H771" s="57">
        <v>26.3079</v>
      </c>
      <c r="I771" s="57">
        <v>26.2084</v>
      </c>
      <c r="J771" s="33">
        <f t="shared" si="2"/>
        <v>0.1318</v>
      </c>
      <c r="K771" s="33">
        <f t="shared" si="13"/>
        <v>0.0323</v>
      </c>
    </row>
    <row r="772">
      <c r="A772" s="70">
        <v>44676.0</v>
      </c>
      <c r="B772" s="57">
        <v>2127.0</v>
      </c>
      <c r="C772" s="57" t="s">
        <v>177</v>
      </c>
      <c r="D772" s="57" t="s">
        <v>181</v>
      </c>
      <c r="E772" s="57" t="s">
        <v>179</v>
      </c>
      <c r="F772" s="57">
        <f t="shared" si="12"/>
        <v>0</v>
      </c>
      <c r="G772" s="57">
        <v>16.1971</v>
      </c>
      <c r="H772" s="57">
        <v>16.941</v>
      </c>
      <c r="I772" s="57">
        <v>16.525</v>
      </c>
      <c r="J772" s="33">
        <f t="shared" si="2"/>
        <v>0.7439</v>
      </c>
      <c r="K772" s="33">
        <f t="shared" si="13"/>
        <v>0.3279</v>
      </c>
    </row>
    <row r="773">
      <c r="A773" s="70">
        <v>44684.0</v>
      </c>
      <c r="B773" s="57" t="s">
        <v>185</v>
      </c>
      <c r="C773" s="57" t="s">
        <v>180</v>
      </c>
      <c r="D773" s="57" t="s">
        <v>181</v>
      </c>
      <c r="E773" s="57" t="s">
        <v>182</v>
      </c>
      <c r="F773" s="57">
        <f t="shared" si="12"/>
        <v>0</v>
      </c>
      <c r="G773" s="57">
        <v>66.943</v>
      </c>
      <c r="H773" s="57">
        <v>74.0793</v>
      </c>
      <c r="I773" s="57">
        <v>68.6454</v>
      </c>
      <c r="J773" s="33">
        <f t="shared" si="2"/>
        <v>7.1363</v>
      </c>
      <c r="K773" s="33">
        <f t="shared" si="13"/>
        <v>1.7024</v>
      </c>
      <c r="L773" s="57">
        <v>5.0</v>
      </c>
    </row>
    <row r="774">
      <c r="A774" s="70">
        <v>44684.0</v>
      </c>
      <c r="B774" s="57" t="s">
        <v>185</v>
      </c>
      <c r="C774" s="57" t="s">
        <v>180</v>
      </c>
      <c r="D774" s="57" t="s">
        <v>181</v>
      </c>
      <c r="E774" s="57" t="s">
        <v>182</v>
      </c>
      <c r="F774" s="57">
        <f t="shared" si="12"/>
        <v>0</v>
      </c>
      <c r="G774" s="57">
        <v>67.5605</v>
      </c>
      <c r="H774" s="57">
        <v>76.4676</v>
      </c>
      <c r="I774" s="57">
        <v>69.3878</v>
      </c>
      <c r="J774" s="33">
        <f t="shared" si="2"/>
        <v>8.9071</v>
      </c>
      <c r="K774" s="33">
        <f t="shared" si="13"/>
        <v>1.8273</v>
      </c>
      <c r="L774" s="57">
        <v>2.1</v>
      </c>
    </row>
    <row r="775">
      <c r="A775" s="70">
        <v>44684.0</v>
      </c>
      <c r="B775" s="57" t="s">
        <v>144</v>
      </c>
      <c r="C775" s="57" t="s">
        <v>180</v>
      </c>
      <c r="D775" s="57" t="s">
        <v>181</v>
      </c>
      <c r="E775" s="57" t="s">
        <v>179</v>
      </c>
      <c r="F775" s="57">
        <f t="shared" si="12"/>
        <v>0</v>
      </c>
      <c r="G775" s="57">
        <v>68.2534</v>
      </c>
      <c r="H775" s="57">
        <v>69.4318</v>
      </c>
      <c r="I775" s="57">
        <v>68.4882</v>
      </c>
      <c r="J775" s="33">
        <f t="shared" si="2"/>
        <v>1.1784</v>
      </c>
      <c r="K775" s="33">
        <f t="shared" si="13"/>
        <v>0.2348</v>
      </c>
      <c r="L775" s="57">
        <v>3.0</v>
      </c>
    </row>
    <row r="776">
      <c r="A776" s="70">
        <v>44684.0</v>
      </c>
      <c r="B776" s="57" t="s">
        <v>186</v>
      </c>
      <c r="C776" s="57" t="s">
        <v>180</v>
      </c>
      <c r="D776" s="57" t="s">
        <v>181</v>
      </c>
      <c r="E776" s="57" t="s">
        <v>182</v>
      </c>
      <c r="F776" s="57">
        <f t="shared" si="12"/>
        <v>0</v>
      </c>
      <c r="G776" s="57">
        <v>68.3209</v>
      </c>
      <c r="H776" s="57">
        <v>72.4215</v>
      </c>
      <c r="I776" s="57">
        <v>69.6295</v>
      </c>
      <c r="J776" s="33">
        <f t="shared" si="2"/>
        <v>4.1006</v>
      </c>
      <c r="K776" s="33">
        <f t="shared" si="13"/>
        <v>1.3086</v>
      </c>
      <c r="L776" s="57">
        <v>5.0</v>
      </c>
    </row>
    <row r="777">
      <c r="A777" s="70">
        <v>44684.0</v>
      </c>
      <c r="B777" s="57" t="s">
        <v>186</v>
      </c>
      <c r="C777" s="57" t="s">
        <v>180</v>
      </c>
      <c r="D777" s="57" t="s">
        <v>181</v>
      </c>
      <c r="E777" s="57" t="s">
        <v>182</v>
      </c>
      <c r="F777" s="57">
        <f t="shared" si="12"/>
        <v>0</v>
      </c>
      <c r="G777" s="57">
        <v>68.9014</v>
      </c>
      <c r="H777" s="57">
        <v>72.456</v>
      </c>
      <c r="I777" s="57">
        <v>70.1706</v>
      </c>
      <c r="J777" s="33">
        <f t="shared" si="2"/>
        <v>3.5546</v>
      </c>
      <c r="K777" s="33">
        <f t="shared" si="13"/>
        <v>1.2692</v>
      </c>
      <c r="L777" s="57">
        <v>3.0</v>
      </c>
    </row>
    <row r="778">
      <c r="A778" s="70">
        <v>44684.0</v>
      </c>
      <c r="B778" s="57" t="s">
        <v>144</v>
      </c>
      <c r="C778" s="57" t="s">
        <v>180</v>
      </c>
      <c r="D778" s="57" t="s">
        <v>181</v>
      </c>
      <c r="E778" s="57" t="s">
        <v>179</v>
      </c>
      <c r="F778" s="57">
        <f t="shared" si="12"/>
        <v>0</v>
      </c>
      <c r="G778" s="57">
        <v>67.9348</v>
      </c>
      <c r="H778" s="57">
        <v>68.3663</v>
      </c>
      <c r="I778" s="57">
        <v>68.0072</v>
      </c>
      <c r="J778" s="33">
        <f t="shared" si="2"/>
        <v>0.4315</v>
      </c>
      <c r="K778" s="33">
        <f t="shared" si="13"/>
        <v>0.0724</v>
      </c>
      <c r="L778" s="57">
        <v>4.0</v>
      </c>
    </row>
    <row r="779">
      <c r="A779" s="70">
        <v>44684.0</v>
      </c>
      <c r="B779" s="57" t="s">
        <v>186</v>
      </c>
      <c r="C779" s="57" t="s">
        <v>180</v>
      </c>
      <c r="D779" s="57" t="s">
        <v>181</v>
      </c>
      <c r="E779" s="57" t="s">
        <v>182</v>
      </c>
      <c r="F779" s="57">
        <f t="shared" si="12"/>
        <v>0</v>
      </c>
      <c r="G779" s="57">
        <v>67.4243</v>
      </c>
      <c r="H779" s="57">
        <v>72.5328</v>
      </c>
      <c r="I779" s="57">
        <v>68.9353</v>
      </c>
      <c r="J779" s="33">
        <f t="shared" si="2"/>
        <v>5.1085</v>
      </c>
      <c r="K779" s="33">
        <f t="shared" si="13"/>
        <v>1.511</v>
      </c>
      <c r="L779" s="57">
        <v>4.0</v>
      </c>
    </row>
    <row r="780">
      <c r="A780" s="70">
        <v>44684.0</v>
      </c>
      <c r="B780" s="57" t="s">
        <v>144</v>
      </c>
      <c r="C780" s="57" t="s">
        <v>180</v>
      </c>
      <c r="D780" s="57" t="s">
        <v>181</v>
      </c>
      <c r="E780" s="57" t="s">
        <v>179</v>
      </c>
      <c r="F780" s="57">
        <f t="shared" si="12"/>
        <v>0</v>
      </c>
      <c r="G780" s="57">
        <v>67.5368</v>
      </c>
      <c r="H780" s="57">
        <v>68.3052</v>
      </c>
      <c r="I780" s="57">
        <v>67.6847</v>
      </c>
      <c r="J780" s="33">
        <f t="shared" si="2"/>
        <v>0.7684</v>
      </c>
      <c r="K780" s="33">
        <f t="shared" si="13"/>
        <v>0.1479</v>
      </c>
      <c r="L780" s="57">
        <v>5.0</v>
      </c>
    </row>
    <row r="781">
      <c r="A781" s="70">
        <v>44684.0</v>
      </c>
      <c r="B781" s="57" t="s">
        <v>185</v>
      </c>
      <c r="C781" s="57" t="s">
        <v>180</v>
      </c>
      <c r="D781" s="57" t="s">
        <v>181</v>
      </c>
      <c r="E781" s="57" t="s">
        <v>182</v>
      </c>
      <c r="F781" s="57">
        <f t="shared" si="12"/>
        <v>0</v>
      </c>
      <c r="G781" s="57">
        <v>68.4789</v>
      </c>
      <c r="H781" s="57">
        <v>76.4651</v>
      </c>
      <c r="I781" s="57">
        <v>69.9919</v>
      </c>
      <c r="J781" s="33">
        <f t="shared" si="2"/>
        <v>7.9862</v>
      </c>
      <c r="K781" s="33">
        <f t="shared" si="13"/>
        <v>1.513</v>
      </c>
      <c r="L781" s="57">
        <v>2.2</v>
      </c>
    </row>
    <row r="782">
      <c r="A782" s="70">
        <v>44684.0</v>
      </c>
      <c r="B782" s="57" t="s">
        <v>144</v>
      </c>
      <c r="C782" s="57" t="s">
        <v>180</v>
      </c>
      <c r="D782" s="57" t="s">
        <v>181</v>
      </c>
      <c r="E782" s="57" t="s">
        <v>179</v>
      </c>
      <c r="F782" s="57">
        <f t="shared" si="12"/>
        <v>0</v>
      </c>
      <c r="G782" s="57">
        <v>67.2921</v>
      </c>
      <c r="H782" s="57">
        <v>67.9055</v>
      </c>
      <c r="I782" s="57">
        <v>67.4141</v>
      </c>
      <c r="J782" s="33">
        <f t="shared" si="2"/>
        <v>0.6134</v>
      </c>
      <c r="K782" s="33">
        <f t="shared" si="13"/>
        <v>0.122</v>
      </c>
      <c r="L782" s="57">
        <v>1.0</v>
      </c>
    </row>
    <row r="783">
      <c r="A783" s="70">
        <v>44684.0</v>
      </c>
      <c r="B783" s="57" t="s">
        <v>185</v>
      </c>
      <c r="C783" s="57" t="s">
        <v>180</v>
      </c>
      <c r="D783" s="57" t="s">
        <v>181</v>
      </c>
      <c r="E783" s="57" t="s">
        <v>182</v>
      </c>
      <c r="F783" s="57">
        <f t="shared" si="12"/>
        <v>0</v>
      </c>
      <c r="G783" s="57">
        <v>67.0153</v>
      </c>
      <c r="H783" s="57">
        <v>72.1798</v>
      </c>
      <c r="I783" s="57">
        <v>68.3649</v>
      </c>
      <c r="J783" s="33">
        <f t="shared" si="2"/>
        <v>5.1645</v>
      </c>
      <c r="K783" s="33">
        <f t="shared" si="13"/>
        <v>1.3496</v>
      </c>
      <c r="L783" s="57">
        <v>1.0</v>
      </c>
    </row>
    <row r="784">
      <c r="A784" s="70">
        <v>44676.0</v>
      </c>
      <c r="B784" s="57">
        <v>2347.0</v>
      </c>
      <c r="C784" s="57" t="s">
        <v>180</v>
      </c>
      <c r="D784" s="57" t="s">
        <v>181</v>
      </c>
      <c r="E784" s="57" t="s">
        <v>179</v>
      </c>
      <c r="F784" s="57">
        <f t="shared" si="12"/>
        <v>0</v>
      </c>
      <c r="G784" s="57">
        <v>25.734</v>
      </c>
      <c r="H784" s="57">
        <v>25.6617</v>
      </c>
      <c r="I784" s="57">
        <v>25.874</v>
      </c>
      <c r="J784" s="33">
        <f t="shared" si="2"/>
        <v>-0.0723</v>
      </c>
      <c r="K784" s="33">
        <f t="shared" si="13"/>
        <v>0.14</v>
      </c>
    </row>
    <row r="785">
      <c r="A785" s="70">
        <v>44676.0</v>
      </c>
      <c r="B785" s="57">
        <v>2354.0</v>
      </c>
      <c r="C785" s="57" t="s">
        <v>180</v>
      </c>
      <c r="D785" s="57" t="s">
        <v>178</v>
      </c>
      <c r="E785" s="57" t="s">
        <v>179</v>
      </c>
      <c r="F785" s="57">
        <f t="shared" si="12"/>
        <v>1</v>
      </c>
      <c r="G785" s="57">
        <v>26.1298</v>
      </c>
      <c r="H785" s="57">
        <v>27.5801</v>
      </c>
      <c r="I785" s="57">
        <v>26.6735</v>
      </c>
      <c r="J785" s="33">
        <f t="shared" si="2"/>
        <v>1.4503</v>
      </c>
      <c r="K785" s="33">
        <f t="shared" si="13"/>
        <v>0.5437</v>
      </c>
    </row>
    <row r="786">
      <c r="A786" s="70">
        <v>44676.0</v>
      </c>
      <c r="B786" s="57">
        <v>2009.0</v>
      </c>
      <c r="C786" s="57" t="s">
        <v>180</v>
      </c>
      <c r="D786" s="57" t="s">
        <v>181</v>
      </c>
      <c r="E786" s="57" t="s">
        <v>182</v>
      </c>
      <c r="F786" s="57">
        <f t="shared" si="12"/>
        <v>0</v>
      </c>
      <c r="G786" s="57">
        <v>25.4085</v>
      </c>
      <c r="H786" s="57">
        <v>28.8169</v>
      </c>
      <c r="I786" s="57">
        <v>27.1914</v>
      </c>
      <c r="J786" s="33">
        <f t="shared" si="2"/>
        <v>3.4084</v>
      </c>
      <c r="K786" s="33">
        <f t="shared" si="13"/>
        <v>1.7829</v>
      </c>
    </row>
    <row r="787">
      <c r="A787" s="70">
        <v>44676.0</v>
      </c>
      <c r="B787" s="57">
        <v>2383.0</v>
      </c>
      <c r="C787" s="57" t="s">
        <v>180</v>
      </c>
      <c r="D787" s="57" t="s">
        <v>181</v>
      </c>
      <c r="E787" s="57" t="s">
        <v>182</v>
      </c>
      <c r="F787" s="57">
        <f t="shared" si="12"/>
        <v>0</v>
      </c>
      <c r="G787" s="57">
        <v>26.5079</v>
      </c>
      <c r="H787" s="57">
        <v>29.6691</v>
      </c>
      <c r="I787" s="57">
        <v>28.2179</v>
      </c>
      <c r="J787" s="33">
        <f t="shared" si="2"/>
        <v>3.1612</v>
      </c>
      <c r="K787" s="33">
        <f t="shared" si="13"/>
        <v>1.71</v>
      </c>
    </row>
    <row r="788">
      <c r="A788" s="70">
        <v>44678.0</v>
      </c>
      <c r="B788" s="57">
        <v>2022.0</v>
      </c>
      <c r="C788" s="57" t="s">
        <v>177</v>
      </c>
      <c r="D788" s="57" t="s">
        <v>178</v>
      </c>
      <c r="E788" s="57" t="s">
        <v>182</v>
      </c>
      <c r="F788" s="57">
        <f t="shared" si="12"/>
        <v>1</v>
      </c>
      <c r="G788" s="57">
        <v>25.479</v>
      </c>
      <c r="H788" s="57">
        <v>31.345</v>
      </c>
      <c r="I788" s="57">
        <v>28.7451</v>
      </c>
      <c r="J788" s="33">
        <f t="shared" si="2"/>
        <v>5.866</v>
      </c>
      <c r="K788" s="33">
        <f t="shared" si="13"/>
        <v>3.2661</v>
      </c>
    </row>
    <row r="789">
      <c r="A789" s="70">
        <v>44676.0</v>
      </c>
      <c r="B789" s="57">
        <v>2377.0</v>
      </c>
      <c r="C789" s="57" t="s">
        <v>180</v>
      </c>
      <c r="D789" s="57" t="s">
        <v>178</v>
      </c>
      <c r="E789" s="57" t="s">
        <v>182</v>
      </c>
      <c r="F789" s="57">
        <f t="shared" si="12"/>
        <v>1</v>
      </c>
      <c r="G789" s="57">
        <v>25.8228</v>
      </c>
      <c r="H789" s="57">
        <v>29.4721</v>
      </c>
      <c r="I789" s="57">
        <v>28.2433</v>
      </c>
      <c r="J789" s="33">
        <f t="shared" si="2"/>
        <v>3.6493</v>
      </c>
      <c r="K789" s="33">
        <f t="shared" si="13"/>
        <v>2.4205</v>
      </c>
    </row>
    <row r="790">
      <c r="A790" s="70">
        <v>44676.0</v>
      </c>
      <c r="B790" s="57">
        <v>2360.0</v>
      </c>
      <c r="C790" s="57" t="s">
        <v>180</v>
      </c>
      <c r="D790" s="57" t="s">
        <v>181</v>
      </c>
      <c r="E790" s="57" t="s">
        <v>182</v>
      </c>
      <c r="F790" s="57">
        <f t="shared" si="12"/>
        <v>0</v>
      </c>
      <c r="G790" s="57">
        <v>26.1549</v>
      </c>
      <c r="H790" s="57">
        <v>28.519</v>
      </c>
      <c r="I790" s="57">
        <v>27.5272</v>
      </c>
      <c r="J790" s="33">
        <f t="shared" si="2"/>
        <v>2.3641</v>
      </c>
      <c r="K790" s="33">
        <f t="shared" si="13"/>
        <v>1.3723</v>
      </c>
    </row>
    <row r="791">
      <c r="A791" s="70">
        <v>44678.0</v>
      </c>
      <c r="B791" s="57">
        <v>2027.0</v>
      </c>
      <c r="C791" s="57" t="s">
        <v>177</v>
      </c>
      <c r="D791" s="57" t="s">
        <v>181</v>
      </c>
      <c r="E791" s="57" t="s">
        <v>182</v>
      </c>
      <c r="F791" s="57">
        <f t="shared" si="12"/>
        <v>0</v>
      </c>
      <c r="G791" s="57">
        <v>26.0051</v>
      </c>
      <c r="H791" s="57">
        <v>30.078</v>
      </c>
      <c r="I791" s="57">
        <v>28.0343</v>
      </c>
      <c r="J791" s="33">
        <f t="shared" si="2"/>
        <v>4.0729</v>
      </c>
      <c r="K791" s="33">
        <f t="shared" si="13"/>
        <v>2.0292</v>
      </c>
    </row>
    <row r="792">
      <c r="A792" s="70">
        <v>44678.0</v>
      </c>
      <c r="B792" s="57">
        <v>2089.0</v>
      </c>
      <c r="C792" s="57" t="s">
        <v>177</v>
      </c>
      <c r="D792" s="57" t="s">
        <v>181</v>
      </c>
      <c r="E792" s="57" t="s">
        <v>182</v>
      </c>
      <c r="F792" s="57">
        <f t="shared" si="12"/>
        <v>0</v>
      </c>
      <c r="G792" s="57">
        <v>25.9236</v>
      </c>
      <c r="H792" s="57">
        <v>26.555</v>
      </c>
      <c r="I792" s="57">
        <v>26.0426</v>
      </c>
      <c r="J792" s="33">
        <f t="shared" si="2"/>
        <v>0.6314</v>
      </c>
      <c r="K792" s="33">
        <f t="shared" si="13"/>
        <v>0.119</v>
      </c>
    </row>
    <row r="793">
      <c r="A793" s="70">
        <v>44676.0</v>
      </c>
      <c r="B793" s="57">
        <v>2345.0</v>
      </c>
      <c r="C793" s="57" t="s">
        <v>180</v>
      </c>
      <c r="D793" s="57" t="s">
        <v>178</v>
      </c>
      <c r="E793" s="57" t="s">
        <v>179</v>
      </c>
      <c r="F793" s="57">
        <f t="shared" si="12"/>
        <v>1</v>
      </c>
      <c r="G793" s="57">
        <v>25.8338</v>
      </c>
      <c r="H793" s="57">
        <v>27.3803</v>
      </c>
      <c r="I793" s="57">
        <v>26.6989</v>
      </c>
      <c r="J793" s="33">
        <f t="shared" si="2"/>
        <v>1.5465</v>
      </c>
      <c r="K793" s="33">
        <f t="shared" si="13"/>
        <v>0.8651</v>
      </c>
    </row>
    <row r="794">
      <c r="A794" s="70">
        <v>44676.0</v>
      </c>
      <c r="B794" s="57">
        <v>2380.0</v>
      </c>
      <c r="C794" s="57" t="s">
        <v>180</v>
      </c>
      <c r="D794" s="57" t="s">
        <v>178</v>
      </c>
      <c r="E794" s="57" t="s">
        <v>182</v>
      </c>
      <c r="F794" s="57">
        <f t="shared" si="12"/>
        <v>1</v>
      </c>
      <c r="G794" s="57">
        <v>26.0587</v>
      </c>
      <c r="H794" s="57">
        <v>29.7288</v>
      </c>
      <c r="I794" s="57">
        <v>28.518</v>
      </c>
      <c r="J794" s="33">
        <f t="shared" si="2"/>
        <v>3.6701</v>
      </c>
      <c r="K794" s="33">
        <f t="shared" si="13"/>
        <v>2.4593</v>
      </c>
    </row>
    <row r="795">
      <c r="A795" s="70">
        <v>44676.0</v>
      </c>
      <c r="B795" s="57">
        <v>2009.0</v>
      </c>
      <c r="C795" s="57" t="s">
        <v>177</v>
      </c>
      <c r="D795" s="57" t="s">
        <v>181</v>
      </c>
      <c r="E795" s="57" t="s">
        <v>179</v>
      </c>
      <c r="F795" s="57">
        <f t="shared" si="12"/>
        <v>0</v>
      </c>
      <c r="G795" s="57">
        <v>25.33</v>
      </c>
      <c r="H795" s="57">
        <v>26.404</v>
      </c>
      <c r="I795" s="57">
        <v>25.621</v>
      </c>
      <c r="J795" s="33">
        <f t="shared" si="2"/>
        <v>1.074</v>
      </c>
      <c r="K795" s="33">
        <f t="shared" si="13"/>
        <v>0.291</v>
      </c>
    </row>
    <row r="796">
      <c r="A796" s="70">
        <v>44676.0</v>
      </c>
      <c r="B796" s="57">
        <v>2372.0</v>
      </c>
      <c r="C796" s="57" t="s">
        <v>177</v>
      </c>
      <c r="D796" s="57" t="s">
        <v>181</v>
      </c>
      <c r="E796" s="57" t="s">
        <v>179</v>
      </c>
      <c r="F796" s="57">
        <f t="shared" si="12"/>
        <v>0</v>
      </c>
      <c r="G796" s="57">
        <v>15.2101</v>
      </c>
      <c r="H796" s="57">
        <v>15.848</v>
      </c>
      <c r="I796" s="57">
        <v>15.481</v>
      </c>
      <c r="J796" s="33">
        <f t="shared" si="2"/>
        <v>0.6379</v>
      </c>
      <c r="K796" s="33">
        <f t="shared" si="13"/>
        <v>0.2709</v>
      </c>
    </row>
    <row r="797">
      <c r="A797" s="70">
        <v>44676.0</v>
      </c>
      <c r="B797" s="57">
        <v>2010.0</v>
      </c>
      <c r="C797" s="57" t="s">
        <v>177</v>
      </c>
      <c r="D797" s="57" t="s">
        <v>178</v>
      </c>
      <c r="E797" s="57" t="s">
        <v>179</v>
      </c>
      <c r="F797" s="57">
        <f t="shared" si="12"/>
        <v>1</v>
      </c>
      <c r="G797" s="57">
        <v>15.2566</v>
      </c>
      <c r="H797" s="57">
        <v>16.745</v>
      </c>
      <c r="I797" s="57">
        <v>16.001</v>
      </c>
      <c r="J797" s="33">
        <f t="shared" si="2"/>
        <v>1.4884</v>
      </c>
      <c r="K797" s="33">
        <f t="shared" si="13"/>
        <v>0.7444</v>
      </c>
    </row>
    <row r="798">
      <c r="A798" s="70">
        <v>44678.0</v>
      </c>
      <c r="B798" s="57">
        <v>2022.0</v>
      </c>
      <c r="C798" s="57" t="s">
        <v>177</v>
      </c>
      <c r="D798" s="57" t="s">
        <v>181</v>
      </c>
      <c r="E798" s="57" t="s">
        <v>179</v>
      </c>
      <c r="F798" s="57">
        <f t="shared" si="12"/>
        <v>0</v>
      </c>
      <c r="G798" s="57">
        <v>25.9086</v>
      </c>
      <c r="H798" s="57">
        <v>26.453</v>
      </c>
      <c r="I798" s="57">
        <v>26.1394</v>
      </c>
      <c r="J798" s="33">
        <f t="shared" si="2"/>
        <v>0.5444</v>
      </c>
      <c r="K798" s="33">
        <f t="shared" si="13"/>
        <v>0.2308</v>
      </c>
    </row>
    <row r="799">
      <c r="A799" s="70">
        <v>44676.0</v>
      </c>
      <c r="B799" s="57">
        <v>2384.0</v>
      </c>
      <c r="C799" s="57" t="s">
        <v>177</v>
      </c>
      <c r="D799" s="57" t="s">
        <v>178</v>
      </c>
      <c r="E799" s="57" t="s">
        <v>179</v>
      </c>
      <c r="F799" s="57">
        <f t="shared" si="12"/>
        <v>1</v>
      </c>
      <c r="G799" s="57">
        <v>26.3178</v>
      </c>
      <c r="H799" s="57">
        <v>27.204</v>
      </c>
      <c r="I799" s="57">
        <v>26.7928</v>
      </c>
      <c r="J799" s="33">
        <f t="shared" si="2"/>
        <v>0.8862</v>
      </c>
      <c r="K799" s="33">
        <f t="shared" si="13"/>
        <v>0.475</v>
      </c>
    </row>
    <row r="800">
      <c r="A800" s="70">
        <v>44676.0</v>
      </c>
      <c r="B800" s="57">
        <v>2377.0</v>
      </c>
      <c r="C800" s="57" t="s">
        <v>180</v>
      </c>
      <c r="D800" s="57" t="s">
        <v>181</v>
      </c>
      <c r="E800" s="57" t="s">
        <v>179</v>
      </c>
      <c r="F800" s="57">
        <f t="shared" si="12"/>
        <v>0</v>
      </c>
      <c r="G800" s="57">
        <v>15.2914</v>
      </c>
      <c r="H800" s="57">
        <v>15.0206</v>
      </c>
      <c r="I800" s="57">
        <v>15.3134</v>
      </c>
      <c r="J800" s="33">
        <f t="shared" si="2"/>
        <v>-0.2708</v>
      </c>
      <c r="K800" s="33">
        <f t="shared" si="13"/>
        <v>0.022</v>
      </c>
    </row>
    <row r="801">
      <c r="A801" s="70">
        <v>44676.0</v>
      </c>
      <c r="B801" s="57">
        <v>2352.0</v>
      </c>
      <c r="C801" s="57" t="s">
        <v>180</v>
      </c>
      <c r="D801" s="57" t="s">
        <v>181</v>
      </c>
      <c r="E801" s="57" t="s">
        <v>182</v>
      </c>
      <c r="F801" s="57">
        <f t="shared" si="12"/>
        <v>0</v>
      </c>
      <c r="G801" s="57">
        <v>15.5124</v>
      </c>
      <c r="H801" s="57">
        <v>16.1976</v>
      </c>
      <c r="I801" s="57">
        <v>15.8469</v>
      </c>
      <c r="J801" s="33">
        <f t="shared" si="2"/>
        <v>0.6852</v>
      </c>
      <c r="K801" s="33">
        <f t="shared" si="13"/>
        <v>0.3345</v>
      </c>
    </row>
    <row r="802">
      <c r="A802" s="70">
        <v>44678.0</v>
      </c>
      <c r="B802" s="57">
        <v>2005.0</v>
      </c>
      <c r="C802" s="57" t="s">
        <v>177</v>
      </c>
      <c r="D802" s="57" t="s">
        <v>181</v>
      </c>
      <c r="E802" s="57" t="s">
        <v>182</v>
      </c>
      <c r="F802" s="57">
        <f t="shared" si="12"/>
        <v>0</v>
      </c>
      <c r="G802" s="57">
        <v>26.0914</v>
      </c>
      <c r="H802" s="57">
        <v>34.863</v>
      </c>
      <c r="I802" s="57">
        <v>30.4383</v>
      </c>
      <c r="J802" s="33">
        <f t="shared" si="2"/>
        <v>8.7716</v>
      </c>
      <c r="K802" s="33">
        <f t="shared" si="13"/>
        <v>4.3469</v>
      </c>
    </row>
    <row r="803">
      <c r="A803" s="70">
        <v>44676.0</v>
      </c>
      <c r="B803" s="57">
        <v>2384.0</v>
      </c>
      <c r="C803" s="57" t="s">
        <v>177</v>
      </c>
      <c r="D803" s="57" t="s">
        <v>181</v>
      </c>
      <c r="E803" s="57" t="s">
        <v>182</v>
      </c>
      <c r="F803" s="57">
        <f t="shared" si="12"/>
        <v>0</v>
      </c>
      <c r="G803" s="57">
        <v>25.5876</v>
      </c>
      <c r="H803" s="57">
        <v>29.563</v>
      </c>
      <c r="I803" s="57">
        <v>27.3833</v>
      </c>
      <c r="J803" s="33">
        <f t="shared" si="2"/>
        <v>3.9754</v>
      </c>
      <c r="K803" s="33">
        <f t="shared" si="13"/>
        <v>1.7957</v>
      </c>
    </row>
    <row r="804">
      <c r="A804" s="70">
        <v>44678.0</v>
      </c>
      <c r="B804" s="57">
        <v>2024.0</v>
      </c>
      <c r="C804" s="57" t="s">
        <v>177</v>
      </c>
      <c r="D804" s="57" t="s">
        <v>181</v>
      </c>
      <c r="E804" s="57" t="s">
        <v>182</v>
      </c>
      <c r="F804" s="57">
        <f t="shared" si="12"/>
        <v>0</v>
      </c>
      <c r="G804" s="57">
        <v>25.7575</v>
      </c>
      <c r="H804" s="57">
        <v>31.13</v>
      </c>
      <c r="I804" s="57">
        <v>28.3698</v>
      </c>
      <c r="J804" s="33">
        <f t="shared" si="2"/>
        <v>5.3725</v>
      </c>
      <c r="K804" s="33">
        <f t="shared" si="13"/>
        <v>2.6123</v>
      </c>
    </row>
    <row r="805">
      <c r="A805" s="70">
        <v>44678.0</v>
      </c>
      <c r="B805" s="57">
        <v>2026.0</v>
      </c>
      <c r="C805" s="57" t="s">
        <v>177</v>
      </c>
      <c r="D805" s="57" t="s">
        <v>178</v>
      </c>
      <c r="E805" s="57" t="s">
        <v>179</v>
      </c>
      <c r="F805" s="57">
        <f t="shared" si="12"/>
        <v>1</v>
      </c>
      <c r="G805" s="57">
        <v>26.6622</v>
      </c>
      <c r="H805" s="57">
        <v>27.648</v>
      </c>
      <c r="I805" s="57">
        <v>27.3948</v>
      </c>
      <c r="J805" s="33">
        <f t="shared" si="2"/>
        <v>0.9858</v>
      </c>
      <c r="K805" s="33">
        <f t="shared" si="13"/>
        <v>0.7326</v>
      </c>
    </row>
    <row r="806">
      <c r="A806" s="70">
        <v>44676.0</v>
      </c>
      <c r="B806" s="57">
        <v>2009.0</v>
      </c>
      <c r="C806" s="57" t="s">
        <v>177</v>
      </c>
      <c r="D806" s="57" t="s">
        <v>181</v>
      </c>
      <c r="E806" s="57" t="s">
        <v>182</v>
      </c>
      <c r="F806" s="57">
        <f t="shared" si="12"/>
        <v>0</v>
      </c>
      <c r="G806" s="57">
        <v>25.8527</v>
      </c>
      <c r="H806" s="57">
        <v>32.053</v>
      </c>
      <c r="I806" s="57">
        <v>28.713</v>
      </c>
      <c r="J806" s="33">
        <f t="shared" si="2"/>
        <v>6.2003</v>
      </c>
      <c r="K806" s="33">
        <f t="shared" si="13"/>
        <v>2.8603</v>
      </c>
    </row>
    <row r="807">
      <c r="A807" s="70">
        <v>44676.0</v>
      </c>
      <c r="B807" s="57">
        <v>2381.0</v>
      </c>
      <c r="C807" s="57" t="s">
        <v>180</v>
      </c>
      <c r="D807" s="57" t="s">
        <v>181</v>
      </c>
      <c r="E807" s="57" t="s">
        <v>179</v>
      </c>
      <c r="F807" s="57">
        <f t="shared" si="12"/>
        <v>0</v>
      </c>
      <c r="G807" s="57">
        <v>26.5119</v>
      </c>
      <c r="H807" s="57">
        <v>26.3676</v>
      </c>
      <c r="I807" s="57">
        <v>26.5883</v>
      </c>
      <c r="J807" s="33">
        <f t="shared" si="2"/>
        <v>-0.1443</v>
      </c>
      <c r="K807" s="33">
        <f t="shared" si="13"/>
        <v>0.0764</v>
      </c>
    </row>
    <row r="808">
      <c r="A808" s="70">
        <v>44676.0</v>
      </c>
      <c r="B808" s="57">
        <v>2347.0</v>
      </c>
      <c r="C808" s="57" t="s">
        <v>177</v>
      </c>
      <c r="D808" s="57" t="s">
        <v>181</v>
      </c>
      <c r="E808" s="57" t="s">
        <v>182</v>
      </c>
      <c r="F808" s="57">
        <f t="shared" si="12"/>
        <v>0</v>
      </c>
      <c r="G808" s="57">
        <v>25.8035</v>
      </c>
      <c r="H808" s="57">
        <v>30.846</v>
      </c>
      <c r="I808" s="57">
        <v>28.1437</v>
      </c>
      <c r="J808" s="33">
        <f t="shared" si="2"/>
        <v>5.0425</v>
      </c>
      <c r="K808" s="33">
        <f t="shared" si="13"/>
        <v>2.3402</v>
      </c>
    </row>
    <row r="809">
      <c r="A809" s="70">
        <v>44676.0</v>
      </c>
      <c r="B809" s="57">
        <v>2365.0</v>
      </c>
      <c r="C809" s="57" t="s">
        <v>180</v>
      </c>
      <c r="D809" s="57" t="s">
        <v>181</v>
      </c>
      <c r="E809" s="57" t="s">
        <v>179</v>
      </c>
      <c r="F809" s="57">
        <f t="shared" si="12"/>
        <v>0</v>
      </c>
      <c r="G809" s="57">
        <v>26.3328</v>
      </c>
      <c r="H809" s="57">
        <v>26.5936</v>
      </c>
      <c r="I809" s="57">
        <v>26.4302</v>
      </c>
      <c r="J809" s="33">
        <f t="shared" si="2"/>
        <v>0.2608</v>
      </c>
      <c r="K809" s="33">
        <f t="shared" si="13"/>
        <v>0.0974</v>
      </c>
    </row>
    <row r="810">
      <c r="A810" s="70">
        <v>44676.0</v>
      </c>
      <c r="B810" s="57">
        <v>2370.0</v>
      </c>
      <c r="C810" s="57" t="s">
        <v>180</v>
      </c>
      <c r="D810" s="57" t="s">
        <v>181</v>
      </c>
      <c r="E810" s="57" t="s">
        <v>179</v>
      </c>
      <c r="F810" s="57">
        <f t="shared" si="12"/>
        <v>0</v>
      </c>
      <c r="G810" s="57">
        <v>25.795</v>
      </c>
      <c r="H810" s="57">
        <v>26.4989</v>
      </c>
      <c r="I810" s="57">
        <v>25.8871</v>
      </c>
      <c r="J810" s="33">
        <f t="shared" si="2"/>
        <v>0.7039</v>
      </c>
      <c r="K810" s="33">
        <f t="shared" si="13"/>
        <v>0.0921</v>
      </c>
    </row>
    <row r="811">
      <c r="A811" s="70">
        <v>44676.0</v>
      </c>
      <c r="B811" s="57">
        <v>2376.0</v>
      </c>
      <c r="C811" s="57" t="s">
        <v>177</v>
      </c>
      <c r="D811" s="57" t="s">
        <v>178</v>
      </c>
      <c r="E811" s="57" t="s">
        <v>179</v>
      </c>
      <c r="F811" s="57">
        <f t="shared" si="12"/>
        <v>1</v>
      </c>
      <c r="G811" s="57">
        <v>25.6456</v>
      </c>
      <c r="H811" s="57">
        <v>26.578</v>
      </c>
      <c r="I811" s="57">
        <v>26.3334</v>
      </c>
      <c r="J811" s="33">
        <f t="shared" si="2"/>
        <v>0.9324</v>
      </c>
      <c r="K811" s="33">
        <f t="shared" si="13"/>
        <v>0.6878</v>
      </c>
    </row>
    <row r="812">
      <c r="A812" s="70">
        <v>44678.0</v>
      </c>
      <c r="B812" s="57">
        <v>2012.0</v>
      </c>
      <c r="C812" s="57" t="s">
        <v>177</v>
      </c>
      <c r="D812" s="57" t="s">
        <v>181</v>
      </c>
      <c r="E812" s="57" t="s">
        <v>182</v>
      </c>
      <c r="F812" s="57">
        <f t="shared" si="12"/>
        <v>0</v>
      </c>
      <c r="G812" s="57">
        <v>25.455</v>
      </c>
      <c r="H812" s="57">
        <v>29.584</v>
      </c>
      <c r="I812" s="57">
        <v>27.2961</v>
      </c>
      <c r="J812" s="33">
        <f t="shared" si="2"/>
        <v>4.129</v>
      </c>
      <c r="K812" s="33">
        <f t="shared" si="13"/>
        <v>1.8411</v>
      </c>
    </row>
    <row r="813">
      <c r="A813" s="70">
        <v>44676.0</v>
      </c>
      <c r="B813" s="57">
        <v>2381.0</v>
      </c>
      <c r="C813" s="57" t="s">
        <v>177</v>
      </c>
      <c r="D813" s="57" t="s">
        <v>181</v>
      </c>
      <c r="E813" s="57" t="s">
        <v>179</v>
      </c>
      <c r="F813" s="57">
        <f t="shared" si="12"/>
        <v>0</v>
      </c>
      <c r="G813" s="57">
        <v>25.7724</v>
      </c>
      <c r="H813" s="57">
        <v>26.094</v>
      </c>
      <c r="I813" s="57">
        <v>25.9001</v>
      </c>
      <c r="J813" s="33">
        <f t="shared" si="2"/>
        <v>0.3216</v>
      </c>
      <c r="K813" s="33">
        <f t="shared" si="13"/>
        <v>0.1277</v>
      </c>
    </row>
    <row r="814">
      <c r="A814" s="70">
        <v>44678.0</v>
      </c>
      <c r="B814" s="57">
        <v>2023.0</v>
      </c>
      <c r="C814" s="57" t="s">
        <v>177</v>
      </c>
      <c r="D814" s="57" t="s">
        <v>178</v>
      </c>
      <c r="E814" s="57" t="s">
        <v>179</v>
      </c>
      <c r="F814" s="57">
        <f t="shared" si="12"/>
        <v>1</v>
      </c>
      <c r="G814" s="57">
        <v>25.879</v>
      </c>
      <c r="H814" s="57">
        <v>26.055</v>
      </c>
      <c r="I814" s="57">
        <v>26.1568</v>
      </c>
      <c r="J814" s="33">
        <f t="shared" si="2"/>
        <v>0.176</v>
      </c>
      <c r="K814" s="33">
        <f t="shared" si="13"/>
        <v>0.2778</v>
      </c>
    </row>
    <row r="815">
      <c r="A815" s="70">
        <v>44678.0</v>
      </c>
      <c r="B815" s="57">
        <v>2024.0</v>
      </c>
      <c r="C815" s="57" t="s">
        <v>177</v>
      </c>
      <c r="D815" s="57" t="s">
        <v>181</v>
      </c>
      <c r="E815" s="57" t="s">
        <v>179</v>
      </c>
      <c r="F815" s="57">
        <f t="shared" si="12"/>
        <v>0</v>
      </c>
      <c r="G815" s="57">
        <v>26.1824</v>
      </c>
      <c r="H815" s="57">
        <v>26.548</v>
      </c>
      <c r="I815" s="57">
        <v>26.5366</v>
      </c>
      <c r="J815" s="33">
        <f t="shared" si="2"/>
        <v>0.3656</v>
      </c>
      <c r="K815" s="33">
        <f t="shared" si="13"/>
        <v>0.3542</v>
      </c>
    </row>
    <row r="816">
      <c r="A816" s="70">
        <v>44676.0</v>
      </c>
      <c r="B816" s="57">
        <v>2011.0</v>
      </c>
      <c r="C816" s="57" t="s">
        <v>177</v>
      </c>
      <c r="D816" s="57" t="s">
        <v>181</v>
      </c>
      <c r="E816" s="57" t="s">
        <v>182</v>
      </c>
      <c r="F816" s="57">
        <f t="shared" si="12"/>
        <v>0</v>
      </c>
      <c r="G816" s="57">
        <v>25.6354</v>
      </c>
      <c r="H816" s="57">
        <v>31.425</v>
      </c>
      <c r="I816" s="57">
        <v>28.542</v>
      </c>
      <c r="J816" s="33">
        <f t="shared" si="2"/>
        <v>5.7896</v>
      </c>
      <c r="K816" s="33">
        <f t="shared" si="13"/>
        <v>2.9066</v>
      </c>
    </row>
    <row r="817">
      <c r="A817" s="70">
        <v>44676.0</v>
      </c>
      <c r="B817" s="57">
        <v>2377.0</v>
      </c>
      <c r="C817" s="57" t="s">
        <v>177</v>
      </c>
      <c r="D817" s="57" t="s">
        <v>178</v>
      </c>
      <c r="E817" s="57" t="s">
        <v>182</v>
      </c>
      <c r="F817" s="57">
        <f t="shared" si="12"/>
        <v>1</v>
      </c>
      <c r="G817" s="57">
        <v>26.2422</v>
      </c>
      <c r="H817" s="57">
        <v>27.308</v>
      </c>
      <c r="I817" s="57">
        <v>27.0588</v>
      </c>
      <c r="J817" s="33">
        <f t="shared" si="2"/>
        <v>1.0658</v>
      </c>
      <c r="K817" s="33">
        <f t="shared" si="13"/>
        <v>0.8166</v>
      </c>
    </row>
    <row r="818">
      <c r="A818" s="70">
        <v>44676.0</v>
      </c>
      <c r="B818" s="57">
        <v>2382.0</v>
      </c>
      <c r="C818" s="57" t="s">
        <v>180</v>
      </c>
      <c r="D818" s="57" t="s">
        <v>181</v>
      </c>
      <c r="E818" s="57" t="s">
        <v>182</v>
      </c>
      <c r="F818" s="57">
        <f t="shared" si="12"/>
        <v>0</v>
      </c>
      <c r="G818" s="57">
        <v>25.832</v>
      </c>
      <c r="H818" s="57">
        <v>29.9526</v>
      </c>
      <c r="I818" s="57">
        <v>28.0282</v>
      </c>
      <c r="J818" s="33">
        <f t="shared" si="2"/>
        <v>4.1206</v>
      </c>
      <c r="K818" s="33">
        <f t="shared" si="13"/>
        <v>2.1962</v>
      </c>
    </row>
    <row r="819">
      <c r="A819" s="70">
        <v>44676.0</v>
      </c>
      <c r="B819" s="57">
        <v>2372.0</v>
      </c>
      <c r="C819" s="57" t="s">
        <v>180</v>
      </c>
      <c r="D819" s="57" t="s">
        <v>181</v>
      </c>
      <c r="E819" s="57" t="s">
        <v>182</v>
      </c>
      <c r="F819" s="57">
        <f t="shared" si="12"/>
        <v>0</v>
      </c>
      <c r="G819" s="57">
        <v>26.1799</v>
      </c>
      <c r="H819" s="57">
        <v>29.9549</v>
      </c>
      <c r="I819" s="57">
        <v>28.0887</v>
      </c>
      <c r="J819" s="33">
        <f t="shared" si="2"/>
        <v>3.775</v>
      </c>
      <c r="K819" s="33">
        <f t="shared" si="13"/>
        <v>1.9088</v>
      </c>
    </row>
    <row r="820">
      <c r="A820" s="70">
        <v>44676.0</v>
      </c>
      <c r="B820" s="57">
        <v>2010.0</v>
      </c>
      <c r="C820" s="57" t="s">
        <v>180</v>
      </c>
      <c r="D820" s="57" t="s">
        <v>181</v>
      </c>
      <c r="E820" s="57" t="s">
        <v>179</v>
      </c>
      <c r="F820" s="57">
        <f t="shared" si="12"/>
        <v>0</v>
      </c>
      <c r="G820" s="57">
        <v>26.0773</v>
      </c>
      <c r="H820" s="57">
        <v>26.9042</v>
      </c>
      <c r="I820" s="57">
        <v>26.2425</v>
      </c>
      <c r="J820" s="33">
        <f t="shared" si="2"/>
        <v>0.8269</v>
      </c>
      <c r="K820" s="33">
        <f t="shared" si="13"/>
        <v>0.1652</v>
      </c>
    </row>
    <row r="821">
      <c r="A821" s="70">
        <v>44676.0</v>
      </c>
      <c r="B821" s="57">
        <v>2354.0</v>
      </c>
      <c r="C821" s="57" t="s">
        <v>177</v>
      </c>
      <c r="D821" s="57" t="s">
        <v>181</v>
      </c>
      <c r="E821" s="57" t="s">
        <v>182</v>
      </c>
      <c r="F821" s="57">
        <f t="shared" si="12"/>
        <v>0</v>
      </c>
      <c r="G821" s="57">
        <v>25.7881</v>
      </c>
      <c r="H821" s="57">
        <v>27.56</v>
      </c>
      <c r="I821" s="57">
        <v>26.4517</v>
      </c>
      <c r="J821" s="33">
        <f t="shared" si="2"/>
        <v>1.7719</v>
      </c>
      <c r="K821" s="33">
        <f t="shared" si="13"/>
        <v>0.6636</v>
      </c>
    </row>
    <row r="822">
      <c r="A822" s="70">
        <v>44676.0</v>
      </c>
      <c r="B822" s="57">
        <v>2343.0</v>
      </c>
      <c r="C822" s="57" t="s">
        <v>180</v>
      </c>
      <c r="D822" s="57" t="s">
        <v>181</v>
      </c>
      <c r="E822" s="57" t="s">
        <v>182</v>
      </c>
      <c r="F822" s="57">
        <f t="shared" si="12"/>
        <v>0</v>
      </c>
      <c r="G822" s="57">
        <v>26.3342</v>
      </c>
      <c r="H822" s="57">
        <v>29.5026</v>
      </c>
      <c r="I822" s="57">
        <v>27.9027</v>
      </c>
      <c r="J822" s="33">
        <f t="shared" si="2"/>
        <v>3.1684</v>
      </c>
      <c r="K822" s="33">
        <f t="shared" si="13"/>
        <v>1.5685</v>
      </c>
    </row>
    <row r="823">
      <c r="A823" s="70">
        <v>44676.0</v>
      </c>
      <c r="B823" s="57">
        <v>2331.0</v>
      </c>
      <c r="C823" s="57" t="s">
        <v>180</v>
      </c>
      <c r="D823" s="57" t="s">
        <v>178</v>
      </c>
      <c r="E823" s="57" t="s">
        <v>179</v>
      </c>
      <c r="F823" s="57">
        <f t="shared" si="12"/>
        <v>1</v>
      </c>
      <c r="G823" s="57">
        <v>25.8709</v>
      </c>
      <c r="H823" s="57">
        <v>27.4042</v>
      </c>
      <c r="I823" s="57">
        <v>26.779</v>
      </c>
      <c r="J823" s="33">
        <f t="shared" si="2"/>
        <v>1.5333</v>
      </c>
      <c r="K823" s="33">
        <f t="shared" si="13"/>
        <v>0.9081</v>
      </c>
    </row>
    <row r="824">
      <c r="A824" s="70">
        <v>44678.0</v>
      </c>
      <c r="B824" s="57">
        <v>2090.0</v>
      </c>
      <c r="C824" s="57" t="s">
        <v>177</v>
      </c>
      <c r="D824" s="57" t="s">
        <v>178</v>
      </c>
      <c r="E824" s="57" t="s">
        <v>179</v>
      </c>
      <c r="F824" s="57">
        <f t="shared" si="12"/>
        <v>1</v>
      </c>
      <c r="G824" s="57">
        <v>26.1944</v>
      </c>
      <c r="H824" s="57">
        <v>28.269</v>
      </c>
      <c r="I824" s="57">
        <v>27.2115</v>
      </c>
      <c r="J824" s="33">
        <f t="shared" si="2"/>
        <v>2.0746</v>
      </c>
      <c r="K824" s="33">
        <f t="shared" si="13"/>
        <v>1.0171</v>
      </c>
    </row>
    <row r="825">
      <c r="A825" s="70">
        <v>44676.0</v>
      </c>
      <c r="B825" s="57">
        <v>2384.0</v>
      </c>
      <c r="C825" s="57" t="s">
        <v>180</v>
      </c>
      <c r="D825" s="57" t="s">
        <v>181</v>
      </c>
      <c r="E825" s="57" t="s">
        <v>182</v>
      </c>
      <c r="F825" s="57">
        <f t="shared" si="12"/>
        <v>0</v>
      </c>
      <c r="G825" s="57">
        <v>25.8468</v>
      </c>
      <c r="H825" s="57">
        <v>27.9914</v>
      </c>
      <c r="I825" s="57">
        <v>26.9561</v>
      </c>
      <c r="J825" s="33">
        <f t="shared" si="2"/>
        <v>2.1446</v>
      </c>
      <c r="K825" s="33">
        <f t="shared" si="13"/>
        <v>1.1093</v>
      </c>
    </row>
    <row r="826">
      <c r="A826" s="70">
        <v>44676.0</v>
      </c>
      <c r="B826" s="57">
        <v>2346.0</v>
      </c>
      <c r="C826" s="57" t="s">
        <v>180</v>
      </c>
      <c r="D826" s="57" t="s">
        <v>181</v>
      </c>
      <c r="E826" s="57" t="s">
        <v>182</v>
      </c>
      <c r="F826" s="57">
        <f t="shared" si="12"/>
        <v>0</v>
      </c>
      <c r="G826" s="57">
        <v>25.4767</v>
      </c>
      <c r="H826" s="57">
        <v>27.2905</v>
      </c>
      <c r="I826" s="57">
        <v>26.377</v>
      </c>
      <c r="J826" s="33">
        <f t="shared" si="2"/>
        <v>1.8138</v>
      </c>
      <c r="K826" s="33">
        <f t="shared" si="13"/>
        <v>0.9003</v>
      </c>
    </row>
    <row r="827">
      <c r="A827" s="70">
        <v>44676.0</v>
      </c>
      <c r="B827" s="57">
        <v>2377.0</v>
      </c>
      <c r="C827" s="57" t="s">
        <v>177</v>
      </c>
      <c r="D827" s="57" t="s">
        <v>181</v>
      </c>
      <c r="E827" s="57" t="s">
        <v>179</v>
      </c>
      <c r="F827" s="57">
        <f t="shared" si="12"/>
        <v>0</v>
      </c>
      <c r="G827" s="57">
        <v>15.6279</v>
      </c>
      <c r="H827" s="57">
        <v>15.833</v>
      </c>
      <c r="I827" s="57">
        <v>15.6855</v>
      </c>
      <c r="J827" s="33">
        <f t="shared" si="2"/>
        <v>0.2051</v>
      </c>
      <c r="K827" s="33">
        <f t="shared" si="13"/>
        <v>0.0576</v>
      </c>
    </row>
    <row r="828">
      <c r="A828" s="70">
        <v>44678.0</v>
      </c>
      <c r="B828" s="57">
        <v>2089.0</v>
      </c>
      <c r="C828" s="57" t="s">
        <v>177</v>
      </c>
      <c r="D828" s="57" t="s">
        <v>178</v>
      </c>
      <c r="E828" s="57" t="s">
        <v>182</v>
      </c>
      <c r="F828" s="57">
        <f t="shared" si="12"/>
        <v>1</v>
      </c>
      <c r="G828" s="57">
        <v>25.3934</v>
      </c>
      <c r="H828" s="57">
        <v>29.527</v>
      </c>
      <c r="I828" s="57">
        <v>27.7629</v>
      </c>
      <c r="J828" s="33">
        <f t="shared" si="2"/>
        <v>4.1336</v>
      </c>
      <c r="K828" s="33">
        <f t="shared" si="13"/>
        <v>2.3695</v>
      </c>
    </row>
    <row r="829">
      <c r="A829" s="70">
        <v>44676.0</v>
      </c>
      <c r="B829" s="57">
        <v>2371.0</v>
      </c>
      <c r="C829" s="57" t="s">
        <v>180</v>
      </c>
      <c r="D829" s="57" t="s">
        <v>181</v>
      </c>
      <c r="E829" s="57" t="s">
        <v>182</v>
      </c>
      <c r="F829" s="57">
        <f t="shared" si="12"/>
        <v>0</v>
      </c>
      <c r="G829" s="57">
        <v>25.4211</v>
      </c>
      <c r="H829" s="57">
        <v>30.8958</v>
      </c>
      <c r="I829" s="57">
        <v>27.883</v>
      </c>
      <c r="J829" s="33">
        <f t="shared" si="2"/>
        <v>5.4747</v>
      </c>
      <c r="K829" s="33">
        <f t="shared" si="13"/>
        <v>2.4619</v>
      </c>
    </row>
    <row r="830">
      <c r="A830" s="70">
        <v>44676.0</v>
      </c>
      <c r="B830" s="57">
        <v>2345.0</v>
      </c>
      <c r="C830" s="57" t="s">
        <v>177</v>
      </c>
      <c r="D830" s="57" t="s">
        <v>178</v>
      </c>
      <c r="E830" s="57" t="s">
        <v>182</v>
      </c>
      <c r="F830" s="57">
        <f t="shared" si="12"/>
        <v>1</v>
      </c>
      <c r="G830" s="57">
        <v>26.0445</v>
      </c>
      <c r="H830" s="57">
        <v>32.447</v>
      </c>
      <c r="I830" s="57">
        <v>29.4649</v>
      </c>
      <c r="J830" s="33">
        <f t="shared" si="2"/>
        <v>6.4025</v>
      </c>
      <c r="K830" s="33">
        <f t="shared" si="13"/>
        <v>3.4204</v>
      </c>
    </row>
    <row r="831">
      <c r="A831" s="70">
        <v>44676.0</v>
      </c>
      <c r="B831" s="57">
        <v>2354.0</v>
      </c>
      <c r="C831" s="57" t="s">
        <v>177</v>
      </c>
      <c r="D831" s="57" t="s">
        <v>178</v>
      </c>
      <c r="E831" s="57" t="s">
        <v>179</v>
      </c>
      <c r="F831" s="57">
        <f t="shared" si="12"/>
        <v>1</v>
      </c>
      <c r="G831" s="57">
        <v>25.7384</v>
      </c>
      <c r="H831" s="57">
        <v>27.127</v>
      </c>
      <c r="I831" s="57">
        <v>26.303</v>
      </c>
      <c r="J831" s="33">
        <f t="shared" si="2"/>
        <v>1.3886</v>
      </c>
      <c r="K831" s="33">
        <f t="shared" si="13"/>
        <v>0.5646</v>
      </c>
    </row>
    <row r="832">
      <c r="A832" s="70">
        <v>44676.0</v>
      </c>
      <c r="B832" s="57">
        <v>2370.0</v>
      </c>
      <c r="C832" s="57" t="s">
        <v>177</v>
      </c>
      <c r="D832" s="57" t="s">
        <v>181</v>
      </c>
      <c r="E832" s="57" t="s">
        <v>182</v>
      </c>
      <c r="F832" s="57">
        <f t="shared" si="12"/>
        <v>0</v>
      </c>
      <c r="G832" s="57">
        <v>25.7811</v>
      </c>
      <c r="H832" s="57">
        <v>29.419</v>
      </c>
      <c r="I832" s="57">
        <v>27.5388</v>
      </c>
      <c r="J832" s="33">
        <f t="shared" si="2"/>
        <v>3.6379</v>
      </c>
      <c r="K832" s="33">
        <f t="shared" si="13"/>
        <v>1.7577</v>
      </c>
    </row>
    <row r="833">
      <c r="A833" s="70">
        <v>44676.0</v>
      </c>
      <c r="B833" s="57">
        <v>2383.0</v>
      </c>
      <c r="C833" s="57" t="s">
        <v>180</v>
      </c>
      <c r="D833" s="57" t="s">
        <v>181</v>
      </c>
      <c r="E833" s="57" t="s">
        <v>179</v>
      </c>
      <c r="F833" s="57">
        <f t="shared" si="12"/>
        <v>0</v>
      </c>
      <c r="G833" s="57">
        <v>26.316</v>
      </c>
      <c r="H833" s="57">
        <v>26.1622</v>
      </c>
      <c r="I833" s="57">
        <v>26.3895</v>
      </c>
      <c r="J833" s="33">
        <f t="shared" si="2"/>
        <v>-0.1538</v>
      </c>
      <c r="K833" s="33">
        <f t="shared" si="13"/>
        <v>0.0735</v>
      </c>
    </row>
    <row r="834">
      <c r="A834" s="70">
        <v>44676.0</v>
      </c>
      <c r="B834" s="57">
        <v>2380.0</v>
      </c>
      <c r="C834" s="57" t="s">
        <v>180</v>
      </c>
      <c r="D834" s="57" t="s">
        <v>178</v>
      </c>
      <c r="E834" s="57" t="s">
        <v>179</v>
      </c>
      <c r="F834" s="57">
        <f t="shared" si="12"/>
        <v>1</v>
      </c>
      <c r="G834" s="57">
        <v>25.6205</v>
      </c>
      <c r="H834" s="57">
        <v>26.8835</v>
      </c>
      <c r="I834" s="57">
        <v>26.1088</v>
      </c>
      <c r="J834" s="33">
        <f t="shared" si="2"/>
        <v>1.263</v>
      </c>
      <c r="K834" s="33">
        <f t="shared" si="13"/>
        <v>0.4883</v>
      </c>
    </row>
    <row r="835">
      <c r="A835" s="70">
        <v>44676.0</v>
      </c>
      <c r="B835" s="57">
        <v>2354.0</v>
      </c>
      <c r="C835" s="57" t="s">
        <v>177</v>
      </c>
      <c r="D835" s="57" t="s">
        <v>178</v>
      </c>
      <c r="E835" s="57" t="s">
        <v>182</v>
      </c>
      <c r="F835" s="57">
        <f t="shared" si="12"/>
        <v>1</v>
      </c>
      <c r="G835" s="57">
        <v>26.0661</v>
      </c>
      <c r="H835" s="57">
        <v>31.693</v>
      </c>
      <c r="I835" s="57">
        <v>29.3903</v>
      </c>
      <c r="J835" s="33">
        <f t="shared" si="2"/>
        <v>5.6269</v>
      </c>
      <c r="K835" s="33">
        <f t="shared" si="13"/>
        <v>3.3242</v>
      </c>
    </row>
    <row r="836">
      <c r="A836" s="70">
        <v>44676.0</v>
      </c>
      <c r="B836" s="57">
        <v>2369.0</v>
      </c>
      <c r="C836" s="57" t="s">
        <v>180</v>
      </c>
      <c r="D836" s="57" t="s">
        <v>181</v>
      </c>
      <c r="E836" s="57" t="s">
        <v>179</v>
      </c>
      <c r="F836" s="57">
        <f t="shared" si="12"/>
        <v>0</v>
      </c>
      <c r="G836" s="57">
        <v>25.8116</v>
      </c>
      <c r="H836" s="57">
        <v>26.3078</v>
      </c>
      <c r="I836" s="57">
        <v>25.83</v>
      </c>
      <c r="J836" s="33">
        <f t="shared" si="2"/>
        <v>0.4962</v>
      </c>
      <c r="K836" s="33">
        <f t="shared" si="13"/>
        <v>0.0184</v>
      </c>
    </row>
    <row r="837">
      <c r="A837" s="70">
        <v>44676.0</v>
      </c>
      <c r="B837" s="57">
        <v>2371.0</v>
      </c>
      <c r="C837" s="57" t="s">
        <v>177</v>
      </c>
      <c r="D837" s="57" t="s">
        <v>181</v>
      </c>
      <c r="E837" s="57" t="s">
        <v>179</v>
      </c>
      <c r="F837" s="57">
        <f t="shared" si="12"/>
        <v>0</v>
      </c>
      <c r="G837" s="57">
        <v>25.9468</v>
      </c>
      <c r="H837" s="57">
        <v>26.812</v>
      </c>
      <c r="I837" s="57">
        <v>26.3522</v>
      </c>
      <c r="J837" s="33">
        <f t="shared" si="2"/>
        <v>0.8652</v>
      </c>
      <c r="K837" s="33">
        <f t="shared" si="13"/>
        <v>0.4054</v>
      </c>
    </row>
    <row r="838">
      <c r="A838" s="70">
        <v>44676.0</v>
      </c>
      <c r="B838" s="57">
        <v>2375.0</v>
      </c>
      <c r="C838" s="57" t="s">
        <v>177</v>
      </c>
      <c r="D838" s="57" t="s">
        <v>181</v>
      </c>
      <c r="E838" s="57" t="s">
        <v>179</v>
      </c>
      <c r="F838" s="57">
        <f t="shared" si="12"/>
        <v>0</v>
      </c>
      <c r="G838" s="57">
        <v>26.3548</v>
      </c>
      <c r="H838" s="57">
        <v>26.93</v>
      </c>
      <c r="I838" s="57">
        <v>26.5969</v>
      </c>
      <c r="J838" s="33">
        <f t="shared" si="2"/>
        <v>0.5752</v>
      </c>
      <c r="K838" s="33">
        <f t="shared" si="13"/>
        <v>0.2421</v>
      </c>
    </row>
    <row r="839">
      <c r="A839" s="70">
        <v>44676.0</v>
      </c>
      <c r="B839" s="57">
        <v>2010.0</v>
      </c>
      <c r="C839" s="57" t="s">
        <v>180</v>
      </c>
      <c r="D839" s="57" t="s">
        <v>181</v>
      </c>
      <c r="E839" s="57" t="s">
        <v>182</v>
      </c>
      <c r="F839" s="57">
        <f t="shared" si="12"/>
        <v>0</v>
      </c>
      <c r="G839" s="57">
        <v>25.4832</v>
      </c>
      <c r="H839" s="57">
        <v>29.0357</v>
      </c>
      <c r="I839" s="57">
        <v>27.0392</v>
      </c>
      <c r="J839" s="33">
        <f t="shared" si="2"/>
        <v>3.5525</v>
      </c>
      <c r="K839" s="33">
        <f t="shared" si="13"/>
        <v>1.556</v>
      </c>
    </row>
    <row r="840">
      <c r="A840" s="70">
        <v>44676.0</v>
      </c>
      <c r="B840" s="57">
        <v>2346.0</v>
      </c>
      <c r="C840" s="57" t="s">
        <v>177</v>
      </c>
      <c r="D840" s="57" t="s">
        <v>181</v>
      </c>
      <c r="E840" s="57" t="s">
        <v>182</v>
      </c>
      <c r="F840" s="57">
        <f t="shared" si="12"/>
        <v>0</v>
      </c>
      <c r="G840" s="57">
        <v>26.4029</v>
      </c>
      <c r="H840" s="57">
        <v>29.553</v>
      </c>
      <c r="I840" s="57">
        <v>28.0056</v>
      </c>
      <c r="J840" s="33">
        <f t="shared" si="2"/>
        <v>3.1501</v>
      </c>
      <c r="K840" s="33">
        <f t="shared" si="13"/>
        <v>1.6027</v>
      </c>
    </row>
    <row r="841">
      <c r="A841" s="70">
        <v>44676.0</v>
      </c>
      <c r="B841" s="57">
        <v>2370.0</v>
      </c>
      <c r="C841" s="57" t="s">
        <v>177</v>
      </c>
      <c r="D841" s="57" t="s">
        <v>181</v>
      </c>
      <c r="E841" s="57" t="s">
        <v>179</v>
      </c>
      <c r="F841" s="57">
        <f t="shared" si="12"/>
        <v>0</v>
      </c>
      <c r="G841" s="57">
        <v>25.7559</v>
      </c>
      <c r="H841" s="57">
        <v>26.412</v>
      </c>
      <c r="I841" s="57">
        <v>25.8712</v>
      </c>
      <c r="J841" s="33">
        <f t="shared" si="2"/>
        <v>0.6561</v>
      </c>
      <c r="K841" s="33">
        <f t="shared" si="13"/>
        <v>0.1153</v>
      </c>
    </row>
    <row r="842">
      <c r="A842" s="70">
        <v>44676.0</v>
      </c>
      <c r="B842" s="57">
        <v>2347.0</v>
      </c>
      <c r="C842" s="57" t="s">
        <v>177</v>
      </c>
      <c r="D842" s="57" t="s">
        <v>181</v>
      </c>
      <c r="E842" s="57" t="s">
        <v>179</v>
      </c>
      <c r="F842" s="57">
        <f t="shared" si="12"/>
        <v>0</v>
      </c>
      <c r="G842" s="57">
        <v>25.4543</v>
      </c>
      <c r="H842" s="57">
        <v>25.798</v>
      </c>
      <c r="I842" s="57">
        <v>25.6204</v>
      </c>
      <c r="J842" s="33">
        <f t="shared" si="2"/>
        <v>0.3437</v>
      </c>
      <c r="K842" s="33">
        <f t="shared" si="13"/>
        <v>0.1661</v>
      </c>
    </row>
    <row r="843">
      <c r="A843" s="70">
        <v>44676.0</v>
      </c>
      <c r="B843" s="57">
        <v>2379.0</v>
      </c>
      <c r="C843" s="57" t="s">
        <v>180</v>
      </c>
      <c r="D843" s="57" t="s">
        <v>181</v>
      </c>
      <c r="E843" s="57" t="s">
        <v>179</v>
      </c>
      <c r="F843" s="57">
        <f t="shared" si="12"/>
        <v>0</v>
      </c>
      <c r="G843" s="57">
        <v>15.077</v>
      </c>
      <c r="H843" s="57">
        <v>15.5904</v>
      </c>
      <c r="I843" s="57">
        <v>15.113</v>
      </c>
      <c r="J843" s="33">
        <f t="shared" si="2"/>
        <v>0.5134</v>
      </c>
      <c r="K843" s="33">
        <f t="shared" si="13"/>
        <v>0.036</v>
      </c>
    </row>
    <row r="844">
      <c r="A844" s="70">
        <v>44676.0</v>
      </c>
      <c r="B844" s="57">
        <v>2011.0</v>
      </c>
      <c r="C844" s="57" t="s">
        <v>177</v>
      </c>
      <c r="D844" s="57" t="s">
        <v>178</v>
      </c>
      <c r="E844" s="57" t="s">
        <v>179</v>
      </c>
      <c r="F844" s="57">
        <f t="shared" si="12"/>
        <v>1</v>
      </c>
      <c r="G844" s="57">
        <v>26.5034</v>
      </c>
      <c r="H844" s="57">
        <v>27.821</v>
      </c>
      <c r="I844" s="57">
        <v>27.2207</v>
      </c>
      <c r="J844" s="33">
        <f t="shared" si="2"/>
        <v>1.3176</v>
      </c>
      <c r="K844" s="33">
        <f t="shared" si="13"/>
        <v>0.7173</v>
      </c>
    </row>
    <row r="845">
      <c r="A845" s="70">
        <v>44676.0</v>
      </c>
      <c r="B845" s="57">
        <v>2345.0</v>
      </c>
      <c r="C845" s="57" t="s">
        <v>177</v>
      </c>
      <c r="D845" s="57" t="s">
        <v>178</v>
      </c>
      <c r="E845" s="57" t="s">
        <v>179</v>
      </c>
      <c r="F845" s="57">
        <f t="shared" si="12"/>
        <v>1</v>
      </c>
      <c r="G845" s="57">
        <v>25.7733</v>
      </c>
      <c r="H845" s="57">
        <v>27.036</v>
      </c>
      <c r="I845" s="57">
        <v>26.2692</v>
      </c>
      <c r="J845" s="33">
        <f t="shared" si="2"/>
        <v>1.2627</v>
      </c>
      <c r="K845" s="33">
        <f t="shared" si="13"/>
        <v>0.4959</v>
      </c>
    </row>
    <row r="846">
      <c r="A846" s="70">
        <v>44678.0</v>
      </c>
      <c r="B846" s="57">
        <v>2022.0</v>
      </c>
      <c r="C846" s="57" t="s">
        <v>177</v>
      </c>
      <c r="D846" s="57" t="s">
        <v>181</v>
      </c>
      <c r="E846" s="57" t="s">
        <v>182</v>
      </c>
      <c r="F846" s="57">
        <f t="shared" si="12"/>
        <v>0</v>
      </c>
      <c r="G846" s="57">
        <v>26.5727</v>
      </c>
      <c r="H846" s="57">
        <v>31.127</v>
      </c>
      <c r="I846" s="57">
        <v>28.8199</v>
      </c>
      <c r="J846" s="33">
        <f t="shared" si="2"/>
        <v>4.5543</v>
      </c>
      <c r="K846" s="33">
        <f t="shared" si="13"/>
        <v>2.2472</v>
      </c>
    </row>
    <row r="847">
      <c r="A847" s="70">
        <v>44678.0</v>
      </c>
      <c r="B847" s="57">
        <v>2091.0</v>
      </c>
      <c r="C847" s="57" t="s">
        <v>177</v>
      </c>
      <c r="D847" s="57" t="s">
        <v>178</v>
      </c>
      <c r="E847" s="57" t="s">
        <v>179</v>
      </c>
      <c r="F847" s="57">
        <f t="shared" si="12"/>
        <v>1</v>
      </c>
      <c r="G847" s="57">
        <v>26.5318</v>
      </c>
      <c r="H847" s="57">
        <v>27.301</v>
      </c>
      <c r="I847" s="57">
        <v>27.0997</v>
      </c>
      <c r="J847" s="33">
        <f t="shared" si="2"/>
        <v>0.7692</v>
      </c>
      <c r="K847" s="33">
        <f t="shared" si="13"/>
        <v>0.5679</v>
      </c>
    </row>
    <row r="848">
      <c r="A848" s="70">
        <v>44676.0</v>
      </c>
      <c r="B848" s="57">
        <v>2372.0</v>
      </c>
      <c r="C848" s="57" t="s">
        <v>180</v>
      </c>
      <c r="D848" s="57" t="s">
        <v>181</v>
      </c>
      <c r="E848" s="57" t="s">
        <v>179</v>
      </c>
      <c r="F848" s="57">
        <f t="shared" si="12"/>
        <v>0</v>
      </c>
      <c r="G848" s="57">
        <v>26.3708</v>
      </c>
      <c r="H848" s="57">
        <v>26.6868</v>
      </c>
      <c r="I848" s="57">
        <v>26.4747</v>
      </c>
      <c r="J848" s="33">
        <f t="shared" si="2"/>
        <v>0.316</v>
      </c>
      <c r="K848" s="33">
        <f t="shared" si="13"/>
        <v>0.1039</v>
      </c>
    </row>
    <row r="849">
      <c r="A849" s="70">
        <v>44678.0</v>
      </c>
      <c r="B849" s="57">
        <v>2090.0</v>
      </c>
      <c r="C849" s="57" t="s">
        <v>177</v>
      </c>
      <c r="D849" s="57" t="s">
        <v>181</v>
      </c>
      <c r="E849" s="57" t="s">
        <v>179</v>
      </c>
      <c r="F849" s="57">
        <f t="shared" si="12"/>
        <v>0</v>
      </c>
      <c r="G849" s="57">
        <v>25.8556</v>
      </c>
      <c r="H849" s="57">
        <v>26.597</v>
      </c>
      <c r="I849" s="57">
        <v>26.1508</v>
      </c>
      <c r="J849" s="33">
        <f t="shared" si="2"/>
        <v>0.7414</v>
      </c>
      <c r="K849" s="33">
        <f t="shared" si="13"/>
        <v>0.2952</v>
      </c>
    </row>
    <row r="850">
      <c r="A850" s="70">
        <v>44676.0</v>
      </c>
      <c r="B850" s="57">
        <v>2380.0</v>
      </c>
      <c r="C850" s="57" t="s">
        <v>177</v>
      </c>
      <c r="D850" s="57" t="s">
        <v>181</v>
      </c>
      <c r="E850" s="57" t="s">
        <v>179</v>
      </c>
      <c r="F850" s="57">
        <f t="shared" si="12"/>
        <v>0</v>
      </c>
      <c r="G850" s="57">
        <v>26.6165</v>
      </c>
      <c r="H850" s="57">
        <v>26.787</v>
      </c>
      <c r="I850" s="57">
        <v>26.7464</v>
      </c>
      <c r="J850" s="33">
        <f t="shared" si="2"/>
        <v>0.1705</v>
      </c>
      <c r="K850" s="33">
        <f t="shared" si="13"/>
        <v>0.1299</v>
      </c>
    </row>
    <row r="851">
      <c r="A851" s="70">
        <v>44676.0</v>
      </c>
      <c r="B851" s="57">
        <v>2378.0</v>
      </c>
      <c r="C851" s="57" t="s">
        <v>177</v>
      </c>
      <c r="D851" s="57" t="s">
        <v>181</v>
      </c>
      <c r="E851" s="57" t="s">
        <v>182</v>
      </c>
      <c r="F851" s="57">
        <f t="shared" si="12"/>
        <v>0</v>
      </c>
      <c r="G851" s="57">
        <v>25.933</v>
      </c>
      <c r="H851" s="57">
        <v>30.333</v>
      </c>
      <c r="I851" s="57">
        <v>28.1138</v>
      </c>
      <c r="J851" s="33">
        <f t="shared" si="2"/>
        <v>4.4</v>
      </c>
      <c r="K851" s="33">
        <f t="shared" si="13"/>
        <v>2.1808</v>
      </c>
    </row>
    <row r="852">
      <c r="A852" s="70">
        <v>44676.0</v>
      </c>
      <c r="B852" s="57">
        <v>2382.0</v>
      </c>
      <c r="C852" s="57" t="s">
        <v>177</v>
      </c>
      <c r="D852" s="57" t="s">
        <v>181</v>
      </c>
      <c r="E852" s="57" t="s">
        <v>179</v>
      </c>
      <c r="F852" s="57">
        <f t="shared" si="12"/>
        <v>0</v>
      </c>
      <c r="G852" s="57">
        <v>26.4913</v>
      </c>
      <c r="H852" s="57">
        <v>26.981</v>
      </c>
      <c r="I852" s="57">
        <v>26.6875</v>
      </c>
      <c r="J852" s="33">
        <f t="shared" si="2"/>
        <v>0.4897</v>
      </c>
      <c r="K852" s="33">
        <f t="shared" si="13"/>
        <v>0.1962</v>
      </c>
    </row>
    <row r="853">
      <c r="A853" s="70">
        <v>44676.0</v>
      </c>
      <c r="B853" s="57">
        <v>2380.0</v>
      </c>
      <c r="C853" s="57" t="s">
        <v>177</v>
      </c>
      <c r="D853" s="57" t="s">
        <v>181</v>
      </c>
      <c r="E853" s="57" t="s">
        <v>182</v>
      </c>
      <c r="F853" s="57">
        <f t="shared" si="12"/>
        <v>0</v>
      </c>
      <c r="G853" s="57">
        <v>25.9442</v>
      </c>
      <c r="H853" s="57">
        <v>28.729</v>
      </c>
      <c r="I853" s="57">
        <v>27.4203</v>
      </c>
      <c r="J853" s="33">
        <f t="shared" si="2"/>
        <v>2.7848</v>
      </c>
      <c r="K853" s="33">
        <f t="shared" si="13"/>
        <v>1.4761</v>
      </c>
    </row>
    <row r="854">
      <c r="A854" s="70">
        <v>44678.0</v>
      </c>
      <c r="B854" s="57">
        <v>2022.0</v>
      </c>
      <c r="C854" s="57" t="s">
        <v>177</v>
      </c>
      <c r="D854" s="57" t="s">
        <v>181</v>
      </c>
      <c r="E854" s="57" t="s">
        <v>179</v>
      </c>
      <c r="F854" s="57">
        <f t="shared" si="12"/>
        <v>0</v>
      </c>
      <c r="G854" s="57">
        <v>15.1537</v>
      </c>
      <c r="H854" s="57">
        <v>15.575</v>
      </c>
      <c r="I854" s="57">
        <v>15.29</v>
      </c>
      <c r="J854" s="33">
        <f t="shared" si="2"/>
        <v>0.4213</v>
      </c>
      <c r="K854" s="33">
        <f t="shared" si="13"/>
        <v>0.1363</v>
      </c>
    </row>
    <row r="855">
      <c r="A855" s="70">
        <v>44678.0</v>
      </c>
      <c r="B855" s="57">
        <v>2005.0</v>
      </c>
      <c r="C855" s="57" t="s">
        <v>177</v>
      </c>
      <c r="D855" s="57" t="s">
        <v>178</v>
      </c>
      <c r="E855" s="57" t="s">
        <v>179</v>
      </c>
      <c r="F855" s="57">
        <f t="shared" si="12"/>
        <v>1</v>
      </c>
      <c r="G855" s="57">
        <v>25.5918</v>
      </c>
      <c r="H855" s="57">
        <v>27.36</v>
      </c>
      <c r="I855" s="57">
        <v>26.3113</v>
      </c>
      <c r="J855" s="33">
        <f t="shared" si="2"/>
        <v>1.7682</v>
      </c>
      <c r="K855" s="33">
        <f t="shared" si="13"/>
        <v>0.7195</v>
      </c>
    </row>
    <row r="856">
      <c r="A856" s="70">
        <v>44676.0</v>
      </c>
      <c r="B856" s="57">
        <v>2378.0</v>
      </c>
      <c r="C856" s="57" t="s">
        <v>177</v>
      </c>
      <c r="D856" s="57" t="s">
        <v>181</v>
      </c>
      <c r="E856" s="57" t="s">
        <v>179</v>
      </c>
      <c r="F856" s="57">
        <f t="shared" si="12"/>
        <v>0</v>
      </c>
      <c r="G856" s="57">
        <v>26.3893</v>
      </c>
      <c r="H856" s="57">
        <v>26.854</v>
      </c>
      <c r="I856" s="57">
        <v>26.6042</v>
      </c>
      <c r="J856" s="33">
        <f t="shared" si="2"/>
        <v>0.4647</v>
      </c>
      <c r="K856" s="33">
        <f t="shared" si="13"/>
        <v>0.2149</v>
      </c>
    </row>
    <row r="857">
      <c r="A857" s="70">
        <v>44676.0</v>
      </c>
      <c r="B857" s="57">
        <v>2378.0</v>
      </c>
      <c r="C857" s="57" t="s">
        <v>177</v>
      </c>
      <c r="D857" s="57" t="s">
        <v>178</v>
      </c>
      <c r="E857" s="57" t="s">
        <v>179</v>
      </c>
      <c r="F857" s="57">
        <f t="shared" si="12"/>
        <v>1</v>
      </c>
      <c r="G857" s="57">
        <v>25.9443</v>
      </c>
      <c r="H857" s="57">
        <v>26.288</v>
      </c>
      <c r="I857" s="57">
        <v>26.346</v>
      </c>
      <c r="J857" s="33">
        <f t="shared" si="2"/>
        <v>0.3437</v>
      </c>
      <c r="K857" s="33">
        <f t="shared" si="13"/>
        <v>0.4017</v>
      </c>
    </row>
    <row r="858">
      <c r="A858" s="70">
        <v>44678.0</v>
      </c>
      <c r="B858" s="57">
        <v>2026.0</v>
      </c>
      <c r="C858" s="57" t="s">
        <v>177</v>
      </c>
      <c r="D858" s="57" t="s">
        <v>181</v>
      </c>
      <c r="E858" s="57" t="s">
        <v>179</v>
      </c>
      <c r="F858" s="57">
        <f t="shared" si="12"/>
        <v>0</v>
      </c>
      <c r="G858" s="57">
        <v>25.6726</v>
      </c>
      <c r="H858" s="57">
        <v>26.6</v>
      </c>
      <c r="I858" s="57">
        <v>26.067</v>
      </c>
      <c r="J858" s="33">
        <f t="shared" si="2"/>
        <v>0.9274</v>
      </c>
      <c r="K858" s="33">
        <f t="shared" si="13"/>
        <v>0.3944</v>
      </c>
    </row>
    <row r="859">
      <c r="A859" s="70">
        <v>44676.0</v>
      </c>
      <c r="B859" s="57">
        <v>2360.0</v>
      </c>
      <c r="C859" s="57" t="s">
        <v>177</v>
      </c>
      <c r="D859" s="57" t="s">
        <v>181</v>
      </c>
      <c r="E859" s="57" t="s">
        <v>179</v>
      </c>
      <c r="F859" s="57">
        <f t="shared" si="12"/>
        <v>0</v>
      </c>
      <c r="G859" s="57">
        <v>25.5034</v>
      </c>
      <c r="H859" s="57">
        <v>26.24</v>
      </c>
      <c r="I859" s="57">
        <v>25.7</v>
      </c>
      <c r="J859" s="33">
        <f t="shared" si="2"/>
        <v>0.7366</v>
      </c>
      <c r="K859" s="33">
        <f t="shared" si="13"/>
        <v>0.1966</v>
      </c>
    </row>
    <row r="860">
      <c r="A860" s="70">
        <v>44676.0</v>
      </c>
      <c r="B860" s="57">
        <v>2381.0</v>
      </c>
      <c r="C860" s="57" t="s">
        <v>177</v>
      </c>
      <c r="D860" s="57" t="s">
        <v>178</v>
      </c>
      <c r="E860" s="57" t="s">
        <v>179</v>
      </c>
      <c r="F860" s="57">
        <f t="shared" si="12"/>
        <v>1</v>
      </c>
      <c r="G860" s="57">
        <v>15.9963</v>
      </c>
      <c r="H860" s="57">
        <v>16.098</v>
      </c>
      <c r="I860" s="57">
        <v>16.231</v>
      </c>
      <c r="J860" s="33">
        <f t="shared" si="2"/>
        <v>0.1017</v>
      </c>
      <c r="K860" s="33">
        <f t="shared" si="13"/>
        <v>0.2347</v>
      </c>
    </row>
    <row r="861">
      <c r="A861" s="70">
        <v>44678.0</v>
      </c>
      <c r="B861" s="57">
        <v>2030.0</v>
      </c>
      <c r="C861" s="57" t="s">
        <v>177</v>
      </c>
      <c r="D861" s="57" t="s">
        <v>181</v>
      </c>
      <c r="E861" s="57" t="s">
        <v>182</v>
      </c>
      <c r="F861" s="57">
        <f t="shared" si="12"/>
        <v>0</v>
      </c>
      <c r="G861" s="57">
        <v>25.8823</v>
      </c>
      <c r="H861" s="57">
        <v>31.975</v>
      </c>
      <c r="I861" s="57">
        <v>28.857</v>
      </c>
      <c r="J861" s="33">
        <f t="shared" si="2"/>
        <v>6.0927</v>
      </c>
      <c r="K861" s="33">
        <f t="shared" si="13"/>
        <v>2.9747</v>
      </c>
    </row>
    <row r="862">
      <c r="A862" s="70">
        <v>44676.0</v>
      </c>
      <c r="B862" s="57">
        <v>2367.0</v>
      </c>
      <c r="C862" s="57" t="s">
        <v>177</v>
      </c>
      <c r="D862" s="57" t="s">
        <v>181</v>
      </c>
      <c r="E862" s="57" t="s">
        <v>182</v>
      </c>
      <c r="F862" s="57">
        <f t="shared" si="12"/>
        <v>0</v>
      </c>
      <c r="G862" s="57">
        <v>25.9274</v>
      </c>
      <c r="H862" s="57">
        <v>31.885</v>
      </c>
      <c r="I862" s="57">
        <v>28.6435</v>
      </c>
      <c r="J862" s="33">
        <f t="shared" si="2"/>
        <v>5.9576</v>
      </c>
      <c r="K862" s="33">
        <f t="shared" si="13"/>
        <v>2.7161</v>
      </c>
    </row>
    <row r="863">
      <c r="A863" s="70">
        <v>44676.0</v>
      </c>
      <c r="B863" s="57">
        <v>2375.0</v>
      </c>
      <c r="C863" s="57" t="s">
        <v>177</v>
      </c>
      <c r="D863" s="57" t="s">
        <v>181</v>
      </c>
      <c r="E863" s="57" t="s">
        <v>182</v>
      </c>
      <c r="F863" s="57">
        <f t="shared" si="12"/>
        <v>0</v>
      </c>
      <c r="G863" s="57">
        <v>26.2187</v>
      </c>
      <c r="H863" s="57">
        <v>31.136</v>
      </c>
      <c r="I863" s="57">
        <v>28.7937</v>
      </c>
      <c r="J863" s="33">
        <f t="shared" si="2"/>
        <v>4.9173</v>
      </c>
      <c r="K863" s="33">
        <f t="shared" si="13"/>
        <v>2.575</v>
      </c>
    </row>
    <row r="864">
      <c r="A864" s="70">
        <v>44676.0</v>
      </c>
      <c r="B864" s="57">
        <v>2369.0</v>
      </c>
      <c r="C864" s="57" t="s">
        <v>177</v>
      </c>
      <c r="D864" s="57" t="s">
        <v>181</v>
      </c>
      <c r="E864" s="57" t="s">
        <v>179</v>
      </c>
      <c r="F864" s="57">
        <f t="shared" si="12"/>
        <v>0</v>
      </c>
      <c r="G864" s="57">
        <v>26.2677</v>
      </c>
      <c r="H864" s="57">
        <v>26.82</v>
      </c>
      <c r="I864" s="57">
        <v>26.5231</v>
      </c>
      <c r="J864" s="33">
        <f t="shared" si="2"/>
        <v>0.5523</v>
      </c>
      <c r="K864" s="33">
        <f t="shared" si="13"/>
        <v>0.2554</v>
      </c>
    </row>
    <row r="865">
      <c r="A865" s="70">
        <v>44676.0</v>
      </c>
      <c r="B865" s="57">
        <v>2343.0</v>
      </c>
      <c r="C865" s="57" t="s">
        <v>177</v>
      </c>
      <c r="D865" s="57" t="s">
        <v>181</v>
      </c>
      <c r="E865" s="57" t="s">
        <v>179</v>
      </c>
      <c r="F865" s="57">
        <f t="shared" si="12"/>
        <v>0</v>
      </c>
      <c r="G865" s="57">
        <v>26.105</v>
      </c>
      <c r="H865" s="57">
        <v>26.693</v>
      </c>
      <c r="I865" s="57">
        <v>26.3215</v>
      </c>
      <c r="J865" s="33">
        <f t="shared" si="2"/>
        <v>0.588</v>
      </c>
      <c r="K865" s="33">
        <f t="shared" si="13"/>
        <v>0.2165</v>
      </c>
    </row>
    <row r="866">
      <c r="A866" s="70">
        <v>44678.0</v>
      </c>
      <c r="B866" s="57">
        <v>2091.0</v>
      </c>
      <c r="C866" s="57" t="s">
        <v>177</v>
      </c>
      <c r="D866" s="57" t="s">
        <v>178</v>
      </c>
      <c r="E866" s="57" t="s">
        <v>182</v>
      </c>
      <c r="F866" s="57">
        <f t="shared" si="12"/>
        <v>1</v>
      </c>
      <c r="G866" s="57">
        <v>25.5856</v>
      </c>
      <c r="H866" s="57">
        <v>28.915</v>
      </c>
      <c r="I866" s="57">
        <v>27.2908</v>
      </c>
      <c r="J866" s="33">
        <f t="shared" si="2"/>
        <v>3.3294</v>
      </c>
      <c r="K866" s="33">
        <f t="shared" si="13"/>
        <v>1.7052</v>
      </c>
    </row>
    <row r="867">
      <c r="A867" s="70">
        <v>44676.0</v>
      </c>
      <c r="B867" s="57">
        <v>2375.0</v>
      </c>
      <c r="C867" s="57" t="s">
        <v>180</v>
      </c>
      <c r="D867" s="57" t="s">
        <v>181</v>
      </c>
      <c r="E867" s="57" t="s">
        <v>179</v>
      </c>
      <c r="F867" s="57">
        <f t="shared" si="12"/>
        <v>0</v>
      </c>
      <c r="G867" s="57">
        <v>25.8714</v>
      </c>
      <c r="H867" s="57">
        <v>26.1255</v>
      </c>
      <c r="I867" s="57">
        <v>25.9652</v>
      </c>
      <c r="J867" s="33">
        <f t="shared" si="2"/>
        <v>0.2541</v>
      </c>
      <c r="K867" s="33">
        <f t="shared" si="13"/>
        <v>0.0938</v>
      </c>
    </row>
    <row r="868">
      <c r="A868" s="70">
        <v>44676.0</v>
      </c>
      <c r="B868" s="57">
        <v>2381.0</v>
      </c>
      <c r="C868" s="57" t="s">
        <v>177</v>
      </c>
      <c r="D868" s="57" t="s">
        <v>181</v>
      </c>
      <c r="E868" s="57" t="s">
        <v>182</v>
      </c>
      <c r="F868" s="57">
        <f t="shared" si="12"/>
        <v>0</v>
      </c>
      <c r="G868" s="57">
        <v>26.0332</v>
      </c>
      <c r="H868" s="57">
        <v>31.006</v>
      </c>
      <c r="I868" s="57">
        <v>28.4977</v>
      </c>
      <c r="J868" s="33">
        <f t="shared" si="2"/>
        <v>4.9728</v>
      </c>
      <c r="K868" s="33">
        <f t="shared" si="13"/>
        <v>2.4645</v>
      </c>
    </row>
    <row r="869">
      <c r="A869" s="70">
        <v>44676.0</v>
      </c>
      <c r="B869" s="57">
        <v>2378.0</v>
      </c>
      <c r="C869" s="57" t="s">
        <v>180</v>
      </c>
      <c r="D869" s="57" t="s">
        <v>181</v>
      </c>
      <c r="E869" s="57" t="s">
        <v>182</v>
      </c>
      <c r="F869" s="57">
        <f t="shared" si="12"/>
        <v>0</v>
      </c>
      <c r="G869" s="57">
        <v>25.5873</v>
      </c>
      <c r="H869" s="57">
        <v>30.0053</v>
      </c>
      <c r="I869" s="57">
        <v>27.5975</v>
      </c>
      <c r="J869" s="33">
        <f t="shared" si="2"/>
        <v>4.418</v>
      </c>
      <c r="K869" s="33">
        <f t="shared" si="13"/>
        <v>2.0102</v>
      </c>
    </row>
    <row r="870">
      <c r="A870" s="70">
        <v>44676.0</v>
      </c>
      <c r="B870" s="57">
        <v>2346.0</v>
      </c>
      <c r="C870" s="57" t="s">
        <v>180</v>
      </c>
      <c r="D870" s="57" t="s">
        <v>181</v>
      </c>
      <c r="E870" s="57" t="s">
        <v>179</v>
      </c>
      <c r="F870" s="57">
        <f t="shared" si="12"/>
        <v>0</v>
      </c>
      <c r="G870" s="57">
        <v>26.0077</v>
      </c>
      <c r="H870" s="57">
        <v>26.0949</v>
      </c>
      <c r="I870" s="57">
        <v>26.03</v>
      </c>
      <c r="J870" s="33">
        <f t="shared" si="2"/>
        <v>0.0872</v>
      </c>
      <c r="K870" s="33">
        <f t="shared" si="13"/>
        <v>0.0223</v>
      </c>
    </row>
    <row r="871">
      <c r="A871" s="70">
        <v>44676.0</v>
      </c>
      <c r="B871" s="57">
        <v>2382.0</v>
      </c>
      <c r="C871" s="57" t="s">
        <v>177</v>
      </c>
      <c r="D871" s="57" t="s">
        <v>178</v>
      </c>
      <c r="E871" s="57" t="s">
        <v>179</v>
      </c>
      <c r="F871" s="57">
        <f t="shared" si="12"/>
        <v>1</v>
      </c>
      <c r="G871" s="57">
        <v>15.9537</v>
      </c>
      <c r="H871" s="57">
        <v>17.502</v>
      </c>
      <c r="I871" s="57">
        <v>16.992</v>
      </c>
      <c r="J871" s="33">
        <f t="shared" si="2"/>
        <v>1.5483</v>
      </c>
      <c r="K871" s="33">
        <f t="shared" si="13"/>
        <v>1.0383</v>
      </c>
    </row>
    <row r="872">
      <c r="A872" s="70">
        <v>44676.0</v>
      </c>
      <c r="B872" s="57">
        <v>2376.0</v>
      </c>
      <c r="C872" s="57" t="s">
        <v>177</v>
      </c>
      <c r="D872" s="57" t="s">
        <v>178</v>
      </c>
      <c r="E872" s="57" t="s">
        <v>182</v>
      </c>
      <c r="F872" s="57">
        <f t="shared" si="12"/>
        <v>1</v>
      </c>
      <c r="G872" s="57">
        <v>25.7785</v>
      </c>
      <c r="H872" s="57">
        <v>35.816</v>
      </c>
      <c r="I872" s="57">
        <v>30.973</v>
      </c>
      <c r="J872" s="33">
        <f t="shared" si="2"/>
        <v>10.0375</v>
      </c>
      <c r="K872" s="33">
        <f t="shared" si="13"/>
        <v>5.1945</v>
      </c>
    </row>
    <row r="873">
      <c r="A873" s="70">
        <v>44678.0</v>
      </c>
      <c r="B873" s="57">
        <v>2022.0</v>
      </c>
      <c r="C873" s="57" t="s">
        <v>177</v>
      </c>
      <c r="D873" s="57" t="s">
        <v>178</v>
      </c>
      <c r="E873" s="57" t="s">
        <v>179</v>
      </c>
      <c r="F873" s="57">
        <f t="shared" si="12"/>
        <v>1</v>
      </c>
      <c r="G873" s="57">
        <v>25.4781</v>
      </c>
      <c r="H873" s="57">
        <v>27.298</v>
      </c>
      <c r="I873" s="57">
        <v>26.304</v>
      </c>
      <c r="J873" s="33">
        <f t="shared" si="2"/>
        <v>1.8199</v>
      </c>
      <c r="K873" s="33">
        <f t="shared" si="13"/>
        <v>0.8259</v>
      </c>
    </row>
    <row r="874">
      <c r="A874" s="70">
        <v>44678.0</v>
      </c>
      <c r="B874" s="57">
        <v>2006.0</v>
      </c>
      <c r="C874" s="57" t="s">
        <v>177</v>
      </c>
      <c r="D874" s="57" t="s">
        <v>178</v>
      </c>
      <c r="E874" s="57" t="s">
        <v>179</v>
      </c>
      <c r="F874" s="57">
        <f t="shared" si="12"/>
        <v>1</v>
      </c>
      <c r="G874" s="57">
        <v>26.555</v>
      </c>
      <c r="H874" s="57">
        <v>26.88</v>
      </c>
      <c r="I874" s="57">
        <v>26.9153</v>
      </c>
      <c r="J874" s="33">
        <f t="shared" si="2"/>
        <v>0.325</v>
      </c>
      <c r="K874" s="33">
        <f t="shared" si="13"/>
        <v>0.3603</v>
      </c>
    </row>
    <row r="875">
      <c r="A875" s="70">
        <v>44678.0</v>
      </c>
      <c r="B875" s="57">
        <v>2025.0</v>
      </c>
      <c r="C875" s="57" t="s">
        <v>177</v>
      </c>
      <c r="D875" s="57" t="s">
        <v>181</v>
      </c>
      <c r="E875" s="57" t="s">
        <v>182</v>
      </c>
      <c r="F875" s="57">
        <f t="shared" si="12"/>
        <v>0</v>
      </c>
      <c r="G875" s="57">
        <v>25.8849</v>
      </c>
      <c r="H875" s="57">
        <v>31.542</v>
      </c>
      <c r="I875" s="57">
        <v>28.6462</v>
      </c>
      <c r="J875" s="33">
        <f t="shared" si="2"/>
        <v>5.6571</v>
      </c>
      <c r="K875" s="33">
        <f t="shared" si="13"/>
        <v>2.7613</v>
      </c>
    </row>
    <row r="876">
      <c r="A876" s="70">
        <v>44676.0</v>
      </c>
      <c r="B876" s="57">
        <v>2371.0</v>
      </c>
      <c r="C876" s="57" t="s">
        <v>177</v>
      </c>
      <c r="D876" s="57" t="s">
        <v>181</v>
      </c>
      <c r="E876" s="57" t="s">
        <v>182</v>
      </c>
      <c r="F876" s="57">
        <f t="shared" si="12"/>
        <v>0</v>
      </c>
      <c r="G876" s="57">
        <v>26.608</v>
      </c>
      <c r="H876" s="57">
        <v>33.218</v>
      </c>
      <c r="I876" s="57">
        <v>29.9742</v>
      </c>
      <c r="J876" s="33">
        <f t="shared" si="2"/>
        <v>6.61</v>
      </c>
      <c r="K876" s="33">
        <f t="shared" si="13"/>
        <v>3.3662</v>
      </c>
    </row>
    <row r="877">
      <c r="A877" s="70">
        <v>44678.0</v>
      </c>
      <c r="B877" s="57">
        <v>2086.0</v>
      </c>
      <c r="C877" s="57" t="s">
        <v>177</v>
      </c>
      <c r="D877" s="57" t="s">
        <v>178</v>
      </c>
      <c r="E877" s="57" t="s">
        <v>179</v>
      </c>
      <c r="F877" s="57">
        <f t="shared" si="12"/>
        <v>1</v>
      </c>
      <c r="G877" s="57">
        <v>26.4658</v>
      </c>
      <c r="H877" s="57">
        <v>37.354</v>
      </c>
      <c r="I877" s="57">
        <v>26.8859</v>
      </c>
      <c r="J877" s="33">
        <f t="shared" si="2"/>
        <v>10.8882</v>
      </c>
      <c r="K877" s="33">
        <f t="shared" si="13"/>
        <v>0.4201</v>
      </c>
    </row>
    <row r="878">
      <c r="A878" s="70">
        <v>44676.0</v>
      </c>
      <c r="B878" s="57">
        <v>2382.0</v>
      </c>
      <c r="C878" s="57" t="s">
        <v>177</v>
      </c>
      <c r="D878" s="57" t="s">
        <v>181</v>
      </c>
      <c r="E878" s="57" t="s">
        <v>182</v>
      </c>
      <c r="F878" s="57">
        <f t="shared" si="12"/>
        <v>0</v>
      </c>
      <c r="G878" s="57">
        <v>26.4091</v>
      </c>
      <c r="H878" s="57">
        <v>31.938</v>
      </c>
      <c r="I878" s="57">
        <v>29.2778</v>
      </c>
      <c r="J878" s="33">
        <f t="shared" si="2"/>
        <v>5.5289</v>
      </c>
      <c r="K878" s="33">
        <f t="shared" si="13"/>
        <v>2.8687</v>
      </c>
    </row>
    <row r="879">
      <c r="A879" s="70">
        <v>44678.0</v>
      </c>
      <c r="B879" s="57">
        <v>2024.0</v>
      </c>
      <c r="C879" s="57" t="s">
        <v>177</v>
      </c>
      <c r="D879" s="57" t="s">
        <v>178</v>
      </c>
      <c r="E879" s="57" t="s">
        <v>179</v>
      </c>
      <c r="F879" s="57">
        <f t="shared" si="12"/>
        <v>1</v>
      </c>
      <c r="G879" s="57">
        <v>25.4383</v>
      </c>
      <c r="H879" s="57">
        <v>26.845</v>
      </c>
      <c r="I879" s="57">
        <v>25.9592</v>
      </c>
      <c r="J879" s="33">
        <f t="shared" si="2"/>
        <v>1.4067</v>
      </c>
      <c r="K879" s="33">
        <f t="shared" si="13"/>
        <v>0.5209</v>
      </c>
    </row>
    <row r="880">
      <c r="A880" s="70">
        <v>44678.0</v>
      </c>
      <c r="B880" s="57">
        <v>2021.0</v>
      </c>
      <c r="C880" s="57" t="s">
        <v>177</v>
      </c>
      <c r="D880" s="57" t="s">
        <v>178</v>
      </c>
      <c r="E880" s="57" t="s">
        <v>179</v>
      </c>
      <c r="F880" s="57">
        <f t="shared" si="12"/>
        <v>1</v>
      </c>
      <c r="G880" s="57">
        <v>26.3299</v>
      </c>
      <c r="H880" s="57">
        <v>27.845</v>
      </c>
      <c r="I880" s="57">
        <v>27.1118</v>
      </c>
      <c r="J880" s="33">
        <f t="shared" si="2"/>
        <v>1.5151</v>
      </c>
      <c r="K880" s="33">
        <f t="shared" si="13"/>
        <v>0.7819</v>
      </c>
    </row>
    <row r="881">
      <c r="A881" s="70">
        <v>44678.0</v>
      </c>
      <c r="B881" s="57">
        <v>2030.0</v>
      </c>
      <c r="C881" s="57" t="s">
        <v>177</v>
      </c>
      <c r="D881" s="57" t="s">
        <v>178</v>
      </c>
      <c r="E881" s="57" t="s">
        <v>182</v>
      </c>
      <c r="F881" s="57">
        <f t="shared" si="12"/>
        <v>1</v>
      </c>
      <c r="G881" s="57">
        <v>26.3523</v>
      </c>
      <c r="H881" s="57">
        <v>32.099</v>
      </c>
      <c r="I881" s="57">
        <v>24.5699</v>
      </c>
      <c r="J881" s="33">
        <f t="shared" si="2"/>
        <v>5.7467</v>
      </c>
      <c r="K881" s="33">
        <f t="shared" si="13"/>
        <v>-1.7824</v>
      </c>
    </row>
    <row r="882">
      <c r="A882" s="70">
        <v>44678.0</v>
      </c>
      <c r="B882" s="57">
        <v>2023.0</v>
      </c>
      <c r="C882" s="57" t="s">
        <v>177</v>
      </c>
      <c r="D882" s="57" t="s">
        <v>178</v>
      </c>
      <c r="E882" s="57" t="s">
        <v>182</v>
      </c>
      <c r="F882" s="57">
        <f t="shared" si="12"/>
        <v>1</v>
      </c>
      <c r="G882" s="57">
        <v>25.2559</v>
      </c>
      <c r="H882" s="57">
        <v>28.907</v>
      </c>
      <c r="I882" s="57">
        <v>27.1311</v>
      </c>
      <c r="J882" s="33">
        <f t="shared" si="2"/>
        <v>3.6511</v>
      </c>
      <c r="K882" s="33">
        <f t="shared" si="13"/>
        <v>1.8752</v>
      </c>
    </row>
    <row r="883">
      <c r="A883" s="70">
        <v>44678.0</v>
      </c>
      <c r="B883" s="57">
        <v>2013.0</v>
      </c>
      <c r="C883" s="57" t="s">
        <v>177</v>
      </c>
      <c r="D883" s="57" t="s">
        <v>181</v>
      </c>
      <c r="E883" s="57" t="s">
        <v>182</v>
      </c>
      <c r="F883" s="57">
        <f t="shared" si="12"/>
        <v>0</v>
      </c>
      <c r="G883" s="57">
        <v>26.0369</v>
      </c>
      <c r="H883" s="57">
        <v>37.582</v>
      </c>
      <c r="I883" s="57">
        <v>31.1826</v>
      </c>
      <c r="J883" s="33">
        <f t="shared" si="2"/>
        <v>11.5451</v>
      </c>
      <c r="K883" s="33">
        <f t="shared" si="13"/>
        <v>5.1457</v>
      </c>
    </row>
    <row r="884">
      <c r="A884" s="70">
        <v>44678.0</v>
      </c>
      <c r="B884" s="57">
        <v>2091.0</v>
      </c>
      <c r="C884" s="57" t="s">
        <v>177</v>
      </c>
      <c r="D884" s="57" t="s">
        <v>181</v>
      </c>
      <c r="E884" s="57" t="s">
        <v>182</v>
      </c>
      <c r="F884" s="57">
        <f t="shared" si="12"/>
        <v>0</v>
      </c>
      <c r="G884" s="57">
        <v>26.2297</v>
      </c>
      <c r="H884" s="57">
        <v>30.879</v>
      </c>
      <c r="I884" s="57">
        <v>27.9263</v>
      </c>
      <c r="J884" s="33">
        <f t="shared" si="2"/>
        <v>4.6493</v>
      </c>
      <c r="K884" s="33">
        <f t="shared" si="13"/>
        <v>1.6966</v>
      </c>
    </row>
    <row r="885">
      <c r="A885" s="70">
        <v>44676.0</v>
      </c>
      <c r="B885" s="57">
        <v>2010.0</v>
      </c>
      <c r="C885" s="57" t="s">
        <v>177</v>
      </c>
      <c r="D885" s="57" t="s">
        <v>181</v>
      </c>
      <c r="E885" s="57" t="s">
        <v>182</v>
      </c>
      <c r="F885" s="57">
        <f t="shared" si="12"/>
        <v>0</v>
      </c>
      <c r="G885" s="57">
        <v>25.9644</v>
      </c>
      <c r="H885" s="57">
        <v>32.985</v>
      </c>
      <c r="I885" s="57">
        <v>29.509</v>
      </c>
      <c r="J885" s="33">
        <f t="shared" si="2"/>
        <v>7.0206</v>
      </c>
      <c r="K885" s="33">
        <f t="shared" si="13"/>
        <v>3.5446</v>
      </c>
    </row>
    <row r="886">
      <c r="A886" s="70">
        <v>44676.0</v>
      </c>
      <c r="B886" s="57">
        <v>2365.0</v>
      </c>
      <c r="C886" s="57" t="s">
        <v>180</v>
      </c>
      <c r="D886" s="57" t="s">
        <v>181</v>
      </c>
      <c r="E886" s="57" t="s">
        <v>182</v>
      </c>
      <c r="F886" s="57">
        <f t="shared" si="12"/>
        <v>0</v>
      </c>
      <c r="G886" s="57">
        <v>25.6596</v>
      </c>
      <c r="H886" s="57">
        <v>28.0693</v>
      </c>
      <c r="I886" s="57">
        <v>26.776</v>
      </c>
      <c r="J886" s="33">
        <f t="shared" si="2"/>
        <v>2.4097</v>
      </c>
      <c r="K886" s="33">
        <f t="shared" si="13"/>
        <v>1.1164</v>
      </c>
    </row>
    <row r="887">
      <c r="A887" s="70">
        <v>44678.0</v>
      </c>
      <c r="B887" s="57">
        <v>2006.0</v>
      </c>
      <c r="C887" s="57" t="s">
        <v>177</v>
      </c>
      <c r="D887" s="57" t="s">
        <v>181</v>
      </c>
      <c r="E887" s="57" t="s">
        <v>182</v>
      </c>
      <c r="F887" s="57">
        <f t="shared" si="12"/>
        <v>0</v>
      </c>
      <c r="G887" s="57">
        <v>26.0014</v>
      </c>
      <c r="H887" s="57">
        <v>30.642</v>
      </c>
      <c r="I887" s="57">
        <v>28.1502</v>
      </c>
      <c r="J887" s="33">
        <f t="shared" si="2"/>
        <v>4.6406</v>
      </c>
      <c r="K887" s="33">
        <f t="shared" si="13"/>
        <v>2.1488</v>
      </c>
    </row>
    <row r="888">
      <c r="A888" s="70">
        <v>44678.0</v>
      </c>
      <c r="B888" s="57">
        <v>2030.0</v>
      </c>
      <c r="C888" s="57" t="s">
        <v>177</v>
      </c>
      <c r="D888" s="57" t="s">
        <v>178</v>
      </c>
      <c r="E888" s="57" t="s">
        <v>179</v>
      </c>
      <c r="F888" s="57">
        <f t="shared" si="12"/>
        <v>1</v>
      </c>
      <c r="G888" s="57">
        <v>6.2784</v>
      </c>
      <c r="H888" s="57">
        <v>7.602</v>
      </c>
      <c r="I888" s="57">
        <v>7.068</v>
      </c>
      <c r="J888" s="33">
        <f t="shared" si="2"/>
        <v>1.3236</v>
      </c>
      <c r="K888" s="33">
        <f t="shared" si="13"/>
        <v>0.7896</v>
      </c>
    </row>
    <row r="889">
      <c r="A889" s="70">
        <v>44684.0</v>
      </c>
      <c r="B889" s="57" t="s">
        <v>185</v>
      </c>
      <c r="C889" s="57" t="s">
        <v>180</v>
      </c>
      <c r="D889" s="57" t="s">
        <v>181</v>
      </c>
      <c r="E889" s="57" t="s">
        <v>179</v>
      </c>
      <c r="F889" s="57">
        <f t="shared" si="12"/>
        <v>0</v>
      </c>
      <c r="G889" s="57">
        <v>6.3003</v>
      </c>
      <c r="H889" s="57">
        <v>8.3887</v>
      </c>
      <c r="I889" s="57">
        <v>6.7379</v>
      </c>
      <c r="J889" s="33">
        <f t="shared" si="2"/>
        <v>2.0884</v>
      </c>
      <c r="K889" s="33">
        <f t="shared" si="13"/>
        <v>0.4376</v>
      </c>
      <c r="L889" s="57">
        <v>2.1</v>
      </c>
    </row>
    <row r="890">
      <c r="A890" s="70">
        <v>44678.0</v>
      </c>
      <c r="B890" s="57">
        <v>2093.0</v>
      </c>
      <c r="C890" s="57" t="s">
        <v>177</v>
      </c>
      <c r="D890" s="57" t="s">
        <v>178</v>
      </c>
      <c r="E890" s="57" t="s">
        <v>179</v>
      </c>
      <c r="F890" s="57">
        <f t="shared" si="12"/>
        <v>1</v>
      </c>
      <c r="G890" s="57">
        <v>6.3589</v>
      </c>
      <c r="H890" s="57">
        <v>7.381</v>
      </c>
      <c r="I890" s="57">
        <v>6.915</v>
      </c>
      <c r="J890" s="33">
        <f t="shared" si="2"/>
        <v>1.0221</v>
      </c>
      <c r="K890" s="33">
        <f t="shared" si="13"/>
        <v>0.5561</v>
      </c>
    </row>
    <row r="891">
      <c r="A891" s="70">
        <v>44684.0</v>
      </c>
      <c r="B891" s="57" t="s">
        <v>185</v>
      </c>
      <c r="C891" s="57" t="s">
        <v>180</v>
      </c>
      <c r="D891" s="57" t="s">
        <v>181</v>
      </c>
      <c r="E891" s="57" t="s">
        <v>179</v>
      </c>
      <c r="F891" s="57">
        <f t="shared" si="12"/>
        <v>0</v>
      </c>
      <c r="G891" s="57">
        <v>6.2816</v>
      </c>
      <c r="H891" s="57">
        <v>8.8093</v>
      </c>
      <c r="I891" s="57">
        <v>6.8614</v>
      </c>
      <c r="J891" s="33">
        <f t="shared" si="2"/>
        <v>2.5277</v>
      </c>
      <c r="K891" s="33">
        <f t="shared" si="13"/>
        <v>0.5798</v>
      </c>
      <c r="L891" s="57">
        <v>5.0</v>
      </c>
    </row>
    <row r="892">
      <c r="A892" s="70">
        <v>44678.0</v>
      </c>
      <c r="B892" s="57">
        <v>2089.0</v>
      </c>
      <c r="C892" s="57" t="s">
        <v>177</v>
      </c>
      <c r="D892" s="57" t="s">
        <v>178</v>
      </c>
      <c r="E892" s="57" t="s">
        <v>179</v>
      </c>
      <c r="F892" s="57">
        <f t="shared" si="12"/>
        <v>1</v>
      </c>
      <c r="G892" s="57">
        <v>7.3335</v>
      </c>
      <c r="H892" s="57">
        <v>8.316</v>
      </c>
      <c r="I892" s="57">
        <v>7.901</v>
      </c>
      <c r="J892" s="33">
        <f t="shared" si="2"/>
        <v>0.9825</v>
      </c>
      <c r="K892" s="33">
        <f t="shared" si="13"/>
        <v>0.5675</v>
      </c>
    </row>
    <row r="893">
      <c r="A893" s="70">
        <v>44678.0</v>
      </c>
      <c r="B893" s="57">
        <v>2025.0</v>
      </c>
      <c r="C893" s="57" t="s">
        <v>177</v>
      </c>
      <c r="D893" s="57" t="s">
        <v>181</v>
      </c>
      <c r="E893" s="57" t="s">
        <v>179</v>
      </c>
      <c r="F893" s="57">
        <f t="shared" si="12"/>
        <v>0</v>
      </c>
      <c r="G893" s="57">
        <v>7.431</v>
      </c>
      <c r="H893" s="57">
        <v>7.85</v>
      </c>
      <c r="I893" s="57">
        <v>7.668</v>
      </c>
      <c r="J893" s="33">
        <f t="shared" si="2"/>
        <v>0.419</v>
      </c>
      <c r="K893" s="33">
        <f t="shared" si="13"/>
        <v>0.237</v>
      </c>
    </row>
    <row r="894">
      <c r="A894" s="70">
        <v>44684.0</v>
      </c>
      <c r="B894" s="57" t="s">
        <v>144</v>
      </c>
      <c r="C894" s="57" t="s">
        <v>180</v>
      </c>
      <c r="D894" s="57" t="s">
        <v>181</v>
      </c>
      <c r="E894" s="57" t="s">
        <v>182</v>
      </c>
      <c r="F894" s="57">
        <f t="shared" si="12"/>
        <v>0</v>
      </c>
      <c r="G894" s="57">
        <v>7.3242</v>
      </c>
      <c r="H894" s="57">
        <v>9.7511</v>
      </c>
      <c r="I894" s="57">
        <v>8.3044</v>
      </c>
      <c r="J894" s="33">
        <f t="shared" si="2"/>
        <v>2.4269</v>
      </c>
      <c r="K894" s="33">
        <f t="shared" si="13"/>
        <v>0.9802</v>
      </c>
      <c r="L894" s="57">
        <v>1.0</v>
      </c>
    </row>
    <row r="895">
      <c r="A895" s="70">
        <v>44678.0</v>
      </c>
      <c r="B895" s="57">
        <v>2023.0</v>
      </c>
      <c r="C895" s="57" t="s">
        <v>177</v>
      </c>
      <c r="D895" s="57" t="s">
        <v>181</v>
      </c>
      <c r="E895" s="57" t="s">
        <v>179</v>
      </c>
      <c r="F895" s="57">
        <f t="shared" si="12"/>
        <v>0</v>
      </c>
      <c r="G895" s="57">
        <v>7.4606</v>
      </c>
      <c r="H895" s="57">
        <v>7.687</v>
      </c>
      <c r="I895" s="57">
        <v>7.6235</v>
      </c>
      <c r="J895" s="33">
        <f t="shared" si="2"/>
        <v>0.2264</v>
      </c>
      <c r="K895" s="33">
        <f t="shared" si="13"/>
        <v>0.1629</v>
      </c>
    </row>
    <row r="896">
      <c r="A896" s="70">
        <v>44678.0</v>
      </c>
      <c r="B896" s="57">
        <v>2013.0</v>
      </c>
      <c r="C896" s="57" t="s">
        <v>177</v>
      </c>
      <c r="D896" s="57" t="s">
        <v>178</v>
      </c>
      <c r="E896" s="57" t="s">
        <v>179</v>
      </c>
      <c r="F896" s="57">
        <f t="shared" si="12"/>
        <v>1</v>
      </c>
      <c r="G896" s="57">
        <v>7.2988</v>
      </c>
      <c r="H896" s="57">
        <v>10.936</v>
      </c>
      <c r="I896" s="57">
        <v>9.209</v>
      </c>
      <c r="J896" s="33">
        <f t="shared" si="2"/>
        <v>3.6372</v>
      </c>
      <c r="K896" s="33">
        <f t="shared" si="13"/>
        <v>1.9102</v>
      </c>
    </row>
    <row r="897">
      <c r="A897" s="70">
        <v>44684.0</v>
      </c>
      <c r="B897" s="57" t="s">
        <v>144</v>
      </c>
      <c r="C897" s="57" t="s">
        <v>180</v>
      </c>
      <c r="D897" s="57" t="s">
        <v>181</v>
      </c>
      <c r="E897" s="57" t="s">
        <v>182</v>
      </c>
      <c r="F897" s="57">
        <f t="shared" si="12"/>
        <v>0</v>
      </c>
      <c r="G897" s="57">
        <v>7.3545</v>
      </c>
      <c r="H897" s="57">
        <v>10.0648</v>
      </c>
      <c r="I897" s="57">
        <v>8.3641</v>
      </c>
      <c r="J897" s="33">
        <f t="shared" si="2"/>
        <v>2.7103</v>
      </c>
      <c r="K897" s="33">
        <f t="shared" si="13"/>
        <v>1.0096</v>
      </c>
      <c r="L897" s="57">
        <v>5.0</v>
      </c>
    </row>
    <row r="898">
      <c r="A898" s="70">
        <v>44684.0</v>
      </c>
      <c r="B898" s="57" t="s">
        <v>144</v>
      </c>
      <c r="C898" s="57" t="s">
        <v>180</v>
      </c>
      <c r="D898" s="57" t="s">
        <v>181</v>
      </c>
      <c r="E898" s="57" t="s">
        <v>182</v>
      </c>
      <c r="F898" s="57">
        <f t="shared" si="12"/>
        <v>0</v>
      </c>
      <c r="G898" s="57">
        <v>6.2503</v>
      </c>
      <c r="H898" s="57">
        <v>8.2273</v>
      </c>
      <c r="I898" s="57">
        <v>6.9794</v>
      </c>
      <c r="J898" s="33">
        <f t="shared" si="2"/>
        <v>1.977</v>
      </c>
      <c r="K898" s="33">
        <f t="shared" si="13"/>
        <v>0.7291</v>
      </c>
      <c r="L898" s="57">
        <v>4.0</v>
      </c>
    </row>
    <row r="899">
      <c r="A899" s="70">
        <v>44684.0</v>
      </c>
      <c r="B899" s="57" t="s">
        <v>185</v>
      </c>
      <c r="C899" s="57" t="s">
        <v>180</v>
      </c>
      <c r="D899" s="57" t="s">
        <v>181</v>
      </c>
      <c r="E899" s="57" t="s">
        <v>179</v>
      </c>
      <c r="F899" s="57">
        <f t="shared" si="12"/>
        <v>0</v>
      </c>
      <c r="G899" s="57">
        <v>7.3344</v>
      </c>
      <c r="H899" s="57">
        <v>9.3511</v>
      </c>
      <c r="I899" s="57">
        <v>7.8649</v>
      </c>
      <c r="J899" s="33">
        <f t="shared" si="2"/>
        <v>2.0167</v>
      </c>
      <c r="K899" s="33">
        <f t="shared" si="13"/>
        <v>0.5305</v>
      </c>
      <c r="L899" s="57">
        <v>1.0</v>
      </c>
    </row>
    <row r="900">
      <c r="A900" s="70">
        <v>44684.0</v>
      </c>
      <c r="B900" s="57" t="s">
        <v>186</v>
      </c>
      <c r="C900" s="57" t="s">
        <v>180</v>
      </c>
      <c r="D900" s="57" t="s">
        <v>181</v>
      </c>
      <c r="E900" s="57" t="s">
        <v>179</v>
      </c>
      <c r="F900" s="57">
        <f t="shared" si="12"/>
        <v>0</v>
      </c>
      <c r="G900" s="57">
        <v>7.4014</v>
      </c>
      <c r="H900" s="57">
        <v>8.3818</v>
      </c>
      <c r="I900" s="57">
        <v>7.7325</v>
      </c>
      <c r="J900" s="33">
        <f t="shared" si="2"/>
        <v>0.9804</v>
      </c>
      <c r="K900" s="33">
        <f t="shared" si="13"/>
        <v>0.3311</v>
      </c>
    </row>
    <row r="901">
      <c r="A901" s="70">
        <v>44678.0</v>
      </c>
      <c r="B901" s="57">
        <v>2093.0</v>
      </c>
      <c r="C901" s="57" t="s">
        <v>177</v>
      </c>
      <c r="D901" s="57" t="s">
        <v>181</v>
      </c>
      <c r="E901" s="57" t="s">
        <v>179</v>
      </c>
      <c r="F901" s="57">
        <f t="shared" si="12"/>
        <v>0</v>
      </c>
      <c r="G901" s="57">
        <v>7.5214</v>
      </c>
      <c r="H901" s="57">
        <v>7.949</v>
      </c>
      <c r="I901" s="57">
        <v>7.7308</v>
      </c>
      <c r="J901" s="33">
        <f t="shared" si="2"/>
        <v>0.4276</v>
      </c>
      <c r="K901" s="33">
        <f t="shared" si="13"/>
        <v>0.2094</v>
      </c>
    </row>
    <row r="902">
      <c r="A902" s="70">
        <v>44678.0</v>
      </c>
      <c r="B902" s="57">
        <v>2089.0</v>
      </c>
      <c r="C902" s="57" t="s">
        <v>177</v>
      </c>
      <c r="D902" s="57" t="s">
        <v>181</v>
      </c>
      <c r="E902" s="57" t="s">
        <v>179</v>
      </c>
      <c r="F902" s="57">
        <f t="shared" si="12"/>
        <v>0</v>
      </c>
      <c r="G902" s="57">
        <v>7.4013</v>
      </c>
      <c r="H902" s="57">
        <v>7.515</v>
      </c>
      <c r="I902" s="57">
        <v>7.447</v>
      </c>
      <c r="J902" s="33">
        <f t="shared" si="2"/>
        <v>0.1137</v>
      </c>
      <c r="K902" s="33">
        <f t="shared" si="13"/>
        <v>0.0457</v>
      </c>
    </row>
    <row r="903">
      <c r="A903" s="70">
        <v>44684.0</v>
      </c>
      <c r="B903" s="57" t="s">
        <v>186</v>
      </c>
      <c r="C903" s="57" t="s">
        <v>180</v>
      </c>
      <c r="D903" s="57" t="s">
        <v>181</v>
      </c>
      <c r="E903" s="57" t="s">
        <v>179</v>
      </c>
      <c r="F903" s="57">
        <f t="shared" si="12"/>
        <v>0</v>
      </c>
      <c r="G903" s="57">
        <v>6.2866</v>
      </c>
      <c r="H903" s="57">
        <v>7.1931</v>
      </c>
      <c r="I903" s="57">
        <v>6.5668</v>
      </c>
      <c r="J903" s="33">
        <f t="shared" si="2"/>
        <v>0.9065</v>
      </c>
      <c r="K903" s="33">
        <f t="shared" si="13"/>
        <v>0.2802</v>
      </c>
      <c r="L903" s="57">
        <v>4.0</v>
      </c>
    </row>
    <row r="904">
      <c r="A904" s="70">
        <v>44678.0</v>
      </c>
      <c r="B904" s="57">
        <v>2030.0</v>
      </c>
      <c r="C904" s="57" t="s">
        <v>177</v>
      </c>
      <c r="D904" s="57" t="s">
        <v>181</v>
      </c>
      <c r="E904" s="57" t="s">
        <v>179</v>
      </c>
      <c r="F904" s="57">
        <f t="shared" si="12"/>
        <v>0</v>
      </c>
      <c r="G904" s="57">
        <v>7.3527</v>
      </c>
      <c r="H904" s="57">
        <v>8.179</v>
      </c>
      <c r="I904" s="57">
        <v>7.78</v>
      </c>
      <c r="J904" s="33">
        <f t="shared" si="2"/>
        <v>0.8263</v>
      </c>
      <c r="K904" s="33">
        <f t="shared" si="13"/>
        <v>0.4273</v>
      </c>
    </row>
    <row r="905">
      <c r="A905" s="70">
        <v>44678.0</v>
      </c>
      <c r="B905" s="57">
        <v>2013.0</v>
      </c>
      <c r="C905" s="57" t="s">
        <v>177</v>
      </c>
      <c r="D905" s="57" t="s">
        <v>181</v>
      </c>
      <c r="E905" s="57" t="s">
        <v>179</v>
      </c>
      <c r="F905" s="57">
        <f t="shared" si="12"/>
        <v>0</v>
      </c>
      <c r="G905" s="57">
        <v>6.3433</v>
      </c>
      <c r="H905" s="57">
        <v>8.541</v>
      </c>
      <c r="I905" s="57">
        <v>7.3452</v>
      </c>
      <c r="J905" s="33">
        <f t="shared" si="2"/>
        <v>2.1977</v>
      </c>
      <c r="K905" s="33">
        <f t="shared" si="13"/>
        <v>1.0019</v>
      </c>
    </row>
    <row r="906">
      <c r="A906" s="70">
        <v>44684.0</v>
      </c>
      <c r="B906" s="57" t="s">
        <v>186</v>
      </c>
      <c r="C906" s="57" t="s">
        <v>180</v>
      </c>
      <c r="D906" s="57" t="s">
        <v>181</v>
      </c>
      <c r="E906" s="57" t="s">
        <v>179</v>
      </c>
      <c r="F906" s="57">
        <f t="shared" si="12"/>
        <v>0</v>
      </c>
      <c r="G906" s="57">
        <v>6.3187</v>
      </c>
      <c r="H906" s="57">
        <v>7.3109</v>
      </c>
      <c r="I906" s="57">
        <v>6.6313</v>
      </c>
      <c r="J906" s="33">
        <f t="shared" si="2"/>
        <v>0.9922</v>
      </c>
      <c r="K906" s="33">
        <f t="shared" si="13"/>
        <v>0.3126</v>
      </c>
      <c r="L906" s="57">
        <v>3.0</v>
      </c>
    </row>
    <row r="907">
      <c r="A907" s="70">
        <v>44684.0</v>
      </c>
      <c r="B907" s="57" t="s">
        <v>185</v>
      </c>
      <c r="C907" s="57" t="s">
        <v>180</v>
      </c>
      <c r="D907" s="57" t="s">
        <v>181</v>
      </c>
      <c r="E907" s="57" t="s">
        <v>179</v>
      </c>
      <c r="F907" s="57">
        <f t="shared" si="12"/>
        <v>0</v>
      </c>
      <c r="G907" s="57">
        <v>7.3307</v>
      </c>
      <c r="H907" s="57">
        <v>9.2635</v>
      </c>
      <c r="I907" s="57">
        <v>7.6795</v>
      </c>
      <c r="J907" s="33">
        <f t="shared" si="2"/>
        <v>1.9328</v>
      </c>
      <c r="K907" s="33">
        <f t="shared" si="13"/>
        <v>0.3488</v>
      </c>
      <c r="L907" s="57">
        <v>5.0</v>
      </c>
    </row>
    <row r="908">
      <c r="A908" s="70">
        <v>44678.0</v>
      </c>
      <c r="B908" s="57">
        <v>2005.0</v>
      </c>
      <c r="C908" s="57" t="s">
        <v>177</v>
      </c>
      <c r="D908" s="57" t="s">
        <v>181</v>
      </c>
      <c r="E908" s="57" t="s">
        <v>179</v>
      </c>
      <c r="F908" s="57">
        <f t="shared" si="12"/>
        <v>0</v>
      </c>
      <c r="G908" s="57">
        <v>7.4265</v>
      </c>
      <c r="H908" s="57">
        <v>8.195</v>
      </c>
      <c r="I908" s="57">
        <v>7.822</v>
      </c>
      <c r="J908" s="33">
        <f t="shared" si="2"/>
        <v>0.7685</v>
      </c>
      <c r="K908" s="33">
        <f t="shared" si="13"/>
        <v>0.3955</v>
      </c>
    </row>
    <row r="909">
      <c r="A909" s="70">
        <v>44684.0</v>
      </c>
      <c r="B909" s="57" t="s">
        <v>144</v>
      </c>
      <c r="C909" s="57" t="s">
        <v>180</v>
      </c>
      <c r="D909" s="57" t="s">
        <v>181</v>
      </c>
      <c r="E909" s="57" t="s">
        <v>182</v>
      </c>
      <c r="F909" s="57">
        <f t="shared" si="12"/>
        <v>0</v>
      </c>
      <c r="G909" s="57">
        <v>7.3264</v>
      </c>
      <c r="H909" s="57">
        <v>11.4276</v>
      </c>
      <c r="I909" s="57">
        <v>8.6403</v>
      </c>
      <c r="J909" s="33">
        <f t="shared" si="2"/>
        <v>4.1012</v>
      </c>
      <c r="K909" s="33">
        <f t="shared" si="13"/>
        <v>1.3139</v>
      </c>
      <c r="L909" s="57">
        <v>3.0</v>
      </c>
    </row>
    <row r="910">
      <c r="F910" s="57">
        <f t="shared" si="12"/>
        <v>0</v>
      </c>
      <c r="J910" s="33">
        <f t="shared" si="2"/>
        <v>0</v>
      </c>
      <c r="K910" s="33">
        <f t="shared" si="13"/>
        <v>0</v>
      </c>
    </row>
    <row r="911">
      <c r="F911" s="57">
        <f t="shared" si="12"/>
        <v>0</v>
      </c>
      <c r="J911" s="33">
        <f t="shared" si="2"/>
        <v>0</v>
      </c>
      <c r="K911" s="33">
        <f t="shared" si="13"/>
        <v>0</v>
      </c>
    </row>
    <row r="912">
      <c r="F912" s="57">
        <f t="shared" si="12"/>
        <v>0</v>
      </c>
      <c r="J912" s="33">
        <f t="shared" si="2"/>
        <v>0</v>
      </c>
      <c r="K912" s="33">
        <f t="shared" si="13"/>
        <v>0</v>
      </c>
    </row>
    <row r="913">
      <c r="F913" s="57">
        <f t="shared" si="12"/>
        <v>0</v>
      </c>
      <c r="J913" s="33">
        <f t="shared" si="2"/>
        <v>0</v>
      </c>
      <c r="K913" s="33">
        <f t="shared" si="13"/>
        <v>0</v>
      </c>
    </row>
    <row r="914">
      <c r="F914" s="57">
        <f t="shared" si="12"/>
        <v>0</v>
      </c>
      <c r="J914" s="33">
        <f t="shared" si="2"/>
        <v>0</v>
      </c>
      <c r="K914" s="33">
        <f t="shared" si="13"/>
        <v>0</v>
      </c>
    </row>
    <row r="915">
      <c r="F915" s="57">
        <f t="shared" si="12"/>
        <v>0</v>
      </c>
      <c r="J915" s="33">
        <f t="shared" si="2"/>
        <v>0</v>
      </c>
      <c r="K915" s="33">
        <f t="shared" si="13"/>
        <v>0</v>
      </c>
    </row>
    <row r="916">
      <c r="F916" s="57">
        <f t="shared" si="12"/>
        <v>0</v>
      </c>
      <c r="J916" s="33">
        <f t="shared" si="2"/>
        <v>0</v>
      </c>
      <c r="K916" s="33">
        <f t="shared" si="13"/>
        <v>0</v>
      </c>
    </row>
    <row r="917">
      <c r="F917" s="57">
        <f t="shared" si="12"/>
        <v>0</v>
      </c>
      <c r="J917" s="33">
        <f t="shared" si="2"/>
        <v>0</v>
      </c>
      <c r="K917" s="33">
        <f t="shared" si="13"/>
        <v>0</v>
      </c>
    </row>
    <row r="918">
      <c r="F918" s="57">
        <f t="shared" si="12"/>
        <v>0</v>
      </c>
      <c r="J918" s="33">
        <f t="shared" si="2"/>
        <v>0</v>
      </c>
      <c r="K918" s="33">
        <f t="shared" si="13"/>
        <v>0</v>
      </c>
    </row>
    <row r="919">
      <c r="F919" s="57">
        <f t="shared" si="12"/>
        <v>0</v>
      </c>
      <c r="J919" s="33">
        <f t="shared" si="2"/>
        <v>0</v>
      </c>
      <c r="K919" s="33">
        <f t="shared" si="13"/>
        <v>0</v>
      </c>
    </row>
    <row r="920">
      <c r="F920" s="57">
        <f t="shared" si="12"/>
        <v>0</v>
      </c>
      <c r="J920" s="33">
        <f t="shared" si="2"/>
        <v>0</v>
      </c>
      <c r="K920" s="33">
        <f t="shared" si="13"/>
        <v>0</v>
      </c>
    </row>
    <row r="921">
      <c r="F921" s="57">
        <f t="shared" si="12"/>
        <v>0</v>
      </c>
      <c r="J921" s="33">
        <f t="shared" si="2"/>
        <v>0</v>
      </c>
      <c r="K921" s="33">
        <f t="shared" si="13"/>
        <v>0</v>
      </c>
    </row>
    <row r="922">
      <c r="F922" s="57">
        <f t="shared" si="12"/>
        <v>0</v>
      </c>
      <c r="J922" s="33">
        <f t="shared" si="2"/>
        <v>0</v>
      </c>
      <c r="K922" s="33">
        <f t="shared" si="13"/>
        <v>0</v>
      </c>
    </row>
    <row r="923">
      <c r="F923" s="57">
        <f t="shared" si="12"/>
        <v>0</v>
      </c>
      <c r="J923" s="33">
        <f t="shared" si="2"/>
        <v>0</v>
      </c>
      <c r="K923" s="33">
        <f t="shared" si="13"/>
        <v>0</v>
      </c>
    </row>
    <row r="924">
      <c r="F924" s="57">
        <f t="shared" si="12"/>
        <v>0</v>
      </c>
      <c r="J924" s="33">
        <f t="shared" si="2"/>
        <v>0</v>
      </c>
      <c r="K924" s="33">
        <f t="shared" si="13"/>
        <v>0</v>
      </c>
    </row>
    <row r="925">
      <c r="F925" s="57">
        <f t="shared" si="12"/>
        <v>0</v>
      </c>
      <c r="J925" s="33">
        <f t="shared" si="2"/>
        <v>0</v>
      </c>
      <c r="K925" s="33">
        <f t="shared" si="13"/>
        <v>0</v>
      </c>
    </row>
    <row r="926">
      <c r="F926" s="57">
        <f t="shared" si="12"/>
        <v>0</v>
      </c>
      <c r="J926" s="33">
        <f t="shared" si="2"/>
        <v>0</v>
      </c>
      <c r="K926" s="33">
        <f t="shared" si="13"/>
        <v>0</v>
      </c>
    </row>
    <row r="927">
      <c r="F927" s="57">
        <f t="shared" si="12"/>
        <v>0</v>
      </c>
      <c r="J927" s="33">
        <f t="shared" si="2"/>
        <v>0</v>
      </c>
      <c r="K927" s="33">
        <f t="shared" si="13"/>
        <v>0</v>
      </c>
    </row>
    <row r="928">
      <c r="F928" s="57">
        <f t="shared" si="12"/>
        <v>0</v>
      </c>
      <c r="J928" s="33">
        <f t="shared" si="2"/>
        <v>0</v>
      </c>
      <c r="K928" s="33">
        <f t="shared" si="13"/>
        <v>0</v>
      </c>
    </row>
    <row r="929">
      <c r="F929" s="57">
        <f t="shared" si="12"/>
        <v>0</v>
      </c>
      <c r="J929" s="33">
        <f t="shared" si="2"/>
        <v>0</v>
      </c>
      <c r="K929" s="33">
        <f t="shared" si="13"/>
        <v>0</v>
      </c>
    </row>
    <row r="930">
      <c r="F930" s="57">
        <f t="shared" si="12"/>
        <v>0</v>
      </c>
      <c r="J930" s="33">
        <f t="shared" si="2"/>
        <v>0</v>
      </c>
      <c r="K930" s="33">
        <f t="shared" si="13"/>
        <v>0</v>
      </c>
    </row>
    <row r="931">
      <c r="F931" s="57">
        <f t="shared" si="12"/>
        <v>0</v>
      </c>
      <c r="J931" s="33">
        <f t="shared" si="2"/>
        <v>0</v>
      </c>
      <c r="K931" s="33">
        <f t="shared" si="13"/>
        <v>0</v>
      </c>
    </row>
    <row r="932">
      <c r="F932" s="57">
        <f t="shared" si="12"/>
        <v>0</v>
      </c>
      <c r="J932" s="33">
        <f t="shared" si="2"/>
        <v>0</v>
      </c>
      <c r="K932" s="33">
        <f t="shared" si="13"/>
        <v>0</v>
      </c>
    </row>
    <row r="933">
      <c r="F933" s="57">
        <f t="shared" si="12"/>
        <v>0</v>
      </c>
      <c r="J933" s="33">
        <f t="shared" si="2"/>
        <v>0</v>
      </c>
      <c r="K933" s="33">
        <f t="shared" si="13"/>
        <v>0</v>
      </c>
    </row>
    <row r="934">
      <c r="F934" s="57">
        <f t="shared" si="12"/>
        <v>0</v>
      </c>
      <c r="J934" s="33">
        <f t="shared" si="2"/>
        <v>0</v>
      </c>
      <c r="K934" s="33">
        <f t="shared" si="13"/>
        <v>0</v>
      </c>
    </row>
    <row r="935">
      <c r="F935" s="57">
        <f t="shared" si="12"/>
        <v>0</v>
      </c>
      <c r="J935" s="33">
        <f t="shared" si="2"/>
        <v>0</v>
      </c>
      <c r="K935" s="33">
        <f t="shared" si="13"/>
        <v>0</v>
      </c>
    </row>
    <row r="936">
      <c r="F936" s="57">
        <f t="shared" si="12"/>
        <v>0</v>
      </c>
      <c r="J936" s="33">
        <f t="shared" si="2"/>
        <v>0</v>
      </c>
      <c r="K936" s="33">
        <f t="shared" si="13"/>
        <v>0</v>
      </c>
    </row>
    <row r="937">
      <c r="F937" s="57">
        <f t="shared" si="12"/>
        <v>0</v>
      </c>
      <c r="J937" s="33">
        <f t="shared" si="2"/>
        <v>0</v>
      </c>
      <c r="K937" s="33">
        <f t="shared" si="13"/>
        <v>0</v>
      </c>
    </row>
    <row r="938">
      <c r="F938" s="57">
        <f t="shared" si="12"/>
        <v>0</v>
      </c>
      <c r="J938" s="33">
        <f t="shared" si="2"/>
        <v>0</v>
      </c>
      <c r="K938" s="33">
        <f t="shared" si="13"/>
        <v>0</v>
      </c>
    </row>
    <row r="939">
      <c r="F939" s="57">
        <f t="shared" si="12"/>
        <v>0</v>
      </c>
      <c r="J939" s="33">
        <f t="shared" si="2"/>
        <v>0</v>
      </c>
      <c r="K939" s="33">
        <f t="shared" si="13"/>
        <v>0</v>
      </c>
    </row>
    <row r="940">
      <c r="F940" s="57">
        <f t="shared" si="12"/>
        <v>0</v>
      </c>
      <c r="J940" s="33">
        <f t="shared" si="2"/>
        <v>0</v>
      </c>
      <c r="K940" s="33">
        <f t="shared" si="13"/>
        <v>0</v>
      </c>
    </row>
    <row r="941">
      <c r="F941" s="57">
        <f t="shared" si="12"/>
        <v>0</v>
      </c>
      <c r="J941" s="33">
        <f t="shared" si="2"/>
        <v>0</v>
      </c>
      <c r="K941" s="33">
        <f t="shared" si="13"/>
        <v>0</v>
      </c>
    </row>
    <row r="942">
      <c r="F942" s="57">
        <f t="shared" si="12"/>
        <v>0</v>
      </c>
      <c r="J942" s="33">
        <f t="shared" si="2"/>
        <v>0</v>
      </c>
      <c r="K942" s="33">
        <f t="shared" si="13"/>
        <v>0</v>
      </c>
    </row>
    <row r="943">
      <c r="F943" s="57">
        <f t="shared" si="12"/>
        <v>0</v>
      </c>
      <c r="J943" s="33">
        <f t="shared" si="2"/>
        <v>0</v>
      </c>
      <c r="K943" s="33">
        <f t="shared" si="13"/>
        <v>0</v>
      </c>
    </row>
    <row r="944">
      <c r="F944" s="57">
        <f t="shared" si="12"/>
        <v>0</v>
      </c>
      <c r="J944" s="33">
        <f t="shared" si="2"/>
        <v>0</v>
      </c>
      <c r="K944" s="33">
        <f t="shared" si="13"/>
        <v>0</v>
      </c>
    </row>
    <row r="945">
      <c r="F945" s="57">
        <f t="shared" si="12"/>
        <v>0</v>
      </c>
      <c r="J945" s="33">
        <f t="shared" si="2"/>
        <v>0</v>
      </c>
      <c r="K945" s="33">
        <f t="shared" si="13"/>
        <v>0</v>
      </c>
    </row>
    <row r="946">
      <c r="F946" s="57">
        <f t="shared" si="12"/>
        <v>0</v>
      </c>
      <c r="J946" s="33">
        <f t="shared" si="2"/>
        <v>0</v>
      </c>
      <c r="K946" s="33">
        <f t="shared" si="13"/>
        <v>0</v>
      </c>
    </row>
    <row r="947">
      <c r="F947" s="57">
        <f t="shared" si="12"/>
        <v>0</v>
      </c>
      <c r="J947" s="33">
        <f t="shared" si="2"/>
        <v>0</v>
      </c>
      <c r="K947" s="33">
        <f t="shared" si="13"/>
        <v>0</v>
      </c>
    </row>
    <row r="948">
      <c r="F948" s="57">
        <f t="shared" si="12"/>
        <v>0</v>
      </c>
      <c r="J948" s="33">
        <f t="shared" si="2"/>
        <v>0</v>
      </c>
      <c r="K948" s="33">
        <f t="shared" si="13"/>
        <v>0</v>
      </c>
    </row>
    <row r="949">
      <c r="F949" s="57">
        <f t="shared" si="12"/>
        <v>0</v>
      </c>
      <c r="J949" s="33">
        <f t="shared" si="2"/>
        <v>0</v>
      </c>
      <c r="K949" s="33">
        <f t="shared" si="13"/>
        <v>0</v>
      </c>
    </row>
    <row r="950">
      <c r="F950" s="57">
        <f t="shared" si="12"/>
        <v>0</v>
      </c>
      <c r="J950" s="33">
        <f t="shared" si="2"/>
        <v>0</v>
      </c>
      <c r="K950" s="33">
        <f t="shared" si="13"/>
        <v>0</v>
      </c>
    </row>
    <row r="951">
      <c r="F951" s="57">
        <f t="shared" si="12"/>
        <v>0</v>
      </c>
      <c r="J951" s="33">
        <f t="shared" si="2"/>
        <v>0</v>
      </c>
      <c r="K951" s="33">
        <f t="shared" si="13"/>
        <v>0</v>
      </c>
    </row>
    <row r="952">
      <c r="F952" s="57">
        <f t="shared" si="12"/>
        <v>0</v>
      </c>
      <c r="J952" s="33">
        <f t="shared" si="2"/>
        <v>0</v>
      </c>
      <c r="K952" s="33">
        <f t="shared" si="13"/>
        <v>0</v>
      </c>
    </row>
    <row r="953">
      <c r="F953" s="57">
        <f t="shared" si="12"/>
        <v>0</v>
      </c>
      <c r="J953" s="33">
        <f t="shared" si="2"/>
        <v>0</v>
      </c>
      <c r="K953" s="33">
        <f t="shared" si="13"/>
        <v>0</v>
      </c>
    </row>
    <row r="954">
      <c r="F954" s="57">
        <f t="shared" si="12"/>
        <v>0</v>
      </c>
      <c r="J954" s="33">
        <f t="shared" si="2"/>
        <v>0</v>
      </c>
      <c r="K954" s="33">
        <f t="shared" si="13"/>
        <v>0</v>
      </c>
    </row>
    <row r="955">
      <c r="F955" s="57">
        <f t="shared" si="12"/>
        <v>0</v>
      </c>
      <c r="J955" s="33">
        <f t="shared" si="2"/>
        <v>0</v>
      </c>
      <c r="K955" s="33">
        <f t="shared" si="13"/>
        <v>0</v>
      </c>
    </row>
    <row r="956">
      <c r="F956" s="57">
        <f t="shared" si="12"/>
        <v>0</v>
      </c>
      <c r="J956" s="33">
        <f t="shared" si="2"/>
        <v>0</v>
      </c>
      <c r="K956" s="33">
        <f t="shared" si="13"/>
        <v>0</v>
      </c>
    </row>
    <row r="957">
      <c r="F957" s="57">
        <f t="shared" si="12"/>
        <v>0</v>
      </c>
      <c r="J957" s="33">
        <f t="shared" si="2"/>
        <v>0</v>
      </c>
      <c r="K957" s="33">
        <f t="shared" si="13"/>
        <v>0</v>
      </c>
    </row>
    <row r="958">
      <c r="F958" s="57">
        <f t="shared" si="12"/>
        <v>0</v>
      </c>
      <c r="J958" s="33">
        <f t="shared" si="2"/>
        <v>0</v>
      </c>
      <c r="K958" s="33">
        <f t="shared" si="13"/>
        <v>0</v>
      </c>
    </row>
    <row r="959">
      <c r="F959" s="57">
        <f t="shared" si="12"/>
        <v>0</v>
      </c>
      <c r="J959" s="33">
        <f t="shared" si="2"/>
        <v>0</v>
      </c>
      <c r="K959" s="33">
        <f t="shared" si="13"/>
        <v>0</v>
      </c>
    </row>
    <row r="960">
      <c r="F960" s="57">
        <f t="shared" si="12"/>
        <v>0</v>
      </c>
      <c r="J960" s="33">
        <f t="shared" si="2"/>
        <v>0</v>
      </c>
      <c r="K960" s="33">
        <f t="shared" si="13"/>
        <v>0</v>
      </c>
    </row>
    <row r="961">
      <c r="F961" s="57">
        <f t="shared" si="12"/>
        <v>0</v>
      </c>
      <c r="J961" s="33">
        <f t="shared" si="2"/>
        <v>0</v>
      </c>
      <c r="K961" s="33">
        <f t="shared" si="13"/>
        <v>0</v>
      </c>
    </row>
    <row r="962">
      <c r="F962" s="57">
        <f t="shared" si="12"/>
        <v>0</v>
      </c>
      <c r="J962" s="33">
        <f t="shared" si="2"/>
        <v>0</v>
      </c>
      <c r="K962" s="33">
        <f t="shared" si="13"/>
        <v>0</v>
      </c>
    </row>
    <row r="963">
      <c r="F963" s="57">
        <f t="shared" si="12"/>
        <v>0</v>
      </c>
      <c r="J963" s="33">
        <f t="shared" si="2"/>
        <v>0</v>
      </c>
      <c r="K963" s="33">
        <f t="shared" si="13"/>
        <v>0</v>
      </c>
    </row>
    <row r="964">
      <c r="F964" s="57">
        <f t="shared" si="12"/>
        <v>0</v>
      </c>
      <c r="J964" s="33">
        <f t="shared" si="2"/>
        <v>0</v>
      </c>
      <c r="K964" s="33">
        <f t="shared" si="13"/>
        <v>0</v>
      </c>
    </row>
    <row r="965">
      <c r="F965" s="57">
        <f t="shared" si="12"/>
        <v>0</v>
      </c>
      <c r="J965" s="33">
        <f t="shared" si="2"/>
        <v>0</v>
      </c>
      <c r="K965" s="33">
        <f t="shared" si="13"/>
        <v>0</v>
      </c>
    </row>
    <row r="966">
      <c r="F966" s="57">
        <f t="shared" si="12"/>
        <v>0</v>
      </c>
      <c r="J966" s="33">
        <f t="shared" si="2"/>
        <v>0</v>
      </c>
      <c r="K966" s="33">
        <f t="shared" si="13"/>
        <v>0</v>
      </c>
    </row>
    <row r="967">
      <c r="F967" s="57">
        <f t="shared" si="12"/>
        <v>0</v>
      </c>
      <c r="J967" s="33">
        <f t="shared" si="2"/>
        <v>0</v>
      </c>
      <c r="K967" s="33">
        <f t="shared" si="13"/>
        <v>0</v>
      </c>
    </row>
    <row r="968">
      <c r="F968" s="57">
        <f t="shared" si="12"/>
        <v>0</v>
      </c>
      <c r="J968" s="33">
        <f t="shared" si="2"/>
        <v>0</v>
      </c>
      <c r="K968" s="33">
        <f t="shared" si="13"/>
        <v>0</v>
      </c>
    </row>
    <row r="969">
      <c r="F969" s="57">
        <f t="shared" si="12"/>
        <v>0</v>
      </c>
      <c r="J969" s="33">
        <f t="shared" si="2"/>
        <v>0</v>
      </c>
      <c r="K969" s="33">
        <f t="shared" si="13"/>
        <v>0</v>
      </c>
    </row>
    <row r="970">
      <c r="F970" s="57">
        <f t="shared" si="12"/>
        <v>0</v>
      </c>
      <c r="J970" s="33">
        <f t="shared" si="2"/>
        <v>0</v>
      </c>
      <c r="K970" s="33">
        <f t="shared" si="13"/>
        <v>0</v>
      </c>
    </row>
    <row r="971">
      <c r="F971" s="57">
        <f t="shared" si="12"/>
        <v>0</v>
      </c>
      <c r="J971" s="33">
        <f t="shared" si="2"/>
        <v>0</v>
      </c>
      <c r="K971" s="33">
        <f t="shared" si="13"/>
        <v>0</v>
      </c>
    </row>
    <row r="972">
      <c r="F972" s="57">
        <f t="shared" si="12"/>
        <v>0</v>
      </c>
      <c r="J972" s="33">
        <f t="shared" si="2"/>
        <v>0</v>
      </c>
      <c r="K972" s="33">
        <f t="shared" si="13"/>
        <v>0</v>
      </c>
    </row>
    <row r="973">
      <c r="F973" s="57">
        <f t="shared" si="12"/>
        <v>0</v>
      </c>
      <c r="J973" s="33">
        <f t="shared" si="2"/>
        <v>0</v>
      </c>
      <c r="K973" s="33">
        <f t="shared" si="13"/>
        <v>0</v>
      </c>
    </row>
    <row r="974">
      <c r="F974" s="57">
        <f t="shared" si="12"/>
        <v>0</v>
      </c>
      <c r="J974" s="33">
        <f t="shared" si="2"/>
        <v>0</v>
      </c>
      <c r="K974" s="33">
        <f t="shared" si="13"/>
        <v>0</v>
      </c>
    </row>
    <row r="975">
      <c r="F975" s="57">
        <f t="shared" si="12"/>
        <v>0</v>
      </c>
      <c r="J975" s="33">
        <f t="shared" si="2"/>
        <v>0</v>
      </c>
      <c r="K975" s="33">
        <f t="shared" si="13"/>
        <v>0</v>
      </c>
    </row>
    <row r="976">
      <c r="F976" s="57">
        <f t="shared" si="12"/>
        <v>0</v>
      </c>
      <c r="J976" s="33">
        <f t="shared" si="2"/>
        <v>0</v>
      </c>
      <c r="K976" s="33">
        <f t="shared" si="13"/>
        <v>0</v>
      </c>
    </row>
    <row r="977">
      <c r="F977" s="57">
        <f t="shared" si="12"/>
        <v>0</v>
      </c>
      <c r="J977" s="33">
        <f t="shared" si="2"/>
        <v>0</v>
      </c>
      <c r="K977" s="33">
        <f t="shared" si="13"/>
        <v>0</v>
      </c>
    </row>
    <row r="978">
      <c r="F978" s="57">
        <f t="shared" si="12"/>
        <v>0</v>
      </c>
      <c r="J978" s="33">
        <f t="shared" si="2"/>
        <v>0</v>
      </c>
      <c r="K978" s="33">
        <f t="shared" si="13"/>
        <v>0</v>
      </c>
    </row>
    <row r="979">
      <c r="F979" s="57">
        <f t="shared" si="12"/>
        <v>0</v>
      </c>
      <c r="J979" s="33">
        <f t="shared" si="2"/>
        <v>0</v>
      </c>
      <c r="K979" s="33">
        <f t="shared" si="13"/>
        <v>0</v>
      </c>
    </row>
    <row r="980">
      <c r="F980" s="57">
        <f t="shared" si="12"/>
        <v>0</v>
      </c>
      <c r="J980" s="33">
        <f t="shared" si="2"/>
        <v>0</v>
      </c>
      <c r="K980" s="33">
        <f t="shared" si="13"/>
        <v>0</v>
      </c>
    </row>
    <row r="981">
      <c r="F981" s="57">
        <f t="shared" si="12"/>
        <v>0</v>
      </c>
      <c r="J981" s="33">
        <f t="shared" si="2"/>
        <v>0</v>
      </c>
      <c r="K981" s="33">
        <f t="shared" si="13"/>
        <v>0</v>
      </c>
    </row>
    <row r="982">
      <c r="F982" s="57">
        <f t="shared" si="12"/>
        <v>0</v>
      </c>
      <c r="J982" s="33">
        <f t="shared" si="2"/>
        <v>0</v>
      </c>
      <c r="K982" s="33">
        <f t="shared" si="13"/>
        <v>0</v>
      </c>
    </row>
    <row r="983">
      <c r="F983" s="57">
        <f t="shared" si="12"/>
        <v>0</v>
      </c>
      <c r="J983" s="33">
        <f t="shared" si="2"/>
        <v>0</v>
      </c>
      <c r="K983" s="33">
        <f t="shared" si="13"/>
        <v>0</v>
      </c>
    </row>
    <row r="984">
      <c r="F984" s="57">
        <f t="shared" si="12"/>
        <v>0</v>
      </c>
      <c r="J984" s="33">
        <f t="shared" si="2"/>
        <v>0</v>
      </c>
      <c r="K984" s="33">
        <f t="shared" si="13"/>
        <v>0</v>
      </c>
    </row>
    <row r="985">
      <c r="F985" s="57">
        <f t="shared" si="12"/>
        <v>0</v>
      </c>
      <c r="J985" s="33">
        <f t="shared" si="2"/>
        <v>0</v>
      </c>
      <c r="K985" s="33">
        <f t="shared" si="13"/>
        <v>0</v>
      </c>
    </row>
    <row r="986">
      <c r="F986" s="57">
        <f t="shared" si="12"/>
        <v>0</v>
      </c>
      <c r="J986" s="33">
        <f t="shared" si="2"/>
        <v>0</v>
      </c>
      <c r="K986" s="33">
        <f t="shared" si="13"/>
        <v>0</v>
      </c>
    </row>
    <row r="987">
      <c r="F987" s="57">
        <f t="shared" si="12"/>
        <v>0</v>
      </c>
      <c r="J987" s="33">
        <f t="shared" si="2"/>
        <v>0</v>
      </c>
      <c r="K987" s="33">
        <f t="shared" si="13"/>
        <v>0</v>
      </c>
    </row>
    <row r="988">
      <c r="F988" s="57">
        <f t="shared" si="12"/>
        <v>0</v>
      </c>
      <c r="J988" s="33">
        <f t="shared" si="2"/>
        <v>0</v>
      </c>
      <c r="K988" s="33">
        <f t="shared" si="13"/>
        <v>0</v>
      </c>
    </row>
    <row r="989">
      <c r="F989" s="57">
        <f t="shared" si="12"/>
        <v>0</v>
      </c>
      <c r="J989" s="33">
        <f t="shared" si="2"/>
        <v>0</v>
      </c>
      <c r="K989" s="33">
        <f t="shared" si="13"/>
        <v>0</v>
      </c>
    </row>
    <row r="990">
      <c r="F990" s="57">
        <f t="shared" si="12"/>
        <v>0</v>
      </c>
      <c r="J990" s="33">
        <f t="shared" si="2"/>
        <v>0</v>
      </c>
      <c r="K990" s="33">
        <f t="shared" si="13"/>
        <v>0</v>
      </c>
    </row>
    <row r="991">
      <c r="F991" s="57">
        <f t="shared" si="12"/>
        <v>0</v>
      </c>
      <c r="J991" s="33">
        <f t="shared" si="2"/>
        <v>0</v>
      </c>
      <c r="K991" s="33">
        <f t="shared" si="13"/>
        <v>0</v>
      </c>
    </row>
    <row r="992">
      <c r="F992" s="57">
        <f t="shared" si="12"/>
        <v>0</v>
      </c>
      <c r="J992" s="33">
        <f t="shared" si="2"/>
        <v>0</v>
      </c>
      <c r="K992" s="33">
        <f t="shared" si="13"/>
        <v>0</v>
      </c>
    </row>
    <row r="993">
      <c r="F993" s="57">
        <f t="shared" si="12"/>
        <v>0</v>
      </c>
      <c r="J993" s="33">
        <f t="shared" si="2"/>
        <v>0</v>
      </c>
      <c r="K993" s="33">
        <f t="shared" si="13"/>
        <v>0</v>
      </c>
    </row>
    <row r="994">
      <c r="F994" s="57">
        <f t="shared" si="12"/>
        <v>0</v>
      </c>
      <c r="J994" s="33">
        <f t="shared" si="2"/>
        <v>0</v>
      </c>
      <c r="K994" s="33">
        <f t="shared" si="13"/>
        <v>0</v>
      </c>
    </row>
    <row r="995">
      <c r="F995" s="57">
        <f t="shared" si="12"/>
        <v>0</v>
      </c>
      <c r="J995" s="33">
        <f t="shared" si="2"/>
        <v>0</v>
      </c>
      <c r="K995" s="33">
        <f t="shared" si="13"/>
        <v>0</v>
      </c>
    </row>
    <row r="996">
      <c r="F996" s="57">
        <f t="shared" si="12"/>
        <v>0</v>
      </c>
      <c r="J996" s="33">
        <f t="shared" si="2"/>
        <v>0</v>
      </c>
      <c r="K996" s="33">
        <f t="shared" si="13"/>
        <v>0</v>
      </c>
    </row>
    <row r="997">
      <c r="F997" s="57">
        <f t="shared" si="12"/>
        <v>0</v>
      </c>
      <c r="J997" s="33">
        <f t="shared" si="2"/>
        <v>0</v>
      </c>
      <c r="K997" s="33">
        <f t="shared" si="13"/>
        <v>0</v>
      </c>
    </row>
    <row r="998">
      <c r="F998" s="57">
        <f t="shared" si="12"/>
        <v>0</v>
      </c>
      <c r="J998" s="33">
        <f t="shared" si="2"/>
        <v>0</v>
      </c>
      <c r="K998" s="33">
        <f t="shared" si="13"/>
        <v>0</v>
      </c>
    </row>
    <row r="999">
      <c r="F999" s="57">
        <f t="shared" si="12"/>
        <v>0</v>
      </c>
      <c r="J999" s="33">
        <f t="shared" si="2"/>
        <v>0</v>
      </c>
      <c r="K999" s="33">
        <f t="shared" si="13"/>
        <v>0</v>
      </c>
    </row>
    <row r="1000">
      <c r="F1000" s="57">
        <f t="shared" si="12"/>
        <v>0</v>
      </c>
      <c r="J1000" s="33">
        <f t="shared" si="2"/>
        <v>0</v>
      </c>
      <c r="K1000" s="33">
        <f t="shared" si="13"/>
        <v>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57"/>
    <col customWidth="1" min="2" max="2" width="8.0"/>
    <col customWidth="1" min="3" max="4" width="6.14"/>
    <col customWidth="1" min="5" max="5" width="6.86"/>
    <col customWidth="1" min="6" max="6" width="10.0"/>
    <col customWidth="1" min="7" max="7" width="9.86"/>
  </cols>
  <sheetData>
    <row r="1">
      <c r="A1" s="68" t="s">
        <v>162</v>
      </c>
      <c r="B1" s="68" t="s">
        <v>152</v>
      </c>
      <c r="C1" s="68" t="s">
        <v>190</v>
      </c>
      <c r="D1" s="68" t="s">
        <v>171</v>
      </c>
      <c r="E1" s="68" t="s">
        <v>154</v>
      </c>
      <c r="F1" s="68" t="s">
        <v>175</v>
      </c>
      <c r="G1" s="68" t="s">
        <v>176</v>
      </c>
      <c r="H1" s="68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>
      <c r="A2" s="70">
        <v>44635.0</v>
      </c>
      <c r="B2" s="57">
        <v>2380.0</v>
      </c>
      <c r="C2" s="57">
        <v>1.0</v>
      </c>
      <c r="D2" s="57" t="s">
        <v>191</v>
      </c>
      <c r="E2" s="57" t="s">
        <v>60</v>
      </c>
      <c r="F2" s="57">
        <v>3.071</v>
      </c>
      <c r="G2" s="57">
        <v>1.91</v>
      </c>
    </row>
    <row r="3">
      <c r="A3" s="70">
        <v>44635.0</v>
      </c>
      <c r="B3" s="57">
        <v>2378.0</v>
      </c>
      <c r="C3" s="57">
        <v>1.0</v>
      </c>
      <c r="D3" s="57" t="s">
        <v>191</v>
      </c>
      <c r="E3" s="57">
        <v>0.0</v>
      </c>
      <c r="F3" s="57">
        <v>2.656</v>
      </c>
      <c r="G3" s="57">
        <v>1.164</v>
      </c>
    </row>
    <row r="4">
      <c r="A4" s="70">
        <v>44635.0</v>
      </c>
      <c r="B4" s="57">
        <v>2093.0</v>
      </c>
      <c r="C4" s="57">
        <v>1.0</v>
      </c>
      <c r="D4" s="57" t="s">
        <v>191</v>
      </c>
      <c r="E4" s="57" t="s">
        <v>60</v>
      </c>
      <c r="F4" s="57">
        <v>2.834</v>
      </c>
      <c r="G4" s="57">
        <v>1.748</v>
      </c>
    </row>
    <row r="5">
      <c r="A5" s="70">
        <v>44635.0</v>
      </c>
      <c r="B5" s="57">
        <v>2345.0</v>
      </c>
      <c r="C5" s="57">
        <v>1.0</v>
      </c>
      <c r="D5" s="57" t="s">
        <v>191</v>
      </c>
      <c r="E5" s="57" t="s">
        <v>60</v>
      </c>
      <c r="F5" s="57">
        <v>2.032</v>
      </c>
      <c r="G5" s="57">
        <v>1.173</v>
      </c>
    </row>
    <row r="6">
      <c r="A6" s="70">
        <v>44635.0</v>
      </c>
      <c r="B6" s="57">
        <v>2024.0</v>
      </c>
      <c r="C6" s="57">
        <v>1.0</v>
      </c>
      <c r="D6" s="57" t="s">
        <v>191</v>
      </c>
      <c r="E6" s="57">
        <v>0.0</v>
      </c>
      <c r="F6" s="57">
        <v>1.626</v>
      </c>
      <c r="G6" s="57">
        <v>0.641</v>
      </c>
    </row>
    <row r="7">
      <c r="A7" s="70">
        <v>44635.0</v>
      </c>
      <c r="B7" s="57">
        <v>2004.0</v>
      </c>
      <c r="C7" s="57">
        <v>1.0</v>
      </c>
      <c r="D7" s="57" t="s">
        <v>191</v>
      </c>
      <c r="E7" s="57">
        <v>0.0</v>
      </c>
      <c r="F7" s="57">
        <v>2.021</v>
      </c>
      <c r="G7" s="57">
        <v>0.707</v>
      </c>
    </row>
    <row r="8">
      <c r="A8" s="70">
        <v>44635.0</v>
      </c>
      <c r="B8" s="57">
        <v>2382.0</v>
      </c>
      <c r="C8" s="57">
        <v>1.0</v>
      </c>
      <c r="D8" s="57" t="s">
        <v>191</v>
      </c>
      <c r="E8" s="57">
        <v>0.0</v>
      </c>
      <c r="F8" s="57">
        <v>2.629</v>
      </c>
      <c r="G8" s="57">
        <v>1.12</v>
      </c>
    </row>
    <row r="9">
      <c r="A9" s="70">
        <v>44635.0</v>
      </c>
      <c r="B9" s="57">
        <v>2026.0</v>
      </c>
      <c r="C9" s="57">
        <v>1.0</v>
      </c>
      <c r="D9" s="57" t="s">
        <v>191</v>
      </c>
      <c r="E9" s="57" t="s">
        <v>60</v>
      </c>
      <c r="F9" s="57">
        <v>2.311</v>
      </c>
      <c r="G9" s="57">
        <v>1.039</v>
      </c>
    </row>
    <row r="10">
      <c r="A10" s="70">
        <v>44635.0</v>
      </c>
      <c r="B10" s="57">
        <v>2331.0</v>
      </c>
      <c r="C10" s="57">
        <v>1.0</v>
      </c>
      <c r="D10" s="57" t="s">
        <v>191</v>
      </c>
      <c r="E10" s="57" t="s">
        <v>60</v>
      </c>
      <c r="F10" s="57">
        <v>2.07</v>
      </c>
      <c r="G10" s="57">
        <v>1.224</v>
      </c>
    </row>
    <row r="11">
      <c r="A11" s="70">
        <v>44635.0</v>
      </c>
      <c r="B11" s="57">
        <v>2022.0</v>
      </c>
      <c r="C11" s="57">
        <v>1.0</v>
      </c>
      <c r="D11" s="57" t="s">
        <v>191</v>
      </c>
      <c r="E11" s="57" t="s">
        <v>60</v>
      </c>
      <c r="F11" s="57">
        <v>6.191</v>
      </c>
      <c r="G11" s="57">
        <v>3.347</v>
      </c>
    </row>
    <row r="12">
      <c r="A12" s="70">
        <v>44635.0</v>
      </c>
      <c r="B12" s="57">
        <v>2023.0</v>
      </c>
      <c r="C12" s="57">
        <v>1.0</v>
      </c>
      <c r="D12" s="57" t="s">
        <v>191</v>
      </c>
      <c r="E12" s="57" t="s">
        <v>60</v>
      </c>
      <c r="F12" s="57">
        <v>4.063</v>
      </c>
      <c r="G12" s="57">
        <v>2.052</v>
      </c>
    </row>
    <row r="13">
      <c r="A13" s="70">
        <v>44635.0</v>
      </c>
      <c r="B13" s="57">
        <v>2025.0</v>
      </c>
      <c r="C13" s="57">
        <v>1.0</v>
      </c>
      <c r="D13" s="57" t="s">
        <v>191</v>
      </c>
      <c r="E13" s="57">
        <v>0.0</v>
      </c>
      <c r="F13" s="57">
        <v>2.182</v>
      </c>
      <c r="G13" s="57">
        <v>0.996</v>
      </c>
    </row>
    <row r="14">
      <c r="A14" s="70">
        <v>44635.0</v>
      </c>
      <c r="B14" s="57">
        <v>2379.0</v>
      </c>
      <c r="C14" s="57">
        <v>1.0</v>
      </c>
      <c r="D14" s="57" t="s">
        <v>191</v>
      </c>
      <c r="E14" s="57">
        <v>0.0</v>
      </c>
      <c r="F14" s="57">
        <v>1.831</v>
      </c>
      <c r="G14" s="57">
        <v>0.796</v>
      </c>
    </row>
    <row r="15">
      <c r="A15" s="70">
        <v>44635.0</v>
      </c>
      <c r="B15" s="57">
        <v>2381.0</v>
      </c>
      <c r="C15" s="57">
        <v>1.0</v>
      </c>
      <c r="D15" s="57" t="s">
        <v>191</v>
      </c>
      <c r="E15" s="57">
        <v>0.0</v>
      </c>
      <c r="F15" s="57">
        <v>3.837</v>
      </c>
      <c r="G15" s="57">
        <v>1.394</v>
      </c>
    </row>
    <row r="16">
      <c r="A16" s="70">
        <v>44635.0</v>
      </c>
      <c r="B16" s="57">
        <v>2008.0</v>
      </c>
      <c r="C16" s="57">
        <v>1.0</v>
      </c>
      <c r="D16" s="57" t="s">
        <v>191</v>
      </c>
      <c r="E16" s="57">
        <v>0.0</v>
      </c>
      <c r="F16" s="57">
        <v>1.723</v>
      </c>
      <c r="G16" s="57">
        <v>0.614</v>
      </c>
    </row>
    <row r="17">
      <c r="A17" s="70">
        <v>44635.0</v>
      </c>
      <c r="B17" s="57">
        <v>2020.0</v>
      </c>
      <c r="C17" s="57">
        <v>1.0</v>
      </c>
      <c r="D17" s="57" t="s">
        <v>191</v>
      </c>
      <c r="E17" s="57">
        <v>0.0</v>
      </c>
      <c r="F17" s="57">
        <v>1.35</v>
      </c>
      <c r="G17" s="57">
        <v>0.563</v>
      </c>
    </row>
    <row r="18">
      <c r="A18" s="70">
        <v>44635.0</v>
      </c>
      <c r="B18" s="57">
        <v>2021.0</v>
      </c>
      <c r="C18" s="57">
        <v>1.0</v>
      </c>
      <c r="D18" s="57" t="s">
        <v>191</v>
      </c>
      <c r="E18" s="57">
        <v>0.0</v>
      </c>
      <c r="F18" s="57">
        <v>2.96</v>
      </c>
      <c r="G18" s="57">
        <v>1.318</v>
      </c>
    </row>
    <row r="19">
      <c r="A19" s="70">
        <v>44635.0</v>
      </c>
      <c r="B19" s="57">
        <v>2301.0</v>
      </c>
      <c r="C19" s="57">
        <v>1.0</v>
      </c>
      <c r="D19" s="57" t="s">
        <v>191</v>
      </c>
      <c r="E19" s="57" t="s">
        <v>60</v>
      </c>
      <c r="F19" s="57">
        <v>3.336</v>
      </c>
      <c r="G19" s="57">
        <v>2.012</v>
      </c>
    </row>
    <row r="20">
      <c r="A20" s="70">
        <v>44635.0</v>
      </c>
      <c r="B20" s="57">
        <v>2005.0</v>
      </c>
      <c r="C20" s="57">
        <v>1.0</v>
      </c>
      <c r="D20" s="57" t="s">
        <v>191</v>
      </c>
      <c r="E20" s="57">
        <v>0.0</v>
      </c>
      <c r="F20" s="57">
        <v>2.684</v>
      </c>
      <c r="G20" s="57">
        <v>0.99</v>
      </c>
    </row>
    <row r="21">
      <c r="A21" s="70">
        <v>44635.0</v>
      </c>
      <c r="B21" s="57">
        <v>2092.0</v>
      </c>
      <c r="C21" s="57">
        <v>1.0</v>
      </c>
      <c r="D21" s="57" t="s">
        <v>191</v>
      </c>
      <c r="E21" s="57" t="s">
        <v>60</v>
      </c>
      <c r="F21" s="57">
        <v>3.408</v>
      </c>
      <c r="G21" s="57">
        <v>2.008</v>
      </c>
    </row>
    <row r="22">
      <c r="A22" s="70">
        <v>44635.0</v>
      </c>
      <c r="B22" s="57">
        <v>2007.0</v>
      </c>
      <c r="C22" s="57">
        <v>1.0</v>
      </c>
      <c r="D22" s="57" t="s">
        <v>191</v>
      </c>
      <c r="E22" s="57">
        <v>0.0</v>
      </c>
      <c r="F22" s="57">
        <v>1.867</v>
      </c>
      <c r="G22" s="57">
        <v>0.815</v>
      </c>
    </row>
    <row r="23">
      <c r="A23" s="70">
        <v>44635.0</v>
      </c>
      <c r="B23" s="57">
        <v>2377.0</v>
      </c>
      <c r="C23" s="57">
        <v>1.0</v>
      </c>
      <c r="D23" s="57" t="s">
        <v>191</v>
      </c>
      <c r="E23" s="57" t="s">
        <v>60</v>
      </c>
      <c r="F23" s="57">
        <v>2.318</v>
      </c>
      <c r="G23" s="57">
        <v>1.438</v>
      </c>
    </row>
    <row r="24">
      <c r="A24" s="70">
        <v>44635.0</v>
      </c>
      <c r="B24" s="57">
        <v>2091.0</v>
      </c>
      <c r="C24" s="57">
        <v>1.0</v>
      </c>
      <c r="D24" s="57" t="s">
        <v>191</v>
      </c>
      <c r="E24" s="57" t="s">
        <v>60</v>
      </c>
      <c r="F24" s="57" t="s">
        <v>60</v>
      </c>
      <c r="G24" s="57">
        <v>1.94</v>
      </c>
    </row>
    <row r="25">
      <c r="A25" s="70">
        <v>44635.0</v>
      </c>
      <c r="B25" s="57">
        <v>2027.0</v>
      </c>
      <c r="C25" s="57">
        <v>1.0</v>
      </c>
      <c r="D25" s="57" t="s">
        <v>191</v>
      </c>
      <c r="E25" s="57">
        <v>0.0</v>
      </c>
      <c r="F25" s="57">
        <v>1.648</v>
      </c>
      <c r="G25" s="57">
        <v>0.685</v>
      </c>
    </row>
    <row r="26">
      <c r="A26" s="70">
        <v>44635.0</v>
      </c>
      <c r="B26" s="57">
        <v>2089.0</v>
      </c>
      <c r="C26" s="57">
        <v>1.0</v>
      </c>
      <c r="D26" s="57" t="s">
        <v>191</v>
      </c>
      <c r="E26" s="57" t="s">
        <v>60</v>
      </c>
      <c r="F26" s="57">
        <v>5.437</v>
      </c>
      <c r="G26" s="57">
        <v>3.206</v>
      </c>
    </row>
    <row r="27">
      <c r="A27" s="70">
        <v>44635.0</v>
      </c>
      <c r="B27" s="57">
        <v>2384.0</v>
      </c>
      <c r="C27" s="57">
        <v>1.0</v>
      </c>
      <c r="D27" s="57" t="s">
        <v>191</v>
      </c>
      <c r="E27" s="57">
        <v>0.0</v>
      </c>
      <c r="F27" s="57">
        <v>1.55</v>
      </c>
      <c r="G27" s="57">
        <v>0.549</v>
      </c>
    </row>
    <row r="28">
      <c r="A28" s="70">
        <v>44635.0</v>
      </c>
      <c r="B28" s="57">
        <v>2352.0</v>
      </c>
      <c r="C28" s="57">
        <v>1.0</v>
      </c>
      <c r="D28" s="57" t="s">
        <v>191</v>
      </c>
      <c r="E28" s="57" t="s">
        <v>60</v>
      </c>
      <c r="F28" s="57">
        <v>1.456</v>
      </c>
      <c r="G28" s="57">
        <v>0.696</v>
      </c>
    </row>
    <row r="29">
      <c r="A29" s="70">
        <v>44650.0</v>
      </c>
      <c r="B29" s="57">
        <v>2009.0</v>
      </c>
      <c r="C29" s="57">
        <v>1.0</v>
      </c>
      <c r="D29" s="57" t="s">
        <v>191</v>
      </c>
      <c r="E29" s="57" t="s">
        <v>60</v>
      </c>
      <c r="F29" s="57">
        <v>0.7187</v>
      </c>
      <c r="G29" s="57">
        <v>0.264</v>
      </c>
    </row>
    <row r="30">
      <c r="A30" s="70">
        <v>44650.0</v>
      </c>
      <c r="B30" s="57">
        <v>2009.0</v>
      </c>
      <c r="C30" s="57">
        <v>1.0</v>
      </c>
      <c r="D30" s="57" t="s">
        <v>179</v>
      </c>
      <c r="E30" s="57">
        <v>0.0</v>
      </c>
      <c r="F30" s="57">
        <v>0.046</v>
      </c>
      <c r="G30" s="57">
        <v>0.015</v>
      </c>
    </row>
    <row r="31">
      <c r="A31" s="70">
        <v>44650.0</v>
      </c>
      <c r="B31" s="57">
        <v>2009.0</v>
      </c>
      <c r="C31" s="57">
        <v>1.0</v>
      </c>
      <c r="D31" s="57" t="s">
        <v>179</v>
      </c>
      <c r="E31" s="57">
        <v>1.0</v>
      </c>
      <c r="F31" s="57">
        <v>0.4792</v>
      </c>
      <c r="G31" s="57">
        <v>0.232</v>
      </c>
    </row>
    <row r="32">
      <c r="A32" s="70">
        <v>44650.0</v>
      </c>
      <c r="B32" s="57">
        <v>2009.0</v>
      </c>
      <c r="C32" s="57">
        <v>2.0</v>
      </c>
      <c r="D32" s="57" t="s">
        <v>191</v>
      </c>
      <c r="E32" s="57" t="s">
        <v>60</v>
      </c>
      <c r="F32" s="57">
        <v>0.9085</v>
      </c>
      <c r="G32" s="57">
        <v>0.326</v>
      </c>
    </row>
    <row r="33">
      <c r="A33" s="70">
        <v>44650.0</v>
      </c>
      <c r="B33" s="57">
        <v>2009.0</v>
      </c>
      <c r="C33" s="57">
        <v>2.0</v>
      </c>
      <c r="D33" s="57" t="s">
        <v>179</v>
      </c>
      <c r="E33" s="57">
        <v>0.0</v>
      </c>
      <c r="F33" s="57">
        <v>0.0649</v>
      </c>
      <c r="G33" s="57">
        <v>0.022</v>
      </c>
    </row>
    <row r="34">
      <c r="A34" s="70">
        <v>44650.0</v>
      </c>
      <c r="B34" s="57">
        <v>2009.0</v>
      </c>
      <c r="C34" s="57">
        <v>2.0</v>
      </c>
      <c r="D34" s="57" t="s">
        <v>179</v>
      </c>
      <c r="E34" s="57">
        <v>1.0</v>
      </c>
      <c r="F34" s="57">
        <v>0.5181</v>
      </c>
      <c r="G34" s="57">
        <v>0.247</v>
      </c>
    </row>
    <row r="35">
      <c r="A35" s="70">
        <v>44650.0</v>
      </c>
      <c r="B35" s="57">
        <v>2009.0</v>
      </c>
      <c r="C35" s="57">
        <v>3.0</v>
      </c>
      <c r="D35" s="57" t="s">
        <v>191</v>
      </c>
      <c r="E35" s="57" t="s">
        <v>60</v>
      </c>
      <c r="F35" s="57">
        <v>1.2544</v>
      </c>
      <c r="G35" s="57">
        <v>0.461</v>
      </c>
    </row>
    <row r="36">
      <c r="A36" s="70">
        <v>44650.0</v>
      </c>
      <c r="B36" s="57">
        <v>2009.0</v>
      </c>
      <c r="C36" s="57">
        <v>3.0</v>
      </c>
      <c r="D36" s="57" t="s">
        <v>179</v>
      </c>
      <c r="E36" s="57">
        <v>0.0</v>
      </c>
      <c r="F36" s="57">
        <v>0.0784</v>
      </c>
      <c r="G36" s="57">
        <v>0.026</v>
      </c>
    </row>
    <row r="37">
      <c r="A37" s="70">
        <v>44650.0</v>
      </c>
      <c r="B37" s="57">
        <v>2009.0</v>
      </c>
      <c r="C37" s="57">
        <v>3.0</v>
      </c>
      <c r="D37" s="57" t="s">
        <v>179</v>
      </c>
      <c r="E37" s="57">
        <v>1.0</v>
      </c>
      <c r="F37" s="57">
        <v>0.678</v>
      </c>
      <c r="G37" s="57">
        <v>0.317</v>
      </c>
    </row>
    <row r="38">
      <c r="A38" s="70">
        <v>44650.0</v>
      </c>
      <c r="B38" s="57">
        <v>2301.0</v>
      </c>
      <c r="C38" s="57">
        <v>1.0</v>
      </c>
      <c r="D38" s="57" t="s">
        <v>191</v>
      </c>
      <c r="E38" s="57" t="s">
        <v>60</v>
      </c>
      <c r="F38" s="57">
        <v>1.6583</v>
      </c>
      <c r="G38" s="57">
        <v>0.941</v>
      </c>
    </row>
    <row r="39">
      <c r="A39" s="70">
        <v>44650.0</v>
      </c>
      <c r="B39" s="57">
        <v>2301.0</v>
      </c>
      <c r="C39" s="57">
        <v>1.0</v>
      </c>
      <c r="D39" s="57" t="s">
        <v>179</v>
      </c>
      <c r="E39" s="57" t="s">
        <v>60</v>
      </c>
      <c r="F39" s="57">
        <v>0.0985</v>
      </c>
      <c r="G39" s="57">
        <v>0.05</v>
      </c>
    </row>
    <row r="40">
      <c r="A40" s="70">
        <v>44650.0</v>
      </c>
      <c r="B40" s="57">
        <v>2301.0</v>
      </c>
      <c r="C40" s="57">
        <v>2.0</v>
      </c>
      <c r="D40" s="57" t="s">
        <v>191</v>
      </c>
      <c r="E40" s="57" t="s">
        <v>60</v>
      </c>
      <c r="F40" s="57">
        <v>1.2179</v>
      </c>
      <c r="G40" s="57">
        <v>0.678</v>
      </c>
    </row>
    <row r="41">
      <c r="A41" s="70">
        <v>44650.0</v>
      </c>
      <c r="B41" s="57">
        <v>2301.0</v>
      </c>
      <c r="C41" s="57">
        <v>2.0</v>
      </c>
      <c r="D41" s="57" t="s">
        <v>179</v>
      </c>
      <c r="E41" s="57" t="s">
        <v>60</v>
      </c>
      <c r="F41" s="57">
        <v>0.1217</v>
      </c>
      <c r="G41" s="57">
        <v>0.06</v>
      </c>
    </row>
    <row r="42">
      <c r="A42" s="70">
        <v>44650.0</v>
      </c>
      <c r="B42" s="57">
        <v>2301.0</v>
      </c>
      <c r="C42" s="57">
        <v>3.0</v>
      </c>
      <c r="D42" s="57" t="s">
        <v>191</v>
      </c>
      <c r="E42" s="57" t="s">
        <v>60</v>
      </c>
      <c r="F42" s="57">
        <v>1.4681</v>
      </c>
      <c r="G42" s="57">
        <v>0.824</v>
      </c>
    </row>
    <row r="43">
      <c r="A43" s="70">
        <v>44650.0</v>
      </c>
      <c r="B43" s="57">
        <v>2301.0</v>
      </c>
      <c r="C43" s="57">
        <v>3.0</v>
      </c>
      <c r="D43" s="57" t="s">
        <v>179</v>
      </c>
      <c r="E43" s="57" t="s">
        <v>60</v>
      </c>
      <c r="F43" s="57">
        <v>0.1074</v>
      </c>
      <c r="G43" s="57">
        <v>0.055</v>
      </c>
    </row>
    <row r="44">
      <c r="A44" s="70">
        <v>44650.0</v>
      </c>
      <c r="B44" s="57">
        <v>2331.0</v>
      </c>
      <c r="C44" s="57">
        <v>1.0</v>
      </c>
      <c r="D44" s="57" t="s">
        <v>179</v>
      </c>
      <c r="E44" s="57">
        <v>1.0</v>
      </c>
      <c r="F44" s="57">
        <v>0.2848</v>
      </c>
      <c r="G44" s="57">
        <v>0.157</v>
      </c>
    </row>
    <row r="45">
      <c r="A45" s="70">
        <v>44650.0</v>
      </c>
      <c r="B45" s="57">
        <v>2331.0</v>
      </c>
      <c r="C45" s="57">
        <v>2.0</v>
      </c>
      <c r="D45" s="57" t="s">
        <v>191</v>
      </c>
      <c r="E45" s="57" t="s">
        <v>60</v>
      </c>
      <c r="F45" s="57">
        <v>2.9236</v>
      </c>
      <c r="G45" s="57">
        <v>1.712</v>
      </c>
    </row>
    <row r="46">
      <c r="A46" s="70">
        <v>44650.0</v>
      </c>
      <c r="B46" s="57">
        <v>2331.0</v>
      </c>
      <c r="C46" s="57">
        <v>2.0</v>
      </c>
      <c r="D46" s="57" t="s">
        <v>179</v>
      </c>
      <c r="E46" s="57" t="s">
        <v>60</v>
      </c>
      <c r="F46" s="57">
        <v>0.3717</v>
      </c>
      <c r="G46" s="57">
        <v>0.203</v>
      </c>
    </row>
    <row r="47">
      <c r="A47" s="70">
        <v>44650.0</v>
      </c>
      <c r="B47" s="57">
        <v>2331.0</v>
      </c>
      <c r="C47" s="57">
        <v>3.0</v>
      </c>
      <c r="D47" s="57" t="s">
        <v>191</v>
      </c>
      <c r="E47" s="57" t="s">
        <v>60</v>
      </c>
      <c r="F47" s="57">
        <v>0.9921</v>
      </c>
      <c r="G47" s="57">
        <v>0.554</v>
      </c>
    </row>
    <row r="48">
      <c r="A48" s="70">
        <v>44650.0</v>
      </c>
      <c r="B48" s="57">
        <v>2331.0</v>
      </c>
      <c r="C48" s="57">
        <v>3.0</v>
      </c>
      <c r="D48" s="57" t="s">
        <v>179</v>
      </c>
      <c r="E48" s="57" t="s">
        <v>60</v>
      </c>
      <c r="F48" s="57">
        <v>0.169</v>
      </c>
      <c r="G48" s="57">
        <v>0.089</v>
      </c>
    </row>
    <row r="49">
      <c r="A49" s="70">
        <v>44650.0</v>
      </c>
      <c r="B49" s="57">
        <v>2331.0</v>
      </c>
      <c r="C49" s="57">
        <v>1.0</v>
      </c>
      <c r="D49" s="57" t="s">
        <v>191</v>
      </c>
      <c r="E49" s="57" t="s">
        <v>60</v>
      </c>
      <c r="F49" s="57">
        <v>1.5339</v>
      </c>
      <c r="G49" s="57">
        <v>0.902</v>
      </c>
    </row>
    <row r="50">
      <c r="A50" s="70">
        <v>44650.0</v>
      </c>
      <c r="B50" s="57">
        <v>2343.0</v>
      </c>
      <c r="C50" s="57">
        <v>1.0</v>
      </c>
      <c r="D50" s="57" t="s">
        <v>191</v>
      </c>
      <c r="E50" s="57" t="s">
        <v>60</v>
      </c>
      <c r="F50" s="57">
        <v>0.7177</v>
      </c>
      <c r="G50" s="57">
        <v>0.287</v>
      </c>
    </row>
    <row r="51">
      <c r="A51" s="70">
        <v>44650.0</v>
      </c>
      <c r="B51" s="57">
        <v>2343.0</v>
      </c>
      <c r="C51" s="57">
        <v>1.0</v>
      </c>
      <c r="D51" s="57" t="s">
        <v>179</v>
      </c>
      <c r="E51" s="57">
        <v>0.0</v>
      </c>
      <c r="F51" s="57">
        <v>0.0565</v>
      </c>
      <c r="G51" s="57">
        <v>0.021</v>
      </c>
    </row>
    <row r="52">
      <c r="A52" s="70">
        <v>44650.0</v>
      </c>
      <c r="B52" s="57">
        <v>2343.0</v>
      </c>
      <c r="C52" s="57">
        <v>1.0</v>
      </c>
      <c r="D52" s="57" t="s">
        <v>179</v>
      </c>
      <c r="E52" s="57">
        <v>1.0</v>
      </c>
      <c r="F52" s="57">
        <v>0.0834</v>
      </c>
      <c r="G52" s="57">
        <v>0.038</v>
      </c>
    </row>
    <row r="53">
      <c r="A53" s="70">
        <v>44650.0</v>
      </c>
      <c r="B53" s="57">
        <v>2343.0</v>
      </c>
      <c r="C53" s="57">
        <v>2.0</v>
      </c>
      <c r="D53" s="57" t="s">
        <v>191</v>
      </c>
      <c r="E53" s="57" t="s">
        <v>60</v>
      </c>
      <c r="F53" s="57">
        <v>1.4125</v>
      </c>
      <c r="G53" s="57">
        <v>0.529</v>
      </c>
    </row>
    <row r="54">
      <c r="A54" s="70">
        <v>44650.0</v>
      </c>
      <c r="B54" s="57">
        <v>2343.0</v>
      </c>
      <c r="C54" s="57">
        <v>2.0</v>
      </c>
      <c r="D54" s="57" t="s">
        <v>179</v>
      </c>
      <c r="E54" s="57">
        <v>0.0</v>
      </c>
      <c r="F54" s="57">
        <v>0.1298</v>
      </c>
      <c r="G54" s="57">
        <v>0.044</v>
      </c>
    </row>
    <row r="55">
      <c r="A55" s="70">
        <v>44650.0</v>
      </c>
      <c r="B55" s="57">
        <v>2343.0</v>
      </c>
      <c r="C55" s="57">
        <v>2.0</v>
      </c>
      <c r="D55" s="57" t="s">
        <v>179</v>
      </c>
      <c r="E55" s="57">
        <v>1.0</v>
      </c>
      <c r="F55" s="57">
        <v>0.2028</v>
      </c>
      <c r="G55" s="57">
        <v>0.089</v>
      </c>
    </row>
    <row r="56">
      <c r="A56" s="70">
        <v>44650.0</v>
      </c>
      <c r="B56" s="57">
        <v>2343.0</v>
      </c>
      <c r="C56" s="57">
        <v>3.0</v>
      </c>
      <c r="D56" s="57" t="s">
        <v>191</v>
      </c>
      <c r="E56" s="57" t="s">
        <v>60</v>
      </c>
      <c r="F56" s="57">
        <v>0.3604</v>
      </c>
      <c r="G56" s="57">
        <v>0.126</v>
      </c>
    </row>
    <row r="57">
      <c r="A57" s="70">
        <v>44650.0</v>
      </c>
      <c r="B57" s="57">
        <v>2343.0</v>
      </c>
      <c r="C57" s="57">
        <v>3.0</v>
      </c>
      <c r="D57" s="57" t="s">
        <v>179</v>
      </c>
      <c r="E57" s="57">
        <v>0.0</v>
      </c>
      <c r="F57" s="57">
        <v>0.0382</v>
      </c>
      <c r="G57" s="57">
        <v>0.013</v>
      </c>
    </row>
    <row r="58">
      <c r="A58" s="70">
        <v>44650.0</v>
      </c>
      <c r="B58" s="57">
        <v>2343.0</v>
      </c>
      <c r="C58" s="57">
        <v>3.0</v>
      </c>
      <c r="D58" s="57" t="s">
        <v>179</v>
      </c>
      <c r="E58" s="57">
        <v>1.0</v>
      </c>
      <c r="F58" s="57">
        <v>0.1293</v>
      </c>
      <c r="G58" s="57">
        <v>0.058</v>
      </c>
    </row>
    <row r="59">
      <c r="A59" s="70">
        <v>44650.0</v>
      </c>
      <c r="B59" s="57">
        <v>2345.0</v>
      </c>
      <c r="C59" s="57">
        <v>1.0</v>
      </c>
      <c r="D59" s="57" t="s">
        <v>191</v>
      </c>
      <c r="E59" s="57" t="s">
        <v>60</v>
      </c>
      <c r="F59" s="57">
        <v>2.1683</v>
      </c>
      <c r="G59" s="57">
        <v>1.205</v>
      </c>
    </row>
    <row r="60">
      <c r="A60" s="70">
        <v>44650.0</v>
      </c>
      <c r="B60" s="57">
        <v>2345.0</v>
      </c>
      <c r="C60" s="57">
        <v>1.0</v>
      </c>
      <c r="D60" s="57" t="s">
        <v>179</v>
      </c>
      <c r="E60" s="57" t="s">
        <v>60</v>
      </c>
      <c r="F60" s="57">
        <v>0.3408</v>
      </c>
      <c r="G60" s="57">
        <v>0.182</v>
      </c>
    </row>
    <row r="61">
      <c r="A61" s="70">
        <v>44650.0</v>
      </c>
      <c r="B61" s="57">
        <v>2345.0</v>
      </c>
      <c r="C61" s="57">
        <v>2.0</v>
      </c>
      <c r="D61" s="57" t="s">
        <v>179</v>
      </c>
      <c r="E61" s="57" t="s">
        <v>60</v>
      </c>
      <c r="F61" s="57">
        <v>0.5154</v>
      </c>
      <c r="G61" s="57">
        <v>0.269</v>
      </c>
    </row>
    <row r="62">
      <c r="A62" s="70">
        <v>44650.0</v>
      </c>
      <c r="B62" s="57">
        <v>2345.0</v>
      </c>
      <c r="C62" s="57">
        <v>3.0</v>
      </c>
      <c r="D62" s="57" t="s">
        <v>191</v>
      </c>
      <c r="E62" s="57" t="s">
        <v>60</v>
      </c>
      <c r="F62" s="57">
        <v>1.72</v>
      </c>
      <c r="G62" s="57">
        <v>0.955</v>
      </c>
    </row>
    <row r="63">
      <c r="A63" s="70">
        <v>44650.0</v>
      </c>
      <c r="B63" s="57">
        <v>2345.0</v>
      </c>
      <c r="C63" s="57">
        <v>3.0</v>
      </c>
      <c r="D63" s="57" t="s">
        <v>179</v>
      </c>
      <c r="E63" s="57" t="s">
        <v>60</v>
      </c>
      <c r="F63" s="57">
        <v>0.2855</v>
      </c>
      <c r="G63" s="57">
        <v>0.152</v>
      </c>
    </row>
    <row r="64">
      <c r="A64" s="70">
        <v>44650.0</v>
      </c>
      <c r="B64" s="57">
        <v>2346.0</v>
      </c>
      <c r="C64" s="57">
        <v>1.0</v>
      </c>
      <c r="D64" s="57" t="s">
        <v>191</v>
      </c>
      <c r="E64" s="57" t="s">
        <v>60</v>
      </c>
      <c r="F64" s="57">
        <v>0.5932</v>
      </c>
      <c r="G64" s="57">
        <v>0.205</v>
      </c>
    </row>
    <row r="65">
      <c r="A65" s="70">
        <v>44650.0</v>
      </c>
      <c r="B65" s="57">
        <v>2346.0</v>
      </c>
      <c r="C65" s="57">
        <v>1.0</v>
      </c>
      <c r="D65" s="57" t="s">
        <v>179</v>
      </c>
      <c r="E65" s="57">
        <v>0.0</v>
      </c>
      <c r="F65" s="57">
        <v>0.0333</v>
      </c>
      <c r="G65" s="57">
        <v>0.012</v>
      </c>
    </row>
    <row r="66">
      <c r="A66" s="70">
        <v>44650.0</v>
      </c>
      <c r="B66" s="57">
        <v>2346.0</v>
      </c>
      <c r="C66" s="57">
        <v>1.0</v>
      </c>
      <c r="D66" s="57" t="s">
        <v>179</v>
      </c>
      <c r="E66" s="57">
        <v>1.0</v>
      </c>
      <c r="F66" s="57">
        <v>0.5421</v>
      </c>
      <c r="G66" s="57">
        <v>0.256</v>
      </c>
    </row>
    <row r="67">
      <c r="A67" s="70">
        <v>44650.0</v>
      </c>
      <c r="B67" s="57">
        <v>2346.0</v>
      </c>
      <c r="C67" s="57">
        <v>2.0</v>
      </c>
      <c r="D67" s="57" t="s">
        <v>191</v>
      </c>
      <c r="E67" s="57" t="s">
        <v>60</v>
      </c>
      <c r="F67" s="57">
        <v>0.2559</v>
      </c>
      <c r="G67" s="57">
        <v>0.092</v>
      </c>
    </row>
    <row r="68">
      <c r="A68" s="70">
        <v>44650.0</v>
      </c>
      <c r="B68" s="57">
        <v>2346.0</v>
      </c>
      <c r="C68" s="57">
        <v>2.0</v>
      </c>
      <c r="D68" s="57" t="s">
        <v>179</v>
      </c>
      <c r="E68" s="57">
        <v>0.0</v>
      </c>
      <c r="F68" s="57">
        <v>0.026</v>
      </c>
      <c r="G68" s="57">
        <v>0.01</v>
      </c>
    </row>
    <row r="69">
      <c r="A69" s="70">
        <v>44650.0</v>
      </c>
      <c r="B69" s="57">
        <v>2346.0</v>
      </c>
      <c r="C69" s="57">
        <v>2.0</v>
      </c>
      <c r="D69" s="57" t="s">
        <v>179</v>
      </c>
      <c r="E69" s="57">
        <v>1.0</v>
      </c>
      <c r="F69" s="57">
        <v>0.3374</v>
      </c>
      <c r="G69" s="57">
        <v>0.159</v>
      </c>
    </row>
    <row r="70">
      <c r="A70" s="70">
        <v>44650.0</v>
      </c>
      <c r="B70" s="57">
        <v>2346.0</v>
      </c>
      <c r="C70" s="57">
        <v>3.0</v>
      </c>
      <c r="D70" s="57" t="s">
        <v>191</v>
      </c>
      <c r="E70" s="57" t="s">
        <v>60</v>
      </c>
      <c r="F70" s="57">
        <v>0.1828</v>
      </c>
      <c r="G70" s="57">
        <v>0.061</v>
      </c>
    </row>
    <row r="71">
      <c r="A71" s="70">
        <v>44650.0</v>
      </c>
      <c r="B71" s="57">
        <v>2346.0</v>
      </c>
      <c r="C71" s="57">
        <v>3.0</v>
      </c>
      <c r="D71" s="57" t="s">
        <v>179</v>
      </c>
      <c r="E71" s="57">
        <v>0.0</v>
      </c>
      <c r="F71" s="57">
        <v>0.0059</v>
      </c>
      <c r="G71" s="57">
        <v>0.002</v>
      </c>
    </row>
    <row r="72">
      <c r="A72" s="70">
        <v>44650.0</v>
      </c>
      <c r="B72" s="57">
        <v>2346.0</v>
      </c>
      <c r="C72" s="57">
        <v>3.0</v>
      </c>
      <c r="D72" s="57" t="s">
        <v>179</v>
      </c>
      <c r="E72" s="57">
        <v>1.0</v>
      </c>
      <c r="F72" s="57">
        <v>0.1199</v>
      </c>
      <c r="G72" s="57">
        <v>0.057</v>
      </c>
    </row>
    <row r="73">
      <c r="A73" s="70">
        <v>44650.0</v>
      </c>
      <c r="B73" s="57">
        <v>2347.0</v>
      </c>
      <c r="C73" s="57">
        <v>1.0</v>
      </c>
      <c r="D73" s="57" t="s">
        <v>191</v>
      </c>
      <c r="E73" s="57" t="s">
        <v>60</v>
      </c>
      <c r="F73" s="57">
        <v>1.6727</v>
      </c>
      <c r="G73" s="57">
        <v>0.572</v>
      </c>
    </row>
    <row r="74">
      <c r="A74" s="70">
        <v>44650.0</v>
      </c>
      <c r="B74" s="57">
        <v>2347.0</v>
      </c>
      <c r="C74" s="57">
        <v>1.0</v>
      </c>
      <c r="D74" s="57" t="s">
        <v>179</v>
      </c>
      <c r="E74" s="57">
        <v>0.0</v>
      </c>
      <c r="F74" s="57">
        <v>0.1625</v>
      </c>
      <c r="G74" s="57">
        <v>0.051</v>
      </c>
    </row>
    <row r="75">
      <c r="A75" s="70">
        <v>44650.0</v>
      </c>
      <c r="B75" s="57">
        <v>2347.0</v>
      </c>
      <c r="C75" s="57">
        <v>1.0</v>
      </c>
      <c r="D75" s="57" t="s">
        <v>179</v>
      </c>
      <c r="E75" s="57">
        <v>1.0</v>
      </c>
      <c r="F75" s="57">
        <v>0.1628</v>
      </c>
      <c r="G75" s="57">
        <v>0.067</v>
      </c>
    </row>
    <row r="76">
      <c r="A76" s="70">
        <v>44650.0</v>
      </c>
      <c r="B76" s="57">
        <v>2347.0</v>
      </c>
      <c r="C76" s="57">
        <v>2.0</v>
      </c>
      <c r="D76" s="57" t="s">
        <v>191</v>
      </c>
      <c r="E76" s="57" t="s">
        <v>60</v>
      </c>
      <c r="F76" s="57">
        <v>0.4425</v>
      </c>
      <c r="G76" s="57">
        <v>0.133</v>
      </c>
    </row>
    <row r="77">
      <c r="A77" s="70">
        <v>44650.0</v>
      </c>
      <c r="B77" s="57">
        <v>2347.0</v>
      </c>
      <c r="C77" s="57">
        <v>2.0</v>
      </c>
      <c r="D77" s="57" t="s">
        <v>179</v>
      </c>
      <c r="E77" s="57">
        <v>0.0</v>
      </c>
      <c r="F77" s="57">
        <v>0.0291</v>
      </c>
      <c r="G77" s="57">
        <v>0.009</v>
      </c>
    </row>
    <row r="78">
      <c r="A78" s="70">
        <v>44650.0</v>
      </c>
      <c r="B78" s="57">
        <v>2347.0</v>
      </c>
      <c r="C78" s="57">
        <v>2.0</v>
      </c>
      <c r="D78" s="57" t="s">
        <v>179</v>
      </c>
      <c r="E78" s="57">
        <v>1.0</v>
      </c>
      <c r="F78" s="57">
        <v>0.0663</v>
      </c>
      <c r="G78" s="57">
        <v>0.028</v>
      </c>
    </row>
    <row r="79">
      <c r="A79" s="70">
        <v>44650.0</v>
      </c>
      <c r="B79" s="57">
        <v>2347.0</v>
      </c>
      <c r="C79" s="57">
        <v>3.0</v>
      </c>
      <c r="D79" s="57" t="s">
        <v>191</v>
      </c>
      <c r="E79" s="57" t="s">
        <v>60</v>
      </c>
      <c r="F79" s="57">
        <v>1.1916</v>
      </c>
      <c r="G79" s="57">
        <v>0.397</v>
      </c>
    </row>
    <row r="80">
      <c r="A80" s="70">
        <v>44650.0</v>
      </c>
      <c r="B80" s="57">
        <v>2347.0</v>
      </c>
      <c r="C80" s="57">
        <v>3.0</v>
      </c>
      <c r="D80" s="57" t="s">
        <v>179</v>
      </c>
      <c r="E80" s="57">
        <v>0.0</v>
      </c>
      <c r="F80" s="57">
        <v>0.1659</v>
      </c>
      <c r="G80" s="57">
        <v>0.051</v>
      </c>
    </row>
    <row r="81">
      <c r="A81" s="70">
        <v>44650.0</v>
      </c>
      <c r="B81" s="57">
        <v>2347.0</v>
      </c>
      <c r="C81" s="57">
        <v>3.0</v>
      </c>
      <c r="D81" s="57" t="s">
        <v>179</v>
      </c>
      <c r="E81" s="57">
        <v>1.0</v>
      </c>
      <c r="F81" s="57">
        <v>0.232</v>
      </c>
      <c r="G81" s="57">
        <v>0.095</v>
      </c>
    </row>
    <row r="82">
      <c r="A82" s="70">
        <v>44650.0</v>
      </c>
      <c r="B82" s="57">
        <v>2352.0</v>
      </c>
      <c r="C82" s="57">
        <v>1.0</v>
      </c>
      <c r="D82" s="57" t="s">
        <v>191</v>
      </c>
      <c r="E82" s="57" t="s">
        <v>60</v>
      </c>
      <c r="F82" s="57">
        <v>0.5258</v>
      </c>
      <c r="G82" s="57">
        <v>0.323</v>
      </c>
    </row>
    <row r="83">
      <c r="A83" s="70">
        <v>44650.0</v>
      </c>
      <c r="B83" s="57">
        <v>2352.0</v>
      </c>
      <c r="C83" s="57">
        <v>1.0</v>
      </c>
      <c r="D83" s="57" t="s">
        <v>179</v>
      </c>
      <c r="E83" s="57" t="s">
        <v>60</v>
      </c>
      <c r="F83" s="57">
        <v>0.3123</v>
      </c>
      <c r="G83" s="57">
        <v>0.174</v>
      </c>
    </row>
    <row r="84">
      <c r="A84" s="70">
        <v>44650.0</v>
      </c>
      <c r="B84" s="57">
        <v>2352.0</v>
      </c>
      <c r="C84" s="57">
        <v>2.0</v>
      </c>
      <c r="D84" s="57" t="s">
        <v>191</v>
      </c>
      <c r="E84" s="57" t="s">
        <v>60</v>
      </c>
      <c r="F84" s="57">
        <v>0.8877</v>
      </c>
      <c r="G84" s="57">
        <v>0.562</v>
      </c>
    </row>
    <row r="85">
      <c r="A85" s="70">
        <v>44650.0</v>
      </c>
      <c r="B85" s="57">
        <v>2352.0</v>
      </c>
      <c r="C85" s="57">
        <v>2.0</v>
      </c>
      <c r="D85" s="57" t="s">
        <v>179</v>
      </c>
      <c r="E85" s="57" t="s">
        <v>60</v>
      </c>
      <c r="F85" s="57">
        <v>0.4619</v>
      </c>
      <c r="G85" s="57">
        <v>0.27</v>
      </c>
    </row>
    <row r="86">
      <c r="A86" s="70">
        <v>44650.0</v>
      </c>
      <c r="B86" s="57">
        <v>2352.0</v>
      </c>
      <c r="C86" s="57">
        <v>3.0</v>
      </c>
      <c r="D86" s="57" t="s">
        <v>191</v>
      </c>
      <c r="E86" s="57" t="s">
        <v>60</v>
      </c>
      <c r="F86" s="57">
        <v>0.6782</v>
      </c>
      <c r="G86" s="57">
        <v>0.437</v>
      </c>
    </row>
    <row r="87">
      <c r="A87" s="70">
        <v>44650.0</v>
      </c>
      <c r="B87" s="57">
        <v>2352.0</v>
      </c>
      <c r="C87" s="57">
        <v>3.0</v>
      </c>
      <c r="D87" s="57" t="s">
        <v>179</v>
      </c>
      <c r="E87" s="57" t="s">
        <v>60</v>
      </c>
      <c r="F87" s="57">
        <v>0.2042</v>
      </c>
      <c r="G87" s="57">
        <v>0.113</v>
      </c>
    </row>
    <row r="88">
      <c r="A88" s="70">
        <v>44650.0</v>
      </c>
      <c r="B88" s="57">
        <v>2354.0</v>
      </c>
      <c r="C88" s="57">
        <v>1.0</v>
      </c>
      <c r="D88" s="57" t="s">
        <v>191</v>
      </c>
      <c r="E88" s="57" t="s">
        <v>60</v>
      </c>
      <c r="F88" s="57">
        <v>2.6446</v>
      </c>
      <c r="G88" s="57">
        <v>1.545</v>
      </c>
    </row>
    <row r="89">
      <c r="A89" s="70">
        <v>44650.0</v>
      </c>
      <c r="B89" s="57">
        <v>2354.0</v>
      </c>
      <c r="C89" s="57">
        <v>1.0</v>
      </c>
      <c r="D89" s="57" t="s">
        <v>179</v>
      </c>
      <c r="E89" s="57" t="s">
        <v>60</v>
      </c>
      <c r="F89" s="57">
        <v>0.3465</v>
      </c>
      <c r="G89" s="57">
        <v>0.181</v>
      </c>
    </row>
    <row r="90">
      <c r="A90" s="70">
        <v>44650.0</v>
      </c>
      <c r="B90" s="57">
        <v>2354.0</v>
      </c>
      <c r="C90" s="57">
        <v>2.0</v>
      </c>
      <c r="D90" s="57" t="s">
        <v>191</v>
      </c>
      <c r="E90" s="57" t="s">
        <v>60</v>
      </c>
      <c r="F90" s="57">
        <v>3.0135</v>
      </c>
      <c r="G90" s="57">
        <v>1.735</v>
      </c>
    </row>
    <row r="91">
      <c r="A91" s="70">
        <v>44650.0</v>
      </c>
      <c r="B91" s="57">
        <v>2354.0</v>
      </c>
      <c r="C91" s="57">
        <v>2.0</v>
      </c>
      <c r="D91" s="57" t="s">
        <v>179</v>
      </c>
      <c r="E91" s="57">
        <v>0.0</v>
      </c>
      <c r="F91" s="57">
        <v>0.0268</v>
      </c>
      <c r="G91" s="57">
        <v>0.007</v>
      </c>
    </row>
    <row r="92">
      <c r="A92" s="70">
        <v>44650.0</v>
      </c>
      <c r="B92" s="57">
        <v>2354.0</v>
      </c>
      <c r="C92" s="57">
        <v>2.0</v>
      </c>
      <c r="D92" s="57" t="s">
        <v>179</v>
      </c>
      <c r="E92" s="57">
        <v>1.0</v>
      </c>
      <c r="F92" s="57">
        <v>0.4271</v>
      </c>
      <c r="G92" s="57">
        <v>0.213</v>
      </c>
    </row>
    <row r="93">
      <c r="A93" s="70">
        <v>44650.0</v>
      </c>
      <c r="B93" s="57">
        <v>2354.0</v>
      </c>
      <c r="C93" s="57">
        <v>3.0</v>
      </c>
      <c r="D93" s="57" t="s">
        <v>191</v>
      </c>
      <c r="E93" s="57" t="s">
        <v>60</v>
      </c>
      <c r="F93" s="57">
        <v>1.3947</v>
      </c>
      <c r="G93" s="57">
        <v>0.831</v>
      </c>
    </row>
    <row r="94">
      <c r="A94" s="70">
        <v>44650.0</v>
      </c>
      <c r="B94" s="57">
        <v>2354.0</v>
      </c>
      <c r="C94" s="57">
        <v>3.0</v>
      </c>
      <c r="D94" s="57" t="s">
        <v>179</v>
      </c>
      <c r="E94" s="57" t="s">
        <v>60</v>
      </c>
      <c r="F94" s="57">
        <v>0.1783</v>
      </c>
      <c r="G94" s="57">
        <v>0.09</v>
      </c>
    </row>
    <row r="95">
      <c r="A95" s="70">
        <v>44650.0</v>
      </c>
      <c r="B95" s="57">
        <v>2360.0</v>
      </c>
      <c r="C95" s="57">
        <v>1.0</v>
      </c>
      <c r="D95" s="57" t="s">
        <v>191</v>
      </c>
      <c r="E95" s="57" t="s">
        <v>60</v>
      </c>
      <c r="F95" s="57">
        <v>1.0328</v>
      </c>
      <c r="G95" s="57">
        <v>0.437</v>
      </c>
    </row>
    <row r="96">
      <c r="A96" s="70">
        <v>44650.0</v>
      </c>
      <c r="B96" s="57">
        <v>2360.0</v>
      </c>
      <c r="C96" s="57">
        <v>1.0</v>
      </c>
      <c r="D96" s="57" t="s">
        <v>179</v>
      </c>
      <c r="E96" s="57">
        <v>1.0</v>
      </c>
      <c r="F96" s="57">
        <v>0.2376</v>
      </c>
      <c r="G96" s="57">
        <v>0.108</v>
      </c>
    </row>
    <row r="97">
      <c r="A97" s="70">
        <v>44650.0</v>
      </c>
      <c r="B97" s="57">
        <v>2360.0</v>
      </c>
      <c r="C97" s="57">
        <v>2.0</v>
      </c>
      <c r="D97" s="57" t="s">
        <v>191</v>
      </c>
      <c r="E97" s="57" t="s">
        <v>60</v>
      </c>
      <c r="F97" s="57">
        <v>0.9288</v>
      </c>
      <c r="G97" s="57">
        <v>0.393</v>
      </c>
    </row>
    <row r="98">
      <c r="A98" s="70">
        <v>44650.0</v>
      </c>
      <c r="B98" s="57">
        <v>2360.0</v>
      </c>
      <c r="C98" s="57">
        <v>2.0</v>
      </c>
      <c r="D98" s="57" t="s">
        <v>179</v>
      </c>
      <c r="E98" s="57">
        <v>0.0</v>
      </c>
      <c r="F98" s="57">
        <v>0.097</v>
      </c>
      <c r="G98" s="57">
        <v>0.031</v>
      </c>
    </row>
    <row r="99">
      <c r="A99" s="70">
        <v>44650.0</v>
      </c>
      <c r="B99" s="57">
        <v>2360.0</v>
      </c>
      <c r="C99" s="57">
        <v>2.0</v>
      </c>
      <c r="D99" s="57" t="s">
        <v>179</v>
      </c>
      <c r="E99" s="57">
        <v>1.0</v>
      </c>
      <c r="F99" s="57">
        <v>0.3279</v>
      </c>
      <c r="G99" s="57">
        <v>0.141</v>
      </c>
    </row>
    <row r="100">
      <c r="A100" s="70">
        <v>44650.0</v>
      </c>
      <c r="B100" s="57">
        <v>2360.0</v>
      </c>
      <c r="C100" s="57">
        <v>3.0</v>
      </c>
      <c r="D100" s="57" t="s">
        <v>191</v>
      </c>
      <c r="E100" s="57" t="s">
        <v>60</v>
      </c>
      <c r="F100" s="57">
        <v>1.2668</v>
      </c>
      <c r="G100" s="57">
        <v>0.557</v>
      </c>
    </row>
    <row r="101">
      <c r="A101" s="70">
        <v>44650.0</v>
      </c>
      <c r="B101" s="57">
        <v>2360.0</v>
      </c>
      <c r="C101" s="57">
        <v>3.0</v>
      </c>
      <c r="D101" s="57" t="s">
        <v>179</v>
      </c>
      <c r="E101" s="57">
        <v>0.0</v>
      </c>
      <c r="F101" s="57">
        <v>0.1854</v>
      </c>
      <c r="G101" s="57">
        <v>0.075</v>
      </c>
    </row>
    <row r="102">
      <c r="A102" s="70">
        <v>44650.0</v>
      </c>
      <c r="B102" s="57">
        <v>2360.0</v>
      </c>
      <c r="C102" s="57">
        <v>3.0</v>
      </c>
      <c r="D102" s="57" t="s">
        <v>179</v>
      </c>
      <c r="E102" s="57">
        <v>1.0</v>
      </c>
      <c r="F102" s="57">
        <v>0.217</v>
      </c>
      <c r="G102" s="57">
        <v>0.093</v>
      </c>
    </row>
    <row r="103">
      <c r="A103" s="70">
        <v>44650.0</v>
      </c>
      <c r="B103" s="57">
        <v>2361.0</v>
      </c>
      <c r="C103" s="57">
        <v>1.0</v>
      </c>
      <c r="D103" s="57" t="s">
        <v>179</v>
      </c>
      <c r="E103" s="57">
        <v>0.0</v>
      </c>
      <c r="F103" s="57" t="s">
        <v>60</v>
      </c>
      <c r="G103" s="57">
        <v>0.028</v>
      </c>
    </row>
    <row r="104">
      <c r="A104" s="70">
        <v>44650.0</v>
      </c>
      <c r="B104" s="57">
        <v>2364.0</v>
      </c>
      <c r="C104" s="57">
        <v>1.0</v>
      </c>
      <c r="D104" s="57" t="s">
        <v>191</v>
      </c>
      <c r="E104" s="57" t="s">
        <v>60</v>
      </c>
      <c r="F104" s="57">
        <v>0.4231</v>
      </c>
      <c r="G104" s="57">
        <v>0.181</v>
      </c>
    </row>
    <row r="105">
      <c r="A105" s="70">
        <v>44650.0</v>
      </c>
      <c r="B105" s="57">
        <v>2364.0</v>
      </c>
      <c r="C105" s="57">
        <v>1.0</v>
      </c>
      <c r="D105" s="57" t="s">
        <v>179</v>
      </c>
      <c r="E105" s="57">
        <v>0.0</v>
      </c>
      <c r="F105" s="57">
        <v>0.0311</v>
      </c>
      <c r="G105" s="57">
        <v>0.013</v>
      </c>
    </row>
    <row r="106">
      <c r="A106" s="70">
        <v>44650.0</v>
      </c>
      <c r="B106" s="57">
        <v>2364.0</v>
      </c>
      <c r="C106" s="57">
        <v>1.0</v>
      </c>
      <c r="D106" s="57" t="s">
        <v>179</v>
      </c>
      <c r="E106" s="57">
        <v>1.0</v>
      </c>
      <c r="F106" s="57">
        <v>0.0484</v>
      </c>
      <c r="G106" s="57">
        <v>0.023</v>
      </c>
    </row>
    <row r="107">
      <c r="A107" s="70">
        <v>44650.0</v>
      </c>
      <c r="B107" s="57">
        <v>2364.0</v>
      </c>
      <c r="C107" s="57">
        <v>2.0</v>
      </c>
      <c r="D107" s="57" t="s">
        <v>191</v>
      </c>
      <c r="E107" s="57" t="s">
        <v>60</v>
      </c>
      <c r="F107" s="57">
        <v>1.1874</v>
      </c>
      <c r="G107" s="57">
        <v>0.522</v>
      </c>
    </row>
    <row r="108">
      <c r="A108" s="70">
        <v>44650.0</v>
      </c>
      <c r="B108" s="57">
        <v>2364.0</v>
      </c>
      <c r="C108" s="57">
        <v>2.0</v>
      </c>
      <c r="D108" s="57" t="s">
        <v>179</v>
      </c>
      <c r="E108" s="57">
        <v>0.0</v>
      </c>
      <c r="F108" s="57">
        <v>0.0592</v>
      </c>
      <c r="G108" s="57">
        <v>0.023</v>
      </c>
    </row>
    <row r="109">
      <c r="A109" s="70">
        <v>44650.0</v>
      </c>
      <c r="B109" s="57">
        <v>2364.0</v>
      </c>
      <c r="C109" s="57">
        <v>2.0</v>
      </c>
      <c r="D109" s="57" t="s">
        <v>179</v>
      </c>
      <c r="E109" s="57">
        <v>1.0</v>
      </c>
      <c r="F109" s="57">
        <v>0.2924</v>
      </c>
      <c r="G109" s="57">
        <v>0.128</v>
      </c>
    </row>
    <row r="110">
      <c r="A110" s="70">
        <v>44650.0</v>
      </c>
      <c r="B110" s="57">
        <v>2364.0</v>
      </c>
      <c r="C110" s="57">
        <v>3.0</v>
      </c>
      <c r="D110" s="57" t="s">
        <v>191</v>
      </c>
      <c r="E110" s="57" t="s">
        <v>60</v>
      </c>
      <c r="F110" s="57">
        <v>0.9958</v>
      </c>
      <c r="G110" s="57">
        <v>0.359</v>
      </c>
    </row>
    <row r="111">
      <c r="A111" s="70">
        <v>44650.0</v>
      </c>
      <c r="B111" s="57">
        <v>2364.0</v>
      </c>
      <c r="C111" s="57">
        <v>3.0</v>
      </c>
      <c r="D111" s="57" t="s">
        <v>179</v>
      </c>
      <c r="E111" s="57">
        <v>0.0</v>
      </c>
      <c r="F111" s="57">
        <v>0.077</v>
      </c>
      <c r="G111" s="57">
        <v>0.025</v>
      </c>
    </row>
    <row r="112">
      <c r="A112" s="70">
        <v>44650.0</v>
      </c>
      <c r="B112" s="57">
        <v>2364.0</v>
      </c>
      <c r="C112" s="57">
        <v>3.0</v>
      </c>
      <c r="D112" s="57" t="s">
        <v>179</v>
      </c>
      <c r="E112" s="57">
        <v>1.0</v>
      </c>
      <c r="F112" s="57">
        <v>0.1532</v>
      </c>
      <c r="G112" s="57">
        <v>0.064</v>
      </c>
    </row>
    <row r="113">
      <c r="A113" s="70">
        <v>44650.0</v>
      </c>
      <c r="B113" s="57">
        <v>2367.0</v>
      </c>
      <c r="C113" s="57">
        <v>1.0</v>
      </c>
      <c r="D113" s="57" t="s">
        <v>191</v>
      </c>
      <c r="E113" s="57" t="s">
        <v>60</v>
      </c>
      <c r="F113" s="57">
        <v>0.9452</v>
      </c>
      <c r="G113" s="57">
        <v>0.335</v>
      </c>
    </row>
    <row r="114">
      <c r="A114" s="70">
        <v>44650.0</v>
      </c>
      <c r="B114" s="57">
        <v>2367.0</v>
      </c>
      <c r="C114" s="57">
        <v>1.0</v>
      </c>
      <c r="D114" s="57" t="s">
        <v>191</v>
      </c>
      <c r="E114" s="57" t="s">
        <v>60</v>
      </c>
      <c r="F114" s="33">
        <f>0.161+1.5393</f>
        <v>1.7003</v>
      </c>
      <c r="G114" s="57">
        <v>0.666</v>
      </c>
    </row>
    <row r="115">
      <c r="A115" s="70">
        <v>44650.0</v>
      </c>
      <c r="B115" s="57">
        <v>2367.0</v>
      </c>
      <c r="C115" s="57">
        <v>1.0</v>
      </c>
      <c r="D115" s="57" t="s">
        <v>179</v>
      </c>
      <c r="E115" s="57">
        <v>0.0</v>
      </c>
      <c r="F115" s="57">
        <v>0.1228</v>
      </c>
      <c r="G115" s="57">
        <v>0.038</v>
      </c>
    </row>
    <row r="116">
      <c r="A116" s="70">
        <v>44650.0</v>
      </c>
      <c r="B116" s="57">
        <v>2367.0</v>
      </c>
      <c r="C116" s="57">
        <v>1.0</v>
      </c>
      <c r="D116" s="57" t="s">
        <v>179</v>
      </c>
      <c r="E116" s="57">
        <v>0.0</v>
      </c>
      <c r="F116" s="57">
        <v>0.1001</v>
      </c>
      <c r="G116" s="57">
        <v>0.032</v>
      </c>
    </row>
    <row r="117">
      <c r="A117" s="70">
        <v>44650.0</v>
      </c>
      <c r="B117" s="57">
        <v>2367.0</v>
      </c>
      <c r="C117" s="57">
        <v>1.0</v>
      </c>
      <c r="D117" s="57" t="s">
        <v>179</v>
      </c>
      <c r="E117" s="57">
        <v>1.0</v>
      </c>
      <c r="F117" s="57">
        <v>0.0903</v>
      </c>
      <c r="G117" s="57">
        <v>0.04</v>
      </c>
    </row>
    <row r="118">
      <c r="A118" s="70">
        <v>44650.0</v>
      </c>
      <c r="B118" s="57">
        <v>2367.0</v>
      </c>
      <c r="C118" s="57">
        <v>1.0</v>
      </c>
      <c r="D118" s="57" t="s">
        <v>179</v>
      </c>
      <c r="E118" s="57">
        <v>1.0</v>
      </c>
      <c r="F118" s="57">
        <v>0.2168</v>
      </c>
      <c r="G118" s="57">
        <v>0.095</v>
      </c>
    </row>
    <row r="119">
      <c r="A119" s="70">
        <v>44650.0</v>
      </c>
      <c r="B119" s="57">
        <v>2367.0</v>
      </c>
      <c r="C119" s="57">
        <v>3.0</v>
      </c>
      <c r="D119" s="57" t="s">
        <v>191</v>
      </c>
      <c r="E119" s="57" t="s">
        <v>60</v>
      </c>
      <c r="F119" s="57">
        <v>0.7471</v>
      </c>
      <c r="G119" s="57">
        <v>0.281</v>
      </c>
    </row>
    <row r="120">
      <c r="A120" s="70">
        <v>44650.0</v>
      </c>
      <c r="B120" s="57">
        <v>2367.0</v>
      </c>
      <c r="C120" s="57">
        <v>3.0</v>
      </c>
      <c r="D120" s="57" t="s">
        <v>179</v>
      </c>
      <c r="E120" s="57">
        <v>0.0</v>
      </c>
      <c r="F120" s="57">
        <v>0.0503</v>
      </c>
      <c r="G120" s="57">
        <v>0.014</v>
      </c>
    </row>
    <row r="121">
      <c r="A121" s="70">
        <v>44650.0</v>
      </c>
      <c r="B121" s="57">
        <v>2367.0</v>
      </c>
      <c r="C121" s="57">
        <v>3.0</v>
      </c>
      <c r="D121" s="57" t="s">
        <v>179</v>
      </c>
      <c r="E121" s="57">
        <v>1.0</v>
      </c>
      <c r="F121" s="57">
        <v>0.3833</v>
      </c>
      <c r="G121" s="57">
        <v>0.195</v>
      </c>
    </row>
    <row r="122">
      <c r="A122" s="70">
        <v>44650.0</v>
      </c>
      <c r="B122" s="57">
        <v>2369.0</v>
      </c>
      <c r="C122" s="57">
        <v>1.0</v>
      </c>
      <c r="D122" s="57" t="s">
        <v>191</v>
      </c>
      <c r="E122" s="57" t="s">
        <v>60</v>
      </c>
      <c r="F122" s="57">
        <v>0.97</v>
      </c>
      <c r="G122" s="57">
        <v>0.386</v>
      </c>
    </row>
    <row r="123">
      <c r="A123" s="70">
        <v>44650.0</v>
      </c>
      <c r="B123" s="57">
        <v>2369.0</v>
      </c>
      <c r="C123" s="57">
        <v>1.0</v>
      </c>
      <c r="D123" s="57" t="s">
        <v>179</v>
      </c>
      <c r="E123" s="57">
        <v>0.0</v>
      </c>
      <c r="F123" s="57">
        <v>0.0541</v>
      </c>
      <c r="G123" s="57">
        <v>0.021</v>
      </c>
    </row>
    <row r="124">
      <c r="A124" s="70">
        <v>44650.0</v>
      </c>
      <c r="B124" s="57">
        <v>2369.0</v>
      </c>
      <c r="C124" s="57">
        <v>1.0</v>
      </c>
      <c r="D124" s="57" t="s">
        <v>179</v>
      </c>
      <c r="E124" s="57">
        <v>1.0</v>
      </c>
      <c r="F124" s="57">
        <v>0.1645</v>
      </c>
      <c r="G124" s="57">
        <v>0.075</v>
      </c>
    </row>
    <row r="125">
      <c r="A125" s="70">
        <v>44650.0</v>
      </c>
      <c r="B125" s="57">
        <v>2369.0</v>
      </c>
      <c r="C125" s="57">
        <v>2.0</v>
      </c>
      <c r="D125" s="57" t="s">
        <v>191</v>
      </c>
      <c r="E125" s="57" t="s">
        <v>60</v>
      </c>
      <c r="F125" s="57">
        <v>0.482</v>
      </c>
      <c r="G125" s="57">
        <v>0.202</v>
      </c>
    </row>
    <row r="126">
      <c r="A126" s="70">
        <v>44650.0</v>
      </c>
      <c r="B126" s="57">
        <v>2369.0</v>
      </c>
      <c r="C126" s="57">
        <v>2.0</v>
      </c>
      <c r="D126" s="57" t="s">
        <v>179</v>
      </c>
      <c r="E126" s="57">
        <v>0.0</v>
      </c>
      <c r="F126" s="57">
        <v>0.0184</v>
      </c>
      <c r="G126" s="57">
        <v>0.007</v>
      </c>
    </row>
    <row r="127">
      <c r="A127" s="70">
        <v>44650.0</v>
      </c>
      <c r="B127" s="57">
        <v>2369.0</v>
      </c>
      <c r="C127" s="57">
        <v>2.0</v>
      </c>
      <c r="D127" s="57" t="s">
        <v>179</v>
      </c>
      <c r="E127" s="57">
        <v>1.0</v>
      </c>
      <c r="F127" s="57">
        <v>0.0616</v>
      </c>
      <c r="G127" s="57">
        <v>0.03</v>
      </c>
    </row>
    <row r="128">
      <c r="A128" s="70">
        <v>44650.0</v>
      </c>
      <c r="B128" s="57">
        <v>2369.0</v>
      </c>
      <c r="C128" s="57">
        <v>3.0</v>
      </c>
      <c r="D128" s="57" t="s">
        <v>191</v>
      </c>
      <c r="E128" s="57" t="s">
        <v>60</v>
      </c>
      <c r="F128" s="57">
        <v>0.4499</v>
      </c>
      <c r="G128" s="57">
        <v>0.172</v>
      </c>
    </row>
    <row r="129">
      <c r="A129" s="70">
        <v>44650.0</v>
      </c>
      <c r="B129" s="57">
        <v>2369.0</v>
      </c>
      <c r="C129" s="57">
        <v>3.0</v>
      </c>
      <c r="D129" s="57" t="s">
        <v>179</v>
      </c>
      <c r="E129" s="57">
        <v>0.0</v>
      </c>
      <c r="F129" s="57">
        <v>0.0177</v>
      </c>
      <c r="G129" s="57">
        <v>0.006</v>
      </c>
    </row>
    <row r="130">
      <c r="A130" s="70">
        <v>44650.0</v>
      </c>
      <c r="B130" s="57">
        <v>2369.0</v>
      </c>
      <c r="C130" s="57">
        <v>3.0</v>
      </c>
      <c r="D130" s="57" t="s">
        <v>179</v>
      </c>
      <c r="E130" s="57">
        <v>1.0</v>
      </c>
      <c r="F130" s="57">
        <v>0.1551</v>
      </c>
      <c r="G130" s="57">
        <v>0.068</v>
      </c>
    </row>
    <row r="131">
      <c r="A131" s="70">
        <v>44650.0</v>
      </c>
      <c r="B131" s="57">
        <v>2370.0</v>
      </c>
      <c r="C131" s="57">
        <v>1.0</v>
      </c>
      <c r="D131" s="57" t="s">
        <v>191</v>
      </c>
      <c r="E131" s="57" t="s">
        <v>60</v>
      </c>
      <c r="F131" s="57">
        <v>0.3183</v>
      </c>
      <c r="G131" s="57">
        <v>0.088</v>
      </c>
    </row>
    <row r="132">
      <c r="A132" s="70">
        <v>44650.0</v>
      </c>
      <c r="B132" s="57">
        <v>2370.0</v>
      </c>
      <c r="C132" s="57">
        <v>1.0</v>
      </c>
      <c r="D132" s="57" t="s">
        <v>179</v>
      </c>
      <c r="E132" s="57">
        <v>0.0</v>
      </c>
      <c r="F132" s="57">
        <v>0.0234</v>
      </c>
      <c r="G132" s="57">
        <v>0.006</v>
      </c>
    </row>
    <row r="133">
      <c r="A133" s="70">
        <v>44650.0</v>
      </c>
      <c r="B133" s="57">
        <v>2370.0</v>
      </c>
      <c r="C133" s="57">
        <v>1.0</v>
      </c>
      <c r="D133" s="57" t="s">
        <v>179</v>
      </c>
      <c r="E133" s="57">
        <v>1.0</v>
      </c>
      <c r="F133" s="57">
        <v>0.1045</v>
      </c>
      <c r="G133" s="57">
        <v>0.042</v>
      </c>
    </row>
    <row r="134">
      <c r="A134" s="70">
        <v>44650.0</v>
      </c>
      <c r="B134" s="57">
        <v>2370.0</v>
      </c>
      <c r="C134" s="57">
        <v>2.0</v>
      </c>
      <c r="D134" s="57" t="s">
        <v>191</v>
      </c>
      <c r="E134" s="57" t="s">
        <v>60</v>
      </c>
      <c r="F134" s="57">
        <v>0.2022</v>
      </c>
      <c r="G134" s="57">
        <v>0.057</v>
      </c>
    </row>
    <row r="135">
      <c r="A135" s="70">
        <v>44650.0</v>
      </c>
      <c r="B135" s="57">
        <v>2370.0</v>
      </c>
      <c r="C135" s="57">
        <v>2.0</v>
      </c>
      <c r="D135" s="57" t="s">
        <v>179</v>
      </c>
      <c r="E135" s="57">
        <v>0.0</v>
      </c>
      <c r="F135" s="57">
        <v>0.0588</v>
      </c>
      <c r="G135" s="57">
        <v>0.014</v>
      </c>
    </row>
    <row r="136">
      <c r="A136" s="70">
        <v>44650.0</v>
      </c>
      <c r="B136" s="57">
        <v>2370.0</v>
      </c>
      <c r="C136" s="57">
        <v>2.0</v>
      </c>
      <c r="D136" s="57" t="s">
        <v>179</v>
      </c>
      <c r="E136" s="57">
        <v>1.0</v>
      </c>
      <c r="F136" s="57">
        <v>0.0766</v>
      </c>
      <c r="G136" s="57">
        <v>0.032</v>
      </c>
    </row>
    <row r="137">
      <c r="A137" s="70">
        <v>44650.0</v>
      </c>
      <c r="B137" s="57">
        <v>2370.0</v>
      </c>
      <c r="C137" s="57">
        <v>3.0</v>
      </c>
      <c r="D137" s="57" t="s">
        <v>191</v>
      </c>
      <c r="E137" s="57" t="s">
        <v>60</v>
      </c>
      <c r="F137" s="57">
        <v>0.5121</v>
      </c>
      <c r="G137" s="57">
        <v>0.15</v>
      </c>
    </row>
    <row r="138">
      <c r="A138" s="70">
        <v>44650.0</v>
      </c>
      <c r="B138" s="57">
        <v>2370.0</v>
      </c>
      <c r="C138" s="57">
        <v>3.0</v>
      </c>
      <c r="D138" s="57" t="s">
        <v>179</v>
      </c>
      <c r="E138" s="57">
        <v>0.0</v>
      </c>
      <c r="F138" s="57">
        <v>0.0306</v>
      </c>
      <c r="G138" s="57">
        <v>0.009</v>
      </c>
    </row>
    <row r="139">
      <c r="A139" s="70">
        <v>44650.0</v>
      </c>
      <c r="B139" s="57">
        <v>2370.0</v>
      </c>
      <c r="C139" s="57">
        <v>3.0</v>
      </c>
      <c r="D139" s="57" t="s">
        <v>179</v>
      </c>
      <c r="E139" s="57">
        <v>1.0</v>
      </c>
      <c r="F139" s="57">
        <v>0.1739</v>
      </c>
      <c r="G139" s="57">
        <v>0.072</v>
      </c>
    </row>
    <row r="140">
      <c r="A140" s="70">
        <v>44650.0</v>
      </c>
      <c r="B140" s="57">
        <v>2371.0</v>
      </c>
      <c r="C140" s="57">
        <v>1.0</v>
      </c>
      <c r="D140" s="57" t="s">
        <v>191</v>
      </c>
      <c r="E140" s="57" t="s">
        <v>60</v>
      </c>
      <c r="F140" s="57">
        <v>0.8268</v>
      </c>
      <c r="G140" s="57">
        <v>0.236</v>
      </c>
    </row>
    <row r="141">
      <c r="A141" s="70">
        <v>44650.0</v>
      </c>
      <c r="B141" s="57">
        <v>2371.0</v>
      </c>
      <c r="C141" s="57">
        <v>1.0</v>
      </c>
      <c r="D141" s="57" t="s">
        <v>179</v>
      </c>
      <c r="E141" s="57">
        <v>0.0</v>
      </c>
      <c r="F141" s="57">
        <v>0.0681</v>
      </c>
      <c r="G141" s="57">
        <v>0.019</v>
      </c>
    </row>
    <row r="142">
      <c r="A142" s="70">
        <v>44650.0</v>
      </c>
      <c r="B142" s="57">
        <v>2371.0</v>
      </c>
      <c r="C142" s="57">
        <v>1.0</v>
      </c>
      <c r="D142" s="57" t="s">
        <v>179</v>
      </c>
      <c r="E142" s="57">
        <v>1.0</v>
      </c>
      <c r="F142" s="57">
        <v>0.1912</v>
      </c>
      <c r="G142" s="57">
        <v>0.083</v>
      </c>
    </row>
    <row r="143">
      <c r="A143" s="70">
        <v>44650.0</v>
      </c>
      <c r="B143" s="57">
        <v>2371.0</v>
      </c>
      <c r="C143" s="57">
        <v>2.0</v>
      </c>
      <c r="D143" s="57" t="s">
        <v>191</v>
      </c>
      <c r="E143" s="57" t="s">
        <v>60</v>
      </c>
      <c r="F143" s="57">
        <v>0.7536</v>
      </c>
      <c r="G143" s="57">
        <v>0.203</v>
      </c>
    </row>
    <row r="144">
      <c r="A144" s="70">
        <v>44650.0</v>
      </c>
      <c r="B144" s="57">
        <v>2371.0</v>
      </c>
      <c r="C144" s="57">
        <v>2.0</v>
      </c>
      <c r="D144" s="57" t="s">
        <v>179</v>
      </c>
      <c r="E144" s="57" t="s">
        <v>60</v>
      </c>
      <c r="F144" s="57">
        <v>0.1912</v>
      </c>
      <c r="G144" s="57">
        <v>0.09</v>
      </c>
    </row>
    <row r="145">
      <c r="A145" s="70">
        <v>44650.0</v>
      </c>
      <c r="B145" s="57">
        <v>2371.0</v>
      </c>
      <c r="C145" s="57">
        <v>3.0</v>
      </c>
      <c r="D145" s="57" t="s">
        <v>191</v>
      </c>
      <c r="E145" s="57" t="s">
        <v>60</v>
      </c>
      <c r="F145" s="57">
        <v>1.3643</v>
      </c>
      <c r="G145" s="57">
        <v>0.381</v>
      </c>
    </row>
    <row r="146">
      <c r="A146" s="70">
        <v>44650.0</v>
      </c>
      <c r="B146" s="57">
        <v>2371.0</v>
      </c>
      <c r="C146" s="57">
        <v>3.0</v>
      </c>
      <c r="D146" s="57" t="s">
        <v>179</v>
      </c>
      <c r="E146" s="57">
        <v>0.0</v>
      </c>
      <c r="F146" s="57">
        <v>0.0968</v>
      </c>
      <c r="G146" s="57">
        <v>0.028</v>
      </c>
    </row>
    <row r="147">
      <c r="A147" s="70">
        <v>44650.0</v>
      </c>
      <c r="B147" s="57">
        <v>2371.0</v>
      </c>
      <c r="C147" s="57">
        <v>3.0</v>
      </c>
      <c r="D147" s="57" t="s">
        <v>179</v>
      </c>
      <c r="E147" s="57">
        <v>1.0</v>
      </c>
      <c r="F147" s="57">
        <v>0.6085</v>
      </c>
      <c r="G147" s="57">
        <v>0.28</v>
      </c>
    </row>
    <row r="148">
      <c r="A148" s="70">
        <v>44650.0</v>
      </c>
      <c r="B148" s="57">
        <v>2372.0</v>
      </c>
      <c r="C148" s="57">
        <v>1.0</v>
      </c>
      <c r="D148" s="57" t="s">
        <v>191</v>
      </c>
      <c r="E148" s="57" t="s">
        <v>60</v>
      </c>
      <c r="F148" s="57">
        <v>0.7638</v>
      </c>
      <c r="G148" s="57">
        <v>0.257</v>
      </c>
    </row>
    <row r="149">
      <c r="A149" s="70">
        <v>44650.0</v>
      </c>
      <c r="B149" s="57">
        <v>2372.0</v>
      </c>
      <c r="C149" s="57">
        <v>1.0</v>
      </c>
      <c r="D149" s="57" t="s">
        <v>179</v>
      </c>
      <c r="E149" s="57">
        <v>0.0</v>
      </c>
      <c r="F149" s="57">
        <v>0.0622</v>
      </c>
      <c r="G149" s="57">
        <v>0.019</v>
      </c>
    </row>
    <row r="150">
      <c r="A150" s="70">
        <v>44650.0</v>
      </c>
      <c r="B150" s="57">
        <v>2372.0</v>
      </c>
      <c r="C150" s="57">
        <v>1.0</v>
      </c>
      <c r="D150" s="57" t="s">
        <v>179</v>
      </c>
      <c r="E150" s="57">
        <v>1.0</v>
      </c>
      <c r="F150" s="57">
        <v>0.1216</v>
      </c>
      <c r="G150" s="57">
        <v>0.055</v>
      </c>
    </row>
    <row r="151">
      <c r="A151" s="70">
        <v>44650.0</v>
      </c>
      <c r="B151" s="57">
        <v>2372.0</v>
      </c>
      <c r="C151" s="57">
        <v>2.0</v>
      </c>
      <c r="D151" s="57" t="s">
        <v>191</v>
      </c>
      <c r="E151" s="57" t="s">
        <v>60</v>
      </c>
      <c r="F151" s="57">
        <v>0.8885</v>
      </c>
      <c r="G151" s="57">
        <v>0.292</v>
      </c>
    </row>
    <row r="152">
      <c r="A152" s="70">
        <v>44650.0</v>
      </c>
      <c r="B152" s="57">
        <v>2372.0</v>
      </c>
      <c r="C152" s="57">
        <v>2.0</v>
      </c>
      <c r="D152" s="57" t="s">
        <v>179</v>
      </c>
      <c r="E152" s="57">
        <v>0.0</v>
      </c>
      <c r="F152" s="57">
        <v>0.0717</v>
      </c>
      <c r="G152" s="57">
        <v>0.021</v>
      </c>
    </row>
    <row r="153">
      <c r="A153" s="70">
        <v>44650.0</v>
      </c>
      <c r="B153" s="57">
        <v>2372.0</v>
      </c>
      <c r="C153" s="57">
        <v>2.0</v>
      </c>
      <c r="D153" s="57" t="s">
        <v>179</v>
      </c>
      <c r="E153" s="57">
        <v>1.0</v>
      </c>
      <c r="F153" s="57">
        <v>0.1145</v>
      </c>
      <c r="G153" s="57">
        <v>0.05</v>
      </c>
    </row>
    <row r="154">
      <c r="A154" s="70">
        <v>44650.0</v>
      </c>
      <c r="B154" s="57">
        <v>2372.0</v>
      </c>
      <c r="C154" s="57">
        <v>3.0</v>
      </c>
      <c r="D154" s="57" t="s">
        <v>191</v>
      </c>
      <c r="E154" s="57" t="s">
        <v>60</v>
      </c>
      <c r="F154" s="57">
        <v>1.5595</v>
      </c>
      <c r="G154" s="57">
        <v>0.424</v>
      </c>
    </row>
    <row r="155">
      <c r="A155" s="70">
        <v>44650.0</v>
      </c>
      <c r="B155" s="57">
        <v>2372.0</v>
      </c>
      <c r="C155" s="57">
        <v>3.0</v>
      </c>
      <c r="D155" s="57" t="s">
        <v>179</v>
      </c>
      <c r="E155" s="57">
        <v>0.0</v>
      </c>
      <c r="F155" s="57">
        <v>0.192</v>
      </c>
      <c r="G155" s="57">
        <v>0.052</v>
      </c>
    </row>
    <row r="156">
      <c r="A156" s="70">
        <v>44650.0</v>
      </c>
      <c r="B156" s="57">
        <v>2372.0</v>
      </c>
      <c r="C156" s="57">
        <v>3.0</v>
      </c>
      <c r="D156" s="57" t="s">
        <v>179</v>
      </c>
      <c r="E156" s="57">
        <v>1.0</v>
      </c>
      <c r="F156" s="57">
        <v>0.2386</v>
      </c>
      <c r="G156" s="57">
        <v>0.1</v>
      </c>
    </row>
    <row r="157">
      <c r="A157" s="70">
        <v>44650.0</v>
      </c>
      <c r="B157" s="57">
        <v>2375.0</v>
      </c>
      <c r="C157" s="57">
        <v>1.0</v>
      </c>
      <c r="D157" s="57" t="s">
        <v>191</v>
      </c>
      <c r="E157" s="57" t="s">
        <v>60</v>
      </c>
      <c r="F157" s="57">
        <v>0.4871</v>
      </c>
      <c r="G157" s="57">
        <v>0.145</v>
      </c>
    </row>
    <row r="158">
      <c r="A158" s="70">
        <v>44650.0</v>
      </c>
      <c r="B158" s="57">
        <v>2375.0</v>
      </c>
      <c r="C158" s="57">
        <v>1.0</v>
      </c>
      <c r="D158" s="57" t="s">
        <v>179</v>
      </c>
      <c r="E158" s="57">
        <v>0.0</v>
      </c>
      <c r="F158" s="57">
        <v>0.0457</v>
      </c>
      <c r="G158" s="57">
        <v>0.014</v>
      </c>
    </row>
    <row r="159">
      <c r="A159" s="70">
        <v>44650.0</v>
      </c>
      <c r="B159" s="57">
        <v>2375.0</v>
      </c>
      <c r="C159" s="57">
        <v>1.0</v>
      </c>
      <c r="D159" s="57" t="s">
        <v>179</v>
      </c>
      <c r="E159" s="57">
        <v>1.0</v>
      </c>
      <c r="F159" s="57">
        <v>0.0662</v>
      </c>
      <c r="G159" s="57">
        <v>0.029</v>
      </c>
    </row>
    <row r="160">
      <c r="A160" s="70">
        <v>44650.0</v>
      </c>
      <c r="B160" s="57">
        <v>2375.0</v>
      </c>
      <c r="C160" s="57">
        <v>2.0</v>
      </c>
      <c r="D160" s="57" t="s">
        <v>191</v>
      </c>
      <c r="E160" s="57" t="s">
        <v>60</v>
      </c>
      <c r="F160" s="57">
        <v>0.4551</v>
      </c>
      <c r="G160" s="57">
        <v>0.132</v>
      </c>
    </row>
    <row r="161">
      <c r="A161" s="70">
        <v>44650.0</v>
      </c>
      <c r="B161" s="57">
        <v>2375.0</v>
      </c>
      <c r="C161" s="57">
        <v>2.0</v>
      </c>
      <c r="D161" s="57" t="s">
        <v>179</v>
      </c>
      <c r="E161" s="57">
        <v>0.0</v>
      </c>
      <c r="F161" s="57">
        <v>0.0451</v>
      </c>
      <c r="G161" s="57">
        <v>0.014</v>
      </c>
    </row>
    <row r="162">
      <c r="A162" s="70">
        <v>44650.0</v>
      </c>
      <c r="B162" s="57">
        <v>2375.0</v>
      </c>
      <c r="C162" s="57">
        <v>2.0</v>
      </c>
      <c r="D162" s="57" t="s">
        <v>179</v>
      </c>
      <c r="E162" s="57">
        <v>1.0</v>
      </c>
      <c r="F162" s="57">
        <v>0.1027</v>
      </c>
      <c r="G162" s="57">
        <v>0.045</v>
      </c>
    </row>
    <row r="163">
      <c r="A163" s="70">
        <v>44650.0</v>
      </c>
      <c r="B163" s="57">
        <v>2375.0</v>
      </c>
      <c r="C163" s="57">
        <v>3.0</v>
      </c>
      <c r="D163" s="57" t="s">
        <v>191</v>
      </c>
      <c r="E163" s="57" t="s">
        <v>60</v>
      </c>
      <c r="F163" s="57">
        <v>0.7933</v>
      </c>
      <c r="G163" s="57">
        <v>0.235</v>
      </c>
    </row>
    <row r="164">
      <c r="A164" s="70">
        <v>44650.0</v>
      </c>
      <c r="B164" s="57">
        <v>2375.0</v>
      </c>
      <c r="C164" s="57">
        <v>3.0</v>
      </c>
      <c r="D164" s="57" t="s">
        <v>179</v>
      </c>
      <c r="E164" s="57" t="s">
        <v>60</v>
      </c>
      <c r="F164" s="57">
        <v>0.0748</v>
      </c>
      <c r="G164" s="57">
        <v>0.025</v>
      </c>
    </row>
    <row r="165">
      <c r="A165" s="70">
        <v>44650.0</v>
      </c>
      <c r="B165" s="57">
        <v>2376.0</v>
      </c>
      <c r="C165" s="57">
        <v>1.0</v>
      </c>
      <c r="D165" s="57" t="s">
        <v>191</v>
      </c>
      <c r="E165" s="57" t="s">
        <v>60</v>
      </c>
      <c r="F165" s="57">
        <v>3.3447</v>
      </c>
      <c r="G165" s="57">
        <v>1.933</v>
      </c>
    </row>
    <row r="166">
      <c r="A166" s="70">
        <v>44650.0</v>
      </c>
      <c r="B166" s="57">
        <v>2376.0</v>
      </c>
      <c r="C166" s="57">
        <v>1.0</v>
      </c>
      <c r="D166" s="57" t="s">
        <v>179</v>
      </c>
      <c r="E166" s="57" t="s">
        <v>60</v>
      </c>
      <c r="F166" s="57">
        <v>0.3454</v>
      </c>
      <c r="G166" s="57">
        <v>0.183</v>
      </c>
    </row>
    <row r="167">
      <c r="A167" s="70">
        <v>44650.0</v>
      </c>
      <c r="B167" s="57">
        <v>2376.0</v>
      </c>
      <c r="C167" s="57">
        <v>2.0</v>
      </c>
      <c r="D167" s="57" t="s">
        <v>191</v>
      </c>
      <c r="E167" s="57" t="s">
        <v>60</v>
      </c>
      <c r="F167" s="57">
        <v>0.6154</v>
      </c>
      <c r="G167" s="57">
        <v>0.359</v>
      </c>
    </row>
    <row r="168">
      <c r="A168" s="70">
        <v>44650.0</v>
      </c>
      <c r="B168" s="57">
        <v>2376.0</v>
      </c>
      <c r="C168" s="57">
        <v>2.0</v>
      </c>
      <c r="D168" s="57" t="s">
        <v>179</v>
      </c>
      <c r="E168" s="57" t="s">
        <v>60</v>
      </c>
      <c r="F168" s="57">
        <v>0.1322</v>
      </c>
      <c r="G168" s="57">
        <v>0.07</v>
      </c>
    </row>
    <row r="169">
      <c r="A169" s="70">
        <v>44650.0</v>
      </c>
      <c r="B169" s="57">
        <v>2376.0</v>
      </c>
      <c r="C169" s="57">
        <v>3.0</v>
      </c>
      <c r="D169" s="57" t="s">
        <v>191</v>
      </c>
      <c r="E169" s="57" t="s">
        <v>60</v>
      </c>
      <c r="F169" s="57">
        <v>1.4186</v>
      </c>
      <c r="G169" s="57">
        <v>0.807</v>
      </c>
    </row>
    <row r="170">
      <c r="A170" s="70">
        <v>44650.0</v>
      </c>
      <c r="B170" s="57">
        <v>2376.0</v>
      </c>
      <c r="C170" s="57">
        <v>3.0</v>
      </c>
      <c r="D170" s="57" t="s">
        <v>179</v>
      </c>
      <c r="E170" s="57" t="s">
        <v>60</v>
      </c>
      <c r="F170" s="57">
        <v>0.2343</v>
      </c>
      <c r="G170" s="57">
        <v>0.121</v>
      </c>
    </row>
    <row r="171">
      <c r="A171" s="70">
        <v>44650.0</v>
      </c>
      <c r="B171" s="57">
        <v>2377.0</v>
      </c>
      <c r="C171" s="57">
        <v>1.0</v>
      </c>
      <c r="D171" s="57" t="s">
        <v>191</v>
      </c>
      <c r="E171" s="57" t="s">
        <v>60</v>
      </c>
      <c r="F171" s="57">
        <v>0.9263</v>
      </c>
      <c r="G171" s="57">
        <v>0.523</v>
      </c>
    </row>
    <row r="172">
      <c r="A172" s="70">
        <v>44650.0</v>
      </c>
      <c r="B172" s="57">
        <v>2377.0</v>
      </c>
      <c r="C172" s="57">
        <v>1.0</v>
      </c>
      <c r="D172" s="57" t="s">
        <v>179</v>
      </c>
      <c r="E172" s="57" t="s">
        <v>60</v>
      </c>
      <c r="F172" s="57">
        <v>0.4339</v>
      </c>
      <c r="G172" s="57">
        <v>0.193</v>
      </c>
    </row>
    <row r="173">
      <c r="A173" s="70">
        <v>44650.0</v>
      </c>
      <c r="B173" s="57">
        <v>2377.0</v>
      </c>
      <c r="C173" s="57">
        <v>2.0</v>
      </c>
      <c r="D173" s="57" t="s">
        <v>191</v>
      </c>
      <c r="E173" s="57" t="s">
        <v>60</v>
      </c>
      <c r="F173" s="57">
        <v>0.6756</v>
      </c>
      <c r="G173" s="57">
        <v>0.392</v>
      </c>
    </row>
    <row r="174">
      <c r="A174" s="70">
        <v>44650.0</v>
      </c>
      <c r="B174" s="57">
        <v>2377.0</v>
      </c>
      <c r="C174" s="57">
        <v>2.0</v>
      </c>
      <c r="D174" s="57" t="s">
        <v>179</v>
      </c>
      <c r="E174" s="57" t="s">
        <v>60</v>
      </c>
      <c r="F174" s="57">
        <v>0.205</v>
      </c>
      <c r="G174" s="57">
        <v>0.102</v>
      </c>
    </row>
    <row r="175">
      <c r="A175" s="70">
        <v>44650.0</v>
      </c>
      <c r="B175" s="57">
        <v>2377.0</v>
      </c>
      <c r="C175" s="57">
        <v>3.0</v>
      </c>
      <c r="D175" s="57" t="s">
        <v>191</v>
      </c>
      <c r="E175" s="57" t="s">
        <v>60</v>
      </c>
      <c r="F175" s="57">
        <v>1.7253</v>
      </c>
      <c r="G175" s="57">
        <v>0.991</v>
      </c>
    </row>
    <row r="176">
      <c r="A176" s="70">
        <v>44650.0</v>
      </c>
      <c r="B176" s="57">
        <v>2377.0</v>
      </c>
      <c r="C176" s="57">
        <v>3.0</v>
      </c>
      <c r="D176" s="57" t="s">
        <v>179</v>
      </c>
      <c r="E176" s="57" t="s">
        <v>60</v>
      </c>
      <c r="F176" s="57">
        <v>0.439</v>
      </c>
      <c r="G176" s="57">
        <v>0.226</v>
      </c>
    </row>
    <row r="177">
      <c r="A177" s="70">
        <v>44650.0</v>
      </c>
      <c r="B177" s="57">
        <v>2378.0</v>
      </c>
      <c r="C177" s="57">
        <v>1.0</v>
      </c>
      <c r="D177" s="57" t="s">
        <v>191</v>
      </c>
      <c r="E177" s="57" t="s">
        <v>60</v>
      </c>
      <c r="F177" s="57">
        <v>0.9152</v>
      </c>
      <c r="G177" s="57">
        <v>0.417</v>
      </c>
    </row>
    <row r="178">
      <c r="A178" s="70">
        <v>44650.0</v>
      </c>
      <c r="B178" s="57">
        <v>2378.0</v>
      </c>
      <c r="C178" s="57">
        <v>1.0</v>
      </c>
      <c r="D178" s="57" t="s">
        <v>179</v>
      </c>
      <c r="E178" s="57">
        <v>0.0</v>
      </c>
      <c r="F178" s="57">
        <v>0.157</v>
      </c>
      <c r="G178" s="57">
        <v>0.063</v>
      </c>
    </row>
    <row r="179">
      <c r="A179" s="70">
        <v>44650.0</v>
      </c>
      <c r="B179" s="57">
        <v>2378.0</v>
      </c>
      <c r="C179" s="57">
        <v>1.0</v>
      </c>
      <c r="D179" s="57" t="s">
        <v>179</v>
      </c>
      <c r="E179" s="57">
        <v>1.0</v>
      </c>
      <c r="F179" s="57">
        <v>0.3643</v>
      </c>
      <c r="G179" s="57">
        <v>0.173</v>
      </c>
    </row>
    <row r="180">
      <c r="A180" s="70">
        <v>44650.0</v>
      </c>
      <c r="B180" s="57">
        <v>2378.0</v>
      </c>
      <c r="C180" s="57">
        <v>2.0</v>
      </c>
      <c r="D180" s="57" t="s">
        <v>191</v>
      </c>
      <c r="E180" s="57" t="s">
        <v>60</v>
      </c>
      <c r="F180" s="57">
        <v>1.1207</v>
      </c>
      <c r="G180" s="57">
        <v>0.525</v>
      </c>
    </row>
    <row r="181">
      <c r="A181" s="70">
        <v>44650.0</v>
      </c>
      <c r="B181" s="57">
        <v>2378.0</v>
      </c>
      <c r="C181" s="57">
        <v>2.0</v>
      </c>
      <c r="D181" s="57" t="s">
        <v>179</v>
      </c>
      <c r="E181" s="57">
        <v>0.0</v>
      </c>
      <c r="F181" s="57">
        <v>0.3245</v>
      </c>
      <c r="G181" s="57">
        <v>0.127</v>
      </c>
    </row>
    <row r="182">
      <c r="A182" s="70">
        <v>44650.0</v>
      </c>
      <c r="B182" s="57">
        <v>2378.0</v>
      </c>
      <c r="C182" s="57">
        <v>2.0</v>
      </c>
      <c r="D182" s="57" t="s">
        <v>179</v>
      </c>
      <c r="E182" s="57">
        <v>1.0</v>
      </c>
      <c r="F182" s="57">
        <v>0.1451</v>
      </c>
      <c r="G182" s="57">
        <v>0.063</v>
      </c>
    </row>
    <row r="183">
      <c r="A183" s="70">
        <v>44650.0</v>
      </c>
      <c r="B183" s="57">
        <v>2378.0</v>
      </c>
      <c r="C183" s="57">
        <v>3.0</v>
      </c>
      <c r="D183" s="57" t="s">
        <v>191</v>
      </c>
      <c r="E183" s="57" t="s">
        <v>60</v>
      </c>
      <c r="F183" s="57">
        <v>0.273</v>
      </c>
      <c r="G183" s="57">
        <v>0.126</v>
      </c>
    </row>
    <row r="184">
      <c r="A184" s="70">
        <v>44650.0</v>
      </c>
      <c r="B184" s="57">
        <v>2378.0</v>
      </c>
      <c r="C184" s="57">
        <v>3.0</v>
      </c>
      <c r="D184" s="57" t="s">
        <v>179</v>
      </c>
      <c r="E184" s="57">
        <v>0.0</v>
      </c>
      <c r="F184" s="57">
        <v>0.043</v>
      </c>
      <c r="G184" s="57">
        <v>0.015</v>
      </c>
    </row>
    <row r="185">
      <c r="A185" s="70">
        <v>44650.0</v>
      </c>
      <c r="B185" s="57">
        <v>2378.0</v>
      </c>
      <c r="C185" s="57">
        <v>3.0</v>
      </c>
      <c r="D185" s="57" t="s">
        <v>179</v>
      </c>
      <c r="E185" s="57">
        <v>1.0</v>
      </c>
      <c r="F185" s="57">
        <v>0.3135</v>
      </c>
      <c r="G185" s="57">
        <v>0.141</v>
      </c>
    </row>
    <row r="186">
      <c r="A186" s="70">
        <v>44650.0</v>
      </c>
      <c r="B186" s="57">
        <v>2379.0</v>
      </c>
      <c r="C186" s="57">
        <v>1.0</v>
      </c>
      <c r="D186" s="57" t="s">
        <v>191</v>
      </c>
      <c r="E186" s="57" t="s">
        <v>60</v>
      </c>
      <c r="F186" s="57">
        <v>0.2175</v>
      </c>
      <c r="G186" s="57">
        <v>0.101</v>
      </c>
    </row>
    <row r="187">
      <c r="A187" s="70">
        <v>44650.0</v>
      </c>
      <c r="B187" s="57">
        <v>2379.0</v>
      </c>
      <c r="C187" s="57">
        <v>1.0</v>
      </c>
      <c r="D187" s="57" t="s">
        <v>179</v>
      </c>
      <c r="E187" s="57">
        <v>0.0</v>
      </c>
      <c r="F187" s="57">
        <v>0.0181</v>
      </c>
      <c r="G187" s="57">
        <v>0.007</v>
      </c>
    </row>
    <row r="188">
      <c r="A188" s="70">
        <v>44650.0</v>
      </c>
      <c r="B188" s="57">
        <v>2379.0</v>
      </c>
      <c r="C188" s="57">
        <v>1.0</v>
      </c>
      <c r="D188" s="57" t="s">
        <v>179</v>
      </c>
      <c r="E188" s="57">
        <v>1.0</v>
      </c>
      <c r="F188" s="57">
        <v>0.1385</v>
      </c>
      <c r="G188" s="57">
        <v>0.069</v>
      </c>
    </row>
    <row r="189">
      <c r="A189" s="70">
        <v>44650.0</v>
      </c>
      <c r="B189" s="57">
        <v>2379.0</v>
      </c>
      <c r="C189" s="57">
        <v>2.0</v>
      </c>
      <c r="D189" s="57" t="s">
        <v>191</v>
      </c>
      <c r="E189" s="57" t="s">
        <v>60</v>
      </c>
      <c r="F189" s="57">
        <v>0.4687</v>
      </c>
      <c r="G189" s="57">
        <v>0.212</v>
      </c>
    </row>
    <row r="190">
      <c r="A190" s="70">
        <v>44650.0</v>
      </c>
      <c r="B190" s="57">
        <v>2379.0</v>
      </c>
      <c r="C190" s="57">
        <v>2.0</v>
      </c>
      <c r="D190" s="57" t="s">
        <v>179</v>
      </c>
      <c r="E190" s="57">
        <v>0.0</v>
      </c>
      <c r="F190" s="57">
        <v>0.0257</v>
      </c>
      <c r="G190" s="57">
        <v>0.01</v>
      </c>
    </row>
    <row r="191">
      <c r="A191" s="70">
        <v>44650.0</v>
      </c>
      <c r="B191" s="57">
        <v>2379.0</v>
      </c>
      <c r="C191" s="57">
        <v>2.0</v>
      </c>
      <c r="D191" s="57" t="s">
        <v>179</v>
      </c>
      <c r="E191" s="57">
        <v>1.0</v>
      </c>
      <c r="F191" s="57">
        <v>0.2988</v>
      </c>
      <c r="G191" s="57">
        <v>0.146</v>
      </c>
    </row>
    <row r="192">
      <c r="A192" s="70">
        <v>44650.0</v>
      </c>
      <c r="B192" s="57">
        <v>2379.0</v>
      </c>
      <c r="C192" s="57">
        <v>3.0</v>
      </c>
      <c r="D192" s="57" t="s">
        <v>191</v>
      </c>
      <c r="E192" s="57" t="s">
        <v>60</v>
      </c>
      <c r="F192" s="57">
        <v>0.5076</v>
      </c>
      <c r="G192" s="57">
        <v>0.23</v>
      </c>
    </row>
    <row r="193">
      <c r="A193" s="70">
        <v>44650.0</v>
      </c>
      <c r="B193" s="57">
        <v>2379.0</v>
      </c>
      <c r="C193" s="57">
        <v>3.0</v>
      </c>
      <c r="D193" s="57" t="s">
        <v>179</v>
      </c>
      <c r="E193" s="57">
        <v>0.0</v>
      </c>
      <c r="F193" s="57">
        <v>0.0279</v>
      </c>
      <c r="G193" s="57">
        <v>0.011</v>
      </c>
    </row>
    <row r="194">
      <c r="A194" s="70">
        <v>44650.0</v>
      </c>
      <c r="B194" s="57">
        <v>2379.0</v>
      </c>
      <c r="C194" s="57">
        <v>3.0</v>
      </c>
      <c r="D194" s="57" t="s">
        <v>179</v>
      </c>
      <c r="E194" s="57">
        <v>1.0</v>
      </c>
      <c r="F194" s="57">
        <v>0.2668</v>
      </c>
      <c r="G194" s="57">
        <v>0.126</v>
      </c>
    </row>
    <row r="195">
      <c r="A195" s="70">
        <v>44650.0</v>
      </c>
      <c r="B195" s="57">
        <v>2380.0</v>
      </c>
      <c r="C195" s="57">
        <v>1.0</v>
      </c>
      <c r="D195" s="57" t="s">
        <v>191</v>
      </c>
      <c r="E195" s="57" t="s">
        <v>60</v>
      </c>
      <c r="F195" s="57">
        <v>0.7421</v>
      </c>
      <c r="G195" s="57">
        <v>0.43</v>
      </c>
    </row>
    <row r="196">
      <c r="A196" s="70">
        <v>44650.0</v>
      </c>
      <c r="B196" s="57">
        <v>2380.0</v>
      </c>
      <c r="C196" s="57">
        <v>2.0</v>
      </c>
      <c r="D196" s="57" t="s">
        <v>191</v>
      </c>
      <c r="E196" s="57" t="s">
        <v>60</v>
      </c>
      <c r="F196" s="57">
        <v>2.6938</v>
      </c>
      <c r="G196" s="57">
        <v>1.56</v>
      </c>
    </row>
    <row r="197">
      <c r="A197" s="70">
        <v>44650.0</v>
      </c>
      <c r="B197" s="57">
        <v>2380.0</v>
      </c>
      <c r="C197" s="57">
        <v>2.0</v>
      </c>
      <c r="D197" s="57" t="s">
        <v>179</v>
      </c>
      <c r="E197" s="57" t="s">
        <v>60</v>
      </c>
      <c r="F197" s="57">
        <v>0.7461</v>
      </c>
      <c r="G197" s="57">
        <v>0.392</v>
      </c>
    </row>
    <row r="198">
      <c r="A198" s="70">
        <v>44650.0</v>
      </c>
      <c r="B198" s="57">
        <v>2380.0</v>
      </c>
      <c r="C198" s="57">
        <v>3.0</v>
      </c>
      <c r="D198" s="57" t="s">
        <v>191</v>
      </c>
      <c r="E198" s="57" t="s">
        <v>60</v>
      </c>
      <c r="F198" s="57">
        <v>2.1783</v>
      </c>
      <c r="G198" s="57">
        <v>1.252</v>
      </c>
    </row>
    <row r="199">
      <c r="A199" s="70">
        <v>44650.0</v>
      </c>
      <c r="B199" s="57">
        <v>2380.0</v>
      </c>
      <c r="C199" s="57">
        <v>3.0</v>
      </c>
      <c r="D199" s="57" t="s">
        <v>179</v>
      </c>
      <c r="E199" s="57">
        <v>1.0</v>
      </c>
      <c r="F199" s="57">
        <v>0.5144</v>
      </c>
      <c r="G199" s="57">
        <v>0.265</v>
      </c>
    </row>
    <row r="200">
      <c r="A200" s="70">
        <v>44650.0</v>
      </c>
      <c r="B200" s="57">
        <v>2380.0</v>
      </c>
      <c r="C200" s="57">
        <v>1.0</v>
      </c>
      <c r="D200" s="57" t="s">
        <v>179</v>
      </c>
      <c r="E200" s="57" t="s">
        <v>60</v>
      </c>
      <c r="F200" s="57">
        <v>0.2038</v>
      </c>
      <c r="G200" s="57">
        <v>0.109</v>
      </c>
    </row>
    <row r="201">
      <c r="A201" s="70">
        <v>44665.0</v>
      </c>
      <c r="B201" s="57">
        <v>2379.0</v>
      </c>
      <c r="C201" s="57">
        <v>1.0</v>
      </c>
      <c r="D201" s="57" t="s">
        <v>179</v>
      </c>
      <c r="E201" s="57">
        <v>1.0</v>
      </c>
      <c r="F201" s="57">
        <v>0.5038</v>
      </c>
      <c r="G201" s="57">
        <v>0.2566</v>
      </c>
    </row>
    <row r="202">
      <c r="A202" s="70">
        <v>44665.0</v>
      </c>
      <c r="B202" s="57">
        <v>2382.0</v>
      </c>
      <c r="C202" s="57">
        <v>1.0</v>
      </c>
      <c r="D202" s="57" t="s">
        <v>179</v>
      </c>
      <c r="E202" s="57">
        <v>0.0</v>
      </c>
      <c r="F202" s="57">
        <v>0.0442</v>
      </c>
      <c r="G202" s="57">
        <v>0.0182</v>
      </c>
    </row>
    <row r="203">
      <c r="A203" s="70">
        <v>44665.0</v>
      </c>
      <c r="B203" s="57">
        <v>2367.0</v>
      </c>
      <c r="C203" s="57">
        <v>1.0</v>
      </c>
      <c r="D203" s="57" t="s">
        <v>179</v>
      </c>
      <c r="E203" s="57">
        <v>1.0</v>
      </c>
      <c r="F203" s="57">
        <v>0.0329</v>
      </c>
      <c r="G203" s="57">
        <v>0.0148</v>
      </c>
    </row>
    <row r="204">
      <c r="A204" s="70">
        <v>44665.0</v>
      </c>
      <c r="B204" s="57">
        <v>2383.0</v>
      </c>
      <c r="C204" s="57">
        <v>2.0</v>
      </c>
      <c r="D204" s="57" t="s">
        <v>179</v>
      </c>
      <c r="E204" s="57">
        <v>0.0</v>
      </c>
      <c r="F204" s="57">
        <v>0.1652</v>
      </c>
      <c r="G204" s="57">
        <v>0.0851</v>
      </c>
    </row>
    <row r="205">
      <c r="A205" s="70">
        <v>44665.0</v>
      </c>
      <c r="B205" s="57">
        <v>2351.0</v>
      </c>
      <c r="C205" s="57">
        <v>1.0</v>
      </c>
      <c r="D205" s="57" t="s">
        <v>179</v>
      </c>
      <c r="E205" s="57">
        <v>0.0</v>
      </c>
      <c r="F205" s="57">
        <v>0.0938</v>
      </c>
      <c r="G205" s="57">
        <v>0.0323</v>
      </c>
    </row>
    <row r="206">
      <c r="A206" s="70">
        <v>44665.0</v>
      </c>
      <c r="B206" s="57">
        <v>2383.0</v>
      </c>
      <c r="C206" s="57">
        <v>3.0</v>
      </c>
      <c r="D206" s="57" t="s">
        <v>191</v>
      </c>
      <c r="E206" s="57" t="s">
        <v>60</v>
      </c>
      <c r="F206" s="57">
        <v>1.624</v>
      </c>
      <c r="G206" s="57">
        <v>0.7983</v>
      </c>
    </row>
    <row r="207">
      <c r="A207" s="70">
        <v>44665.0</v>
      </c>
      <c r="B207" s="57">
        <v>2021.0</v>
      </c>
      <c r="C207" s="57">
        <v>1.0</v>
      </c>
      <c r="D207" s="57" t="s">
        <v>191</v>
      </c>
      <c r="E207" s="57">
        <v>0.0</v>
      </c>
      <c r="F207" s="57">
        <v>0.9799</v>
      </c>
      <c r="G207" s="57">
        <v>0.4795</v>
      </c>
    </row>
    <row r="208">
      <c r="A208" s="70">
        <v>44665.0</v>
      </c>
      <c r="B208" s="57">
        <v>2026.0</v>
      </c>
      <c r="C208" s="57">
        <v>2.0</v>
      </c>
      <c r="D208" s="57" t="s">
        <v>179</v>
      </c>
      <c r="E208" s="57">
        <v>0.0</v>
      </c>
      <c r="F208" s="57">
        <v>0.1392</v>
      </c>
      <c r="G208" s="57">
        <v>0.0602</v>
      </c>
    </row>
    <row r="209">
      <c r="A209" s="70">
        <v>44665.0</v>
      </c>
      <c r="B209" s="57">
        <v>2005.0</v>
      </c>
      <c r="C209" s="57">
        <v>1.0</v>
      </c>
      <c r="D209" s="57" t="s">
        <v>179</v>
      </c>
      <c r="E209" s="57">
        <v>1.0</v>
      </c>
      <c r="F209" s="57">
        <v>0.268</v>
      </c>
      <c r="G209" s="57">
        <v>0.1247</v>
      </c>
    </row>
    <row r="210">
      <c r="A210" s="70">
        <v>44665.0</v>
      </c>
      <c r="B210" s="57">
        <v>2004.0</v>
      </c>
      <c r="C210" s="57">
        <v>2.0</v>
      </c>
      <c r="D210" s="57" t="s">
        <v>179</v>
      </c>
      <c r="E210" s="57">
        <v>0.0</v>
      </c>
      <c r="F210" s="57">
        <v>0.2386</v>
      </c>
      <c r="G210" s="57">
        <v>0.1002</v>
      </c>
    </row>
    <row r="211">
      <c r="A211" s="70">
        <v>44665.0</v>
      </c>
      <c r="B211" s="57">
        <v>2007.0</v>
      </c>
      <c r="C211" s="57">
        <v>2.0</v>
      </c>
      <c r="D211" s="57" t="s">
        <v>191</v>
      </c>
      <c r="E211" s="57">
        <v>0.0</v>
      </c>
      <c r="F211" s="57">
        <v>1.9765</v>
      </c>
      <c r="G211" s="57">
        <v>1.0035</v>
      </c>
    </row>
    <row r="212">
      <c r="A212" s="70">
        <v>44665.0</v>
      </c>
      <c r="B212" s="57">
        <v>2345.0</v>
      </c>
      <c r="C212" s="57">
        <v>2.0</v>
      </c>
      <c r="D212" s="57" t="s">
        <v>179</v>
      </c>
      <c r="E212" s="57">
        <v>1.0</v>
      </c>
      <c r="F212" s="57">
        <v>0.131</v>
      </c>
      <c r="G212" s="57">
        <v>0.0739</v>
      </c>
    </row>
    <row r="213">
      <c r="A213" s="70">
        <v>44665.0</v>
      </c>
      <c r="B213" s="57">
        <v>2384.0</v>
      </c>
      <c r="C213" s="57">
        <v>3.0</v>
      </c>
      <c r="D213" s="57" t="s">
        <v>191</v>
      </c>
      <c r="E213" s="57">
        <v>0.0</v>
      </c>
      <c r="F213" s="57">
        <v>1.651</v>
      </c>
      <c r="G213" s="57">
        <v>0.8004</v>
      </c>
    </row>
    <row r="214">
      <c r="A214" s="70">
        <v>44665.0</v>
      </c>
      <c r="B214" s="57">
        <v>2013.0</v>
      </c>
      <c r="C214" s="57">
        <v>1.0</v>
      </c>
      <c r="D214" s="57" t="s">
        <v>179</v>
      </c>
      <c r="E214" s="57">
        <v>0.0</v>
      </c>
      <c r="F214" s="57">
        <v>0.1073</v>
      </c>
      <c r="G214" s="57">
        <v>0.037</v>
      </c>
    </row>
    <row r="215">
      <c r="A215" s="70">
        <v>44665.0</v>
      </c>
      <c r="B215" s="57">
        <v>2078.0</v>
      </c>
      <c r="C215" s="57">
        <v>1.0</v>
      </c>
      <c r="D215" s="57" t="s">
        <v>191</v>
      </c>
      <c r="E215" s="57">
        <v>0.0</v>
      </c>
      <c r="F215" s="57">
        <v>0.6481</v>
      </c>
      <c r="G215" s="57">
        <v>0.2966</v>
      </c>
    </row>
    <row r="216">
      <c r="A216" s="70">
        <v>44665.0</v>
      </c>
      <c r="B216" s="57">
        <v>2012.0</v>
      </c>
      <c r="C216" s="57">
        <v>1.0</v>
      </c>
      <c r="D216" s="57" t="s">
        <v>179</v>
      </c>
      <c r="E216" s="57">
        <v>0.0</v>
      </c>
      <c r="F216" s="57">
        <v>0.0849</v>
      </c>
      <c r="G216" s="57">
        <v>0.0329</v>
      </c>
    </row>
    <row r="217">
      <c r="A217" s="70">
        <v>44665.0</v>
      </c>
      <c r="B217" s="57">
        <v>2384.0</v>
      </c>
      <c r="C217" s="57">
        <v>2.0</v>
      </c>
      <c r="D217" s="57" t="s">
        <v>191</v>
      </c>
      <c r="E217" s="57">
        <v>0.0</v>
      </c>
      <c r="F217" s="57">
        <v>1.3069</v>
      </c>
      <c r="G217" s="57">
        <v>0.6255</v>
      </c>
    </row>
    <row r="218">
      <c r="A218" s="70">
        <v>44665.0</v>
      </c>
      <c r="B218" s="57">
        <v>2004.0</v>
      </c>
      <c r="C218" s="57">
        <v>1.0</v>
      </c>
      <c r="D218" s="57" t="s">
        <v>179</v>
      </c>
      <c r="E218" s="57">
        <v>1.0</v>
      </c>
      <c r="F218" s="57">
        <v>0.2609</v>
      </c>
      <c r="G218" s="57">
        <v>0.1238</v>
      </c>
    </row>
    <row r="219">
      <c r="A219" s="70">
        <v>44665.0</v>
      </c>
      <c r="B219" s="57">
        <v>2378.0</v>
      </c>
      <c r="C219" s="57">
        <v>2.0</v>
      </c>
      <c r="D219" s="57" t="s">
        <v>191</v>
      </c>
      <c r="E219" s="57">
        <v>0.0</v>
      </c>
      <c r="F219" s="57">
        <v>0.6205</v>
      </c>
      <c r="G219" s="57">
        <v>0.283</v>
      </c>
    </row>
    <row r="220">
      <c r="A220" s="70">
        <v>44665.0</v>
      </c>
      <c r="B220" s="57">
        <v>2384.0</v>
      </c>
      <c r="C220" s="57">
        <v>2.0</v>
      </c>
      <c r="D220" s="57" t="s">
        <v>179</v>
      </c>
      <c r="E220" s="57">
        <v>0.0</v>
      </c>
      <c r="F220" s="57">
        <v>0.1334</v>
      </c>
      <c r="G220" s="57">
        <v>0.0536</v>
      </c>
    </row>
    <row r="221">
      <c r="A221" s="70">
        <v>44665.0</v>
      </c>
      <c r="B221" s="57">
        <v>2381.0</v>
      </c>
      <c r="C221" s="57">
        <v>1.0</v>
      </c>
      <c r="D221" s="57" t="s">
        <v>191</v>
      </c>
      <c r="E221" s="57">
        <v>0.0</v>
      </c>
      <c r="F221" s="57">
        <v>2.0931</v>
      </c>
      <c r="G221" s="57">
        <v>0.9718</v>
      </c>
    </row>
    <row r="222">
      <c r="A222" s="70">
        <v>44665.0</v>
      </c>
      <c r="B222" s="57">
        <v>2020.0</v>
      </c>
      <c r="C222" s="57">
        <v>1.0</v>
      </c>
      <c r="D222" s="57" t="s">
        <v>179</v>
      </c>
      <c r="E222" s="57">
        <v>1.0</v>
      </c>
      <c r="F222" s="57">
        <v>0.3115</v>
      </c>
      <c r="G222" s="57">
        <v>0.1495</v>
      </c>
    </row>
    <row r="223">
      <c r="A223" s="70">
        <v>44665.0</v>
      </c>
      <c r="B223" s="57">
        <v>2020.0</v>
      </c>
      <c r="C223" s="57">
        <v>2.0</v>
      </c>
      <c r="D223" s="57" t="s">
        <v>179</v>
      </c>
      <c r="E223" s="57">
        <v>1.0</v>
      </c>
      <c r="F223" s="57">
        <v>0.0781</v>
      </c>
      <c r="G223" s="57">
        <v>0.0372</v>
      </c>
    </row>
    <row r="224">
      <c r="A224" s="70">
        <v>44665.0</v>
      </c>
      <c r="B224" s="57">
        <v>2010.0</v>
      </c>
      <c r="C224" s="57">
        <v>1.0</v>
      </c>
      <c r="D224" s="57" t="s">
        <v>191</v>
      </c>
      <c r="E224" s="57">
        <v>0.0</v>
      </c>
      <c r="F224" s="57">
        <v>1.4059</v>
      </c>
      <c r="G224" s="57">
        <v>0.78</v>
      </c>
    </row>
    <row r="225">
      <c r="A225" s="70">
        <v>44665.0</v>
      </c>
      <c r="B225" s="57">
        <v>2026.0</v>
      </c>
      <c r="C225" s="57">
        <v>1.0</v>
      </c>
      <c r="D225" s="57" t="s">
        <v>179</v>
      </c>
      <c r="E225" s="57">
        <v>1.0</v>
      </c>
      <c r="F225" s="57">
        <v>0.2663</v>
      </c>
      <c r="G225" s="57">
        <v>0.129</v>
      </c>
    </row>
    <row r="226">
      <c r="A226" s="70">
        <v>44665.0</v>
      </c>
      <c r="B226" s="57">
        <v>2384.0</v>
      </c>
      <c r="C226" s="57">
        <v>1.0</v>
      </c>
      <c r="D226" s="57" t="s">
        <v>191</v>
      </c>
      <c r="E226" s="57">
        <v>0.0</v>
      </c>
      <c r="F226" s="57">
        <v>1.9089</v>
      </c>
      <c r="G226" s="57">
        <v>0.9373</v>
      </c>
    </row>
    <row r="227">
      <c r="A227" s="70">
        <v>44665.0</v>
      </c>
      <c r="B227" s="57">
        <v>2377.0</v>
      </c>
      <c r="C227" s="57">
        <v>2.0</v>
      </c>
      <c r="D227" s="57" t="s">
        <v>191</v>
      </c>
      <c r="E227" s="57">
        <v>1.0</v>
      </c>
      <c r="F227" s="57">
        <v>1.263</v>
      </c>
      <c r="G227" s="57">
        <v>0.7456</v>
      </c>
    </row>
    <row r="228">
      <c r="A228" s="70">
        <v>44665.0</v>
      </c>
      <c r="B228" s="57">
        <v>2005.0</v>
      </c>
      <c r="C228" s="57">
        <v>1.0</v>
      </c>
      <c r="D228" s="57" t="s">
        <v>191</v>
      </c>
      <c r="E228" s="57">
        <v>0.0</v>
      </c>
      <c r="F228" s="57">
        <v>2.5311</v>
      </c>
      <c r="G228" s="57">
        <v>1.2044</v>
      </c>
    </row>
    <row r="229">
      <c r="A229" s="70">
        <v>44665.0</v>
      </c>
      <c r="B229" s="57">
        <v>2025.0</v>
      </c>
      <c r="C229" s="57">
        <v>2.0</v>
      </c>
      <c r="D229" s="57" t="s">
        <v>179</v>
      </c>
      <c r="E229" s="57">
        <v>1.0</v>
      </c>
      <c r="F229" s="57">
        <v>0.0728</v>
      </c>
      <c r="G229" s="57">
        <v>0.0344</v>
      </c>
    </row>
    <row r="230">
      <c r="A230" s="70">
        <v>44665.0</v>
      </c>
      <c r="B230" s="57">
        <v>2381.0</v>
      </c>
      <c r="C230" s="57">
        <v>1.0</v>
      </c>
      <c r="D230" s="57" t="s">
        <v>179</v>
      </c>
      <c r="E230" s="57">
        <v>0.0</v>
      </c>
      <c r="F230" s="57">
        <v>0.1252</v>
      </c>
      <c r="G230" s="57">
        <v>0.0508</v>
      </c>
    </row>
    <row r="231">
      <c r="A231" s="70">
        <v>44665.0</v>
      </c>
      <c r="B231" s="57">
        <v>2377.0</v>
      </c>
      <c r="C231" s="57">
        <v>1.0</v>
      </c>
      <c r="D231" s="57" t="s">
        <v>179</v>
      </c>
      <c r="E231" s="57">
        <v>0.0</v>
      </c>
      <c r="F231" s="57">
        <v>0.1186</v>
      </c>
      <c r="G231" s="57">
        <v>0.0458</v>
      </c>
    </row>
    <row r="232">
      <c r="A232" s="70">
        <v>44665.0</v>
      </c>
      <c r="B232" s="57">
        <v>1478.0</v>
      </c>
      <c r="C232" s="57">
        <v>1.0</v>
      </c>
      <c r="D232" s="57" t="s">
        <v>191</v>
      </c>
      <c r="E232" s="57">
        <v>0.0</v>
      </c>
      <c r="F232" s="57">
        <v>1.2112</v>
      </c>
      <c r="G232" s="57">
        <v>0.5249</v>
      </c>
    </row>
    <row r="233">
      <c r="A233" s="70">
        <v>44665.0</v>
      </c>
      <c r="B233" s="57">
        <v>2031.0</v>
      </c>
      <c r="C233" s="57">
        <v>1.0</v>
      </c>
      <c r="D233" s="57" t="s">
        <v>191</v>
      </c>
      <c r="E233" s="57">
        <v>0.0</v>
      </c>
      <c r="F233" s="57">
        <v>2.6184</v>
      </c>
      <c r="G233" s="57">
        <v>1.3187</v>
      </c>
    </row>
    <row r="234">
      <c r="A234" s="70">
        <v>44665.0</v>
      </c>
      <c r="B234" s="57">
        <v>2027.0</v>
      </c>
      <c r="C234" s="57">
        <v>1.0</v>
      </c>
      <c r="D234" s="57" t="s">
        <v>191</v>
      </c>
      <c r="E234" s="57">
        <v>0.0</v>
      </c>
      <c r="F234" s="57">
        <v>2.8076</v>
      </c>
      <c r="G234" s="57">
        <v>1.3516</v>
      </c>
    </row>
    <row r="235">
      <c r="A235" s="70">
        <v>44665.0</v>
      </c>
      <c r="B235" s="57">
        <v>2020.0</v>
      </c>
      <c r="C235" s="57">
        <v>2.0</v>
      </c>
      <c r="D235" s="57" t="s">
        <v>179</v>
      </c>
      <c r="E235" s="57">
        <v>0.0</v>
      </c>
      <c r="F235" s="57">
        <v>0.0752</v>
      </c>
      <c r="G235" s="57">
        <v>0.0303</v>
      </c>
    </row>
    <row r="236">
      <c r="A236" s="70">
        <v>44665.0</v>
      </c>
      <c r="B236" s="57">
        <v>2379.0</v>
      </c>
      <c r="C236" s="57">
        <v>3.0</v>
      </c>
      <c r="D236" s="57" t="s">
        <v>191</v>
      </c>
      <c r="E236" s="57">
        <v>0.0</v>
      </c>
      <c r="F236" s="57">
        <v>1.1223</v>
      </c>
      <c r="G236" s="57">
        <v>0.5362</v>
      </c>
    </row>
    <row r="237">
      <c r="A237" s="70">
        <v>44665.0</v>
      </c>
      <c r="B237" s="57">
        <v>2381.0</v>
      </c>
      <c r="C237" s="57">
        <v>1.0</v>
      </c>
      <c r="D237" s="57" t="s">
        <v>179</v>
      </c>
      <c r="E237" s="57">
        <v>1.0</v>
      </c>
      <c r="F237" s="57">
        <v>0.6439</v>
      </c>
      <c r="G237" s="57">
        <v>0.3046</v>
      </c>
    </row>
    <row r="238">
      <c r="A238" s="70">
        <v>44665.0</v>
      </c>
      <c r="B238" s="57">
        <v>2026.0</v>
      </c>
      <c r="C238" s="57">
        <v>2.0</v>
      </c>
      <c r="D238" s="57" t="s">
        <v>191</v>
      </c>
      <c r="E238" s="57">
        <v>0.0</v>
      </c>
      <c r="F238" s="57">
        <v>0.8188</v>
      </c>
      <c r="G238" s="57">
        <v>0.4006</v>
      </c>
    </row>
    <row r="239">
      <c r="A239" s="70">
        <v>44665.0</v>
      </c>
      <c r="B239" s="57">
        <v>2382.0</v>
      </c>
      <c r="C239" s="57">
        <v>2.0</v>
      </c>
      <c r="D239" s="57" t="s">
        <v>179</v>
      </c>
      <c r="E239" s="57">
        <v>1.0</v>
      </c>
      <c r="F239" s="57">
        <v>0.1527</v>
      </c>
      <c r="G239" s="57">
        <v>0.0697</v>
      </c>
    </row>
    <row r="240">
      <c r="A240" s="70">
        <v>44665.0</v>
      </c>
      <c r="B240" s="57">
        <v>2375.0</v>
      </c>
      <c r="C240" s="57">
        <v>1.0</v>
      </c>
      <c r="D240" s="57" t="s">
        <v>191</v>
      </c>
      <c r="E240" s="57">
        <v>0.0</v>
      </c>
      <c r="F240" s="57">
        <v>1.2727</v>
      </c>
      <c r="G240" s="57">
        <v>0.6634</v>
      </c>
    </row>
    <row r="241">
      <c r="A241" s="70">
        <v>44665.0</v>
      </c>
      <c r="B241" s="57">
        <v>2380.0</v>
      </c>
      <c r="C241" s="57">
        <v>1.0</v>
      </c>
      <c r="D241" s="57" t="s">
        <v>179</v>
      </c>
      <c r="E241" s="57">
        <v>1.0</v>
      </c>
      <c r="F241" s="57">
        <v>0.1899</v>
      </c>
      <c r="G241" s="57">
        <v>0.992</v>
      </c>
    </row>
    <row r="242">
      <c r="A242" s="70">
        <v>44665.0</v>
      </c>
      <c r="B242" s="57">
        <v>2381.0</v>
      </c>
      <c r="C242" s="57">
        <v>2.0</v>
      </c>
      <c r="D242" s="57" t="s">
        <v>179</v>
      </c>
      <c r="E242" s="57">
        <v>0.0</v>
      </c>
      <c r="F242" s="57">
        <v>0.1122</v>
      </c>
      <c r="G242" s="57">
        <v>0.0443</v>
      </c>
    </row>
    <row r="243">
      <c r="A243" s="70">
        <v>44665.0</v>
      </c>
      <c r="B243" s="57">
        <v>2026.0</v>
      </c>
      <c r="C243" s="57">
        <v>1.0</v>
      </c>
      <c r="D243" s="57" t="s">
        <v>191</v>
      </c>
      <c r="E243" s="57">
        <v>1.0</v>
      </c>
      <c r="F243" s="57">
        <v>1.4449</v>
      </c>
      <c r="G243" s="57">
        <v>0.7089</v>
      </c>
    </row>
    <row r="244">
      <c r="A244" s="70">
        <v>44665.0</v>
      </c>
      <c r="B244" s="57">
        <v>2026.0</v>
      </c>
      <c r="C244" s="57">
        <v>2.0</v>
      </c>
      <c r="D244" s="57" t="s">
        <v>179</v>
      </c>
      <c r="E244" s="57">
        <v>1.0</v>
      </c>
      <c r="F244" s="57">
        <v>0.1269</v>
      </c>
      <c r="G244" s="57">
        <v>0.062</v>
      </c>
    </row>
    <row r="245">
      <c r="A245" s="70">
        <v>44665.0</v>
      </c>
      <c r="B245" s="57">
        <v>2004.0</v>
      </c>
      <c r="C245" s="57">
        <v>2.0</v>
      </c>
      <c r="D245" s="57" t="s">
        <v>179</v>
      </c>
      <c r="E245" s="57">
        <v>1.0</v>
      </c>
      <c r="F245" s="57">
        <v>0.2032</v>
      </c>
      <c r="G245" s="57">
        <v>0.0937</v>
      </c>
    </row>
    <row r="246">
      <c r="A246" s="70">
        <v>44665.0</v>
      </c>
      <c r="B246" s="57">
        <v>2012.0</v>
      </c>
      <c r="C246" s="57">
        <v>3.0</v>
      </c>
      <c r="D246" s="57" t="s">
        <v>179</v>
      </c>
      <c r="E246" s="57">
        <v>0.0</v>
      </c>
      <c r="F246" s="57">
        <v>0.2079</v>
      </c>
      <c r="G246" s="57">
        <v>0.1024</v>
      </c>
    </row>
    <row r="247">
      <c r="A247" s="70">
        <v>44665.0</v>
      </c>
      <c r="B247" s="57">
        <v>2301.0</v>
      </c>
      <c r="C247" s="57">
        <v>1.0</v>
      </c>
      <c r="D247" s="57" t="s">
        <v>191</v>
      </c>
      <c r="E247" s="57">
        <v>0.0</v>
      </c>
      <c r="F247" s="57">
        <v>0.2066</v>
      </c>
      <c r="G247" s="57">
        <v>0.1054</v>
      </c>
    </row>
    <row r="248">
      <c r="A248" s="70">
        <v>44665.0</v>
      </c>
      <c r="B248" s="57">
        <v>2384.0</v>
      </c>
      <c r="C248" s="57">
        <v>3.0</v>
      </c>
      <c r="D248" s="57" t="s">
        <v>179</v>
      </c>
      <c r="E248" s="57">
        <v>0.0</v>
      </c>
      <c r="F248" s="57">
        <v>0.1618</v>
      </c>
      <c r="G248" s="57">
        <v>0.0706</v>
      </c>
    </row>
    <row r="249">
      <c r="A249" s="70">
        <v>44665.0</v>
      </c>
      <c r="B249" s="57">
        <v>2027.0</v>
      </c>
      <c r="C249" s="57">
        <v>1.0</v>
      </c>
      <c r="D249" s="57" t="s">
        <v>179</v>
      </c>
      <c r="E249" s="57">
        <v>1.0</v>
      </c>
      <c r="F249" s="57">
        <v>0.6319</v>
      </c>
      <c r="G249" s="57">
        <v>0.3104</v>
      </c>
    </row>
    <row r="250">
      <c r="A250" s="70">
        <v>44665.0</v>
      </c>
      <c r="B250" s="57">
        <v>2379.0</v>
      </c>
      <c r="C250" s="57">
        <v>3.0</v>
      </c>
      <c r="D250" s="57" t="s">
        <v>179</v>
      </c>
      <c r="E250" s="57">
        <v>1.0</v>
      </c>
      <c r="F250" s="57">
        <v>0.2156</v>
      </c>
      <c r="G250" s="57">
        <v>0.1123</v>
      </c>
    </row>
    <row r="251">
      <c r="A251" s="70">
        <v>44665.0</v>
      </c>
      <c r="B251" s="57">
        <v>2025.0</v>
      </c>
      <c r="C251" s="57">
        <v>2.0</v>
      </c>
      <c r="D251" s="57" t="s">
        <v>191</v>
      </c>
      <c r="E251" s="57">
        <v>0.0</v>
      </c>
      <c r="F251" s="57">
        <v>0.6313</v>
      </c>
      <c r="G251" s="57">
        <v>0.3101</v>
      </c>
    </row>
    <row r="252">
      <c r="A252" s="70">
        <v>44665.0</v>
      </c>
      <c r="B252" s="57">
        <v>2026.0</v>
      </c>
      <c r="C252" s="57">
        <v>1.0</v>
      </c>
      <c r="D252" s="57" t="s">
        <v>179</v>
      </c>
      <c r="E252" s="57">
        <v>0.0</v>
      </c>
      <c r="F252" s="57">
        <v>0.205</v>
      </c>
      <c r="G252" s="57">
        <v>0.0885</v>
      </c>
    </row>
    <row r="253">
      <c r="A253" s="70">
        <v>44665.0</v>
      </c>
      <c r="B253" s="57">
        <v>1478.0</v>
      </c>
      <c r="C253" s="57">
        <v>1.0</v>
      </c>
      <c r="D253" s="57" t="s">
        <v>179</v>
      </c>
      <c r="E253" s="57">
        <v>1.0</v>
      </c>
      <c r="F253" s="57">
        <v>0.2088</v>
      </c>
      <c r="G253" s="57">
        <v>0.0893</v>
      </c>
    </row>
    <row r="254">
      <c r="A254" s="70">
        <v>44665.0</v>
      </c>
      <c r="B254" s="57">
        <v>2383.0</v>
      </c>
      <c r="C254" s="57">
        <v>3.0</v>
      </c>
      <c r="D254" s="57" t="s">
        <v>179</v>
      </c>
      <c r="E254" s="57">
        <v>0.0</v>
      </c>
      <c r="F254" s="57">
        <v>0.2194</v>
      </c>
      <c r="G254" s="57">
        <v>0.0535</v>
      </c>
    </row>
    <row r="255">
      <c r="A255" s="70">
        <v>44665.0</v>
      </c>
      <c r="B255" s="57">
        <v>2350.0</v>
      </c>
      <c r="C255" s="57">
        <v>1.0</v>
      </c>
      <c r="D255" s="57" t="s">
        <v>191</v>
      </c>
      <c r="E255" s="57">
        <v>0.0</v>
      </c>
      <c r="F255" s="57">
        <v>0.047</v>
      </c>
      <c r="G255" s="57">
        <v>0.0155</v>
      </c>
    </row>
    <row r="256">
      <c r="A256" s="70">
        <v>44665.0</v>
      </c>
      <c r="B256" s="57">
        <v>2009.0</v>
      </c>
      <c r="C256" s="57">
        <v>1.0</v>
      </c>
      <c r="D256" s="57" t="s">
        <v>191</v>
      </c>
      <c r="E256" s="57">
        <v>0.0</v>
      </c>
      <c r="F256" s="57">
        <v>1.6727</v>
      </c>
      <c r="G256" s="57">
        <v>0.8263</v>
      </c>
    </row>
    <row r="257">
      <c r="A257" s="70">
        <v>44665.0</v>
      </c>
      <c r="B257" s="57">
        <v>2028.0</v>
      </c>
      <c r="C257" s="57">
        <v>1.0</v>
      </c>
      <c r="D257" s="57" t="s">
        <v>179</v>
      </c>
      <c r="E257" s="57">
        <v>1.0</v>
      </c>
      <c r="F257" s="57">
        <v>0.1298</v>
      </c>
      <c r="G257" s="57">
        <v>0.0566</v>
      </c>
    </row>
    <row r="258">
      <c r="A258" s="70">
        <v>44665.0</v>
      </c>
      <c r="B258" s="57">
        <v>2360.0</v>
      </c>
      <c r="C258" s="57">
        <v>1.0</v>
      </c>
      <c r="D258" s="57" t="s">
        <v>191</v>
      </c>
      <c r="E258" s="57">
        <v>0.0</v>
      </c>
      <c r="F258" s="57">
        <v>1.4565</v>
      </c>
      <c r="G258" s="57">
        <v>0.68</v>
      </c>
    </row>
    <row r="259">
      <c r="A259" s="70">
        <v>44665.0</v>
      </c>
      <c r="B259" s="57">
        <v>2381.0</v>
      </c>
      <c r="C259" s="57">
        <v>3.0</v>
      </c>
      <c r="D259" s="57" t="s">
        <v>179</v>
      </c>
      <c r="E259" s="57">
        <v>0.0</v>
      </c>
      <c r="F259" s="57">
        <v>0.358</v>
      </c>
      <c r="G259" s="57">
        <v>0.1649</v>
      </c>
    </row>
    <row r="260">
      <c r="A260" s="70">
        <v>44665.0</v>
      </c>
      <c r="B260" s="57">
        <v>2025.0</v>
      </c>
      <c r="C260" s="57">
        <v>1.0</v>
      </c>
      <c r="D260" s="57" t="s">
        <v>179</v>
      </c>
      <c r="E260" s="57">
        <v>0.0</v>
      </c>
      <c r="F260" s="57">
        <v>0.0701</v>
      </c>
      <c r="G260" s="57">
        <v>0.0272</v>
      </c>
    </row>
    <row r="261">
      <c r="A261" s="70">
        <v>44665.0</v>
      </c>
      <c r="B261" s="57">
        <v>2013.0</v>
      </c>
      <c r="C261" s="57">
        <v>1.0</v>
      </c>
      <c r="D261" s="57" t="s">
        <v>179</v>
      </c>
      <c r="E261" s="57">
        <v>1.0</v>
      </c>
      <c r="F261" s="57">
        <v>0.1424</v>
      </c>
      <c r="G261" s="57">
        <v>0.0631</v>
      </c>
    </row>
    <row r="262">
      <c r="A262" s="70">
        <v>44665.0</v>
      </c>
      <c r="B262" s="57">
        <v>2351.0</v>
      </c>
      <c r="C262" s="57">
        <v>3.0</v>
      </c>
      <c r="D262" s="57" t="s">
        <v>179</v>
      </c>
      <c r="E262" s="57">
        <v>0.0</v>
      </c>
      <c r="F262" s="57">
        <v>0.0245</v>
      </c>
      <c r="G262" s="57">
        <v>0.0091</v>
      </c>
    </row>
    <row r="263">
      <c r="A263" s="70">
        <v>44665.0</v>
      </c>
      <c r="B263" s="57">
        <v>2383.0</v>
      </c>
      <c r="C263" s="57">
        <v>1.0</v>
      </c>
      <c r="D263" s="57" t="s">
        <v>179</v>
      </c>
      <c r="E263" s="57">
        <v>0.0</v>
      </c>
      <c r="F263" s="57">
        <v>0.093</v>
      </c>
      <c r="G263" s="57">
        <v>0.0408</v>
      </c>
    </row>
    <row r="264">
      <c r="A264" s="70">
        <v>44665.0</v>
      </c>
      <c r="B264" s="57">
        <v>2028.0</v>
      </c>
      <c r="C264" s="57">
        <v>1.0</v>
      </c>
      <c r="D264" s="57" t="s">
        <v>191</v>
      </c>
      <c r="E264" s="57">
        <v>0.0</v>
      </c>
      <c r="F264" s="57">
        <v>0.6103</v>
      </c>
      <c r="G264" s="57">
        <v>0.2986</v>
      </c>
    </row>
    <row r="265">
      <c r="A265" s="70">
        <v>44665.0</v>
      </c>
      <c r="B265" s="57">
        <v>2379.0</v>
      </c>
      <c r="C265" s="57">
        <v>2.0</v>
      </c>
      <c r="D265" s="57" t="s">
        <v>179</v>
      </c>
      <c r="E265" s="57">
        <v>0.0</v>
      </c>
      <c r="F265" s="57">
        <v>0.0776</v>
      </c>
      <c r="G265" s="57">
        <v>0.0309</v>
      </c>
    </row>
    <row r="266">
      <c r="A266" s="70">
        <v>44665.0</v>
      </c>
      <c r="B266" s="57">
        <v>2380.0</v>
      </c>
      <c r="C266" s="57">
        <v>1.0</v>
      </c>
      <c r="D266" s="57" t="s">
        <v>191</v>
      </c>
      <c r="E266" s="57">
        <v>0.0</v>
      </c>
      <c r="F266" s="57">
        <v>0.307</v>
      </c>
      <c r="G266" s="57">
        <v>0.1532</v>
      </c>
    </row>
    <row r="267">
      <c r="A267" s="70">
        <v>44665.0</v>
      </c>
      <c r="B267" s="57">
        <v>2369.0</v>
      </c>
      <c r="C267" s="57">
        <v>1.0</v>
      </c>
      <c r="D267" s="57" t="s">
        <v>191</v>
      </c>
      <c r="E267" s="57">
        <v>0.0</v>
      </c>
      <c r="F267" s="57">
        <v>0.5382</v>
      </c>
      <c r="G267" s="57">
        <v>0.2504</v>
      </c>
    </row>
    <row r="268">
      <c r="A268" s="70">
        <v>44665.0</v>
      </c>
      <c r="B268" s="57">
        <v>2004.0</v>
      </c>
      <c r="C268" s="57">
        <v>1.0</v>
      </c>
      <c r="D268" s="57" t="s">
        <v>191</v>
      </c>
      <c r="E268" s="57">
        <v>0.0</v>
      </c>
      <c r="F268" s="57">
        <v>1.1885</v>
      </c>
      <c r="G268" s="57">
        <v>0.605</v>
      </c>
    </row>
    <row r="269">
      <c r="A269" s="70">
        <v>44665.0</v>
      </c>
      <c r="B269" s="57">
        <v>2379.0</v>
      </c>
      <c r="C269" s="57">
        <v>3.0</v>
      </c>
      <c r="D269" s="57" t="s">
        <v>179</v>
      </c>
      <c r="E269" s="57">
        <v>0.0</v>
      </c>
      <c r="F269" s="57">
        <v>0.1633</v>
      </c>
      <c r="G269" s="57">
        <v>0.0721</v>
      </c>
    </row>
    <row r="270">
      <c r="A270" s="70">
        <v>44665.0</v>
      </c>
      <c r="B270" s="57">
        <v>2004.0</v>
      </c>
      <c r="C270" s="57">
        <v>1.0</v>
      </c>
      <c r="D270" s="57" t="s">
        <v>191</v>
      </c>
      <c r="E270" s="57">
        <v>0.0</v>
      </c>
      <c r="F270" s="57">
        <v>0.675</v>
      </c>
      <c r="G270" s="57">
        <v>0.3369</v>
      </c>
    </row>
    <row r="271">
      <c r="A271" s="70">
        <v>44665.0</v>
      </c>
      <c r="B271" s="57">
        <v>2301.0</v>
      </c>
      <c r="C271" s="57">
        <v>1.0</v>
      </c>
      <c r="D271" s="57" t="s">
        <v>179</v>
      </c>
      <c r="E271" s="57">
        <v>1.0</v>
      </c>
      <c r="F271" s="57">
        <v>1.685</v>
      </c>
      <c r="G271" s="57">
        <v>1.0218</v>
      </c>
    </row>
    <row r="272">
      <c r="A272" s="70">
        <v>44665.0</v>
      </c>
      <c r="B272" s="57">
        <v>2351.0</v>
      </c>
      <c r="C272" s="57">
        <v>1.0</v>
      </c>
      <c r="D272" s="57" t="s">
        <v>191</v>
      </c>
      <c r="E272" s="57">
        <v>0.0</v>
      </c>
      <c r="F272" s="57">
        <v>0.4561</v>
      </c>
      <c r="G272" s="57">
        <v>0.2008</v>
      </c>
    </row>
    <row r="273">
      <c r="A273" s="70">
        <v>44665.0</v>
      </c>
      <c r="B273" s="57">
        <v>2007.0</v>
      </c>
      <c r="C273" s="57">
        <v>1.0</v>
      </c>
      <c r="D273" s="57" t="s">
        <v>179</v>
      </c>
      <c r="E273" s="57">
        <v>0.0</v>
      </c>
      <c r="F273" s="57">
        <v>0.1605</v>
      </c>
      <c r="G273" s="57">
        <v>0.0691</v>
      </c>
    </row>
    <row r="274">
      <c r="A274" s="70">
        <v>44665.0</v>
      </c>
      <c r="B274" s="57">
        <v>2020.0</v>
      </c>
      <c r="C274" s="57">
        <v>1.0</v>
      </c>
      <c r="D274" s="57" t="s">
        <v>191</v>
      </c>
      <c r="E274" s="57">
        <v>1.0</v>
      </c>
      <c r="F274" s="57">
        <v>0.7836</v>
      </c>
      <c r="G274" s="57">
        <v>0.3696</v>
      </c>
    </row>
    <row r="275">
      <c r="A275" s="70">
        <v>44665.0</v>
      </c>
      <c r="B275" s="57">
        <v>2021.0</v>
      </c>
      <c r="C275" s="57">
        <v>1.0</v>
      </c>
      <c r="D275" s="57" t="s">
        <v>179</v>
      </c>
      <c r="E275" s="57">
        <v>0.0</v>
      </c>
      <c r="F275" s="57">
        <v>0.1095</v>
      </c>
      <c r="G275" s="57">
        <v>0.045</v>
      </c>
    </row>
    <row r="276">
      <c r="A276" s="70">
        <v>44665.0</v>
      </c>
      <c r="B276" s="57">
        <v>2020.0</v>
      </c>
      <c r="C276" s="57">
        <v>1.0</v>
      </c>
      <c r="D276" s="57" t="s">
        <v>179</v>
      </c>
      <c r="E276" s="57">
        <v>0.0</v>
      </c>
      <c r="F276" s="57">
        <v>0.0499</v>
      </c>
      <c r="G276" s="57">
        <v>0.0206</v>
      </c>
    </row>
    <row r="277">
      <c r="A277" s="70">
        <v>44665.0</v>
      </c>
      <c r="B277" s="57">
        <v>2010.0</v>
      </c>
      <c r="C277" s="57">
        <v>2.0</v>
      </c>
      <c r="D277" s="57" t="s">
        <v>191</v>
      </c>
      <c r="E277" s="57">
        <v>0.0</v>
      </c>
      <c r="F277" s="57">
        <v>1.6937</v>
      </c>
      <c r="G277" s="57">
        <v>0.788</v>
      </c>
    </row>
    <row r="278">
      <c r="A278" s="70">
        <v>44665.0</v>
      </c>
      <c r="B278" s="57">
        <v>2377.0</v>
      </c>
      <c r="C278" s="57">
        <v>1.0</v>
      </c>
      <c r="D278" s="57" t="s">
        <v>191</v>
      </c>
      <c r="E278" s="57">
        <v>0.0</v>
      </c>
      <c r="F278" s="57">
        <v>0.9023</v>
      </c>
      <c r="G278" s="57">
        <v>0.4499</v>
      </c>
    </row>
    <row r="279">
      <c r="A279" s="70">
        <v>44665.0</v>
      </c>
      <c r="B279" s="57">
        <v>2379.0</v>
      </c>
      <c r="C279" s="57">
        <v>1.0</v>
      </c>
      <c r="D279" s="57" t="s">
        <v>191</v>
      </c>
      <c r="E279" s="57">
        <v>0.0</v>
      </c>
      <c r="F279" s="57">
        <v>0.6672</v>
      </c>
      <c r="G279" s="57">
        <v>0.3196</v>
      </c>
    </row>
    <row r="280">
      <c r="A280" s="70">
        <v>44665.0</v>
      </c>
      <c r="B280" s="57">
        <v>2367.0</v>
      </c>
      <c r="C280" s="57">
        <v>1.0</v>
      </c>
      <c r="D280" s="57" t="s">
        <v>191</v>
      </c>
      <c r="E280" s="57">
        <v>0.0</v>
      </c>
      <c r="F280" s="57">
        <v>0.4867</v>
      </c>
      <c r="G280" s="57">
        <v>0.2212</v>
      </c>
    </row>
    <row r="281">
      <c r="A281" s="70">
        <v>44665.0</v>
      </c>
      <c r="B281" s="57">
        <v>2377.0</v>
      </c>
      <c r="C281" s="57">
        <v>3.0</v>
      </c>
      <c r="D281" s="57" t="s">
        <v>179</v>
      </c>
      <c r="E281" s="57">
        <v>1.0</v>
      </c>
      <c r="F281" s="57">
        <v>0.4117</v>
      </c>
      <c r="G281" s="57">
        <v>0.216</v>
      </c>
    </row>
    <row r="282">
      <c r="A282" s="70">
        <v>44665.0</v>
      </c>
      <c r="B282" s="57">
        <v>2384.0</v>
      </c>
      <c r="C282" s="57">
        <v>1.0</v>
      </c>
      <c r="D282" s="57" t="s">
        <v>179</v>
      </c>
      <c r="E282" s="57">
        <v>0.0</v>
      </c>
      <c r="F282" s="57">
        <v>0.1577</v>
      </c>
      <c r="G282" s="57">
        <v>0.0688</v>
      </c>
    </row>
    <row r="283">
      <c r="A283" s="70">
        <v>44665.0</v>
      </c>
      <c r="B283" s="57">
        <v>2378.0</v>
      </c>
      <c r="C283" s="57">
        <v>2.0</v>
      </c>
      <c r="D283" s="57" t="s">
        <v>179</v>
      </c>
      <c r="E283" s="57">
        <v>1.0</v>
      </c>
      <c r="F283" s="57">
        <v>0.2237</v>
      </c>
      <c r="G283" s="57">
        <v>0.0959</v>
      </c>
    </row>
    <row r="284">
      <c r="A284" s="70">
        <v>44665.0</v>
      </c>
      <c r="B284" s="57">
        <v>2351.0</v>
      </c>
      <c r="C284" s="57">
        <v>1.0</v>
      </c>
      <c r="D284" s="57" t="s">
        <v>191</v>
      </c>
      <c r="E284" s="57">
        <v>0.0</v>
      </c>
      <c r="F284" s="57">
        <v>0.9838</v>
      </c>
      <c r="G284" s="57">
        <v>0.3818</v>
      </c>
    </row>
    <row r="285">
      <c r="A285" s="70">
        <v>44665.0</v>
      </c>
      <c r="B285" s="57">
        <v>2350.0</v>
      </c>
      <c r="C285" s="57">
        <v>1.0</v>
      </c>
      <c r="D285" s="57" t="s">
        <v>179</v>
      </c>
      <c r="E285" s="57">
        <v>1.0</v>
      </c>
      <c r="F285" s="57">
        <v>0.2654</v>
      </c>
      <c r="G285" s="57">
        <v>0.1263</v>
      </c>
    </row>
    <row r="286">
      <c r="A286" s="70">
        <v>44665.0</v>
      </c>
      <c r="B286" s="57">
        <v>2383.0</v>
      </c>
      <c r="C286" s="57">
        <v>2.0</v>
      </c>
      <c r="D286" s="57" t="s">
        <v>191</v>
      </c>
      <c r="E286" s="57">
        <v>0.0</v>
      </c>
      <c r="F286" s="57">
        <v>0.6657</v>
      </c>
      <c r="G286" s="57">
        <v>0.3377</v>
      </c>
    </row>
    <row r="287">
      <c r="A287" s="70">
        <v>44665.0</v>
      </c>
      <c r="B287" s="57">
        <v>2013.0</v>
      </c>
      <c r="C287" s="57">
        <v>2.0</v>
      </c>
      <c r="D287" s="57" t="s">
        <v>179</v>
      </c>
      <c r="E287" s="57">
        <v>0.0</v>
      </c>
      <c r="F287" s="57">
        <v>2.6175</v>
      </c>
      <c r="G287" s="57">
        <v>0.1102</v>
      </c>
    </row>
    <row r="288">
      <c r="A288" s="70">
        <v>44665.0</v>
      </c>
      <c r="B288" s="57">
        <v>2028.0</v>
      </c>
      <c r="C288" s="57">
        <v>2.0</v>
      </c>
      <c r="D288" s="57" t="s">
        <v>191</v>
      </c>
      <c r="E288" s="57">
        <v>0.0</v>
      </c>
      <c r="F288" s="57">
        <v>0.7928</v>
      </c>
      <c r="G288" s="57">
        <v>0.3916</v>
      </c>
    </row>
    <row r="289">
      <c r="A289" s="70">
        <v>44665.0</v>
      </c>
      <c r="B289" s="57">
        <v>2031.0</v>
      </c>
      <c r="C289" s="57">
        <v>1.0</v>
      </c>
      <c r="D289" s="57" t="s">
        <v>179</v>
      </c>
      <c r="E289" s="57">
        <v>0.0</v>
      </c>
      <c r="F289" s="57">
        <v>0.41</v>
      </c>
      <c r="G289" s="57">
        <v>0.1766</v>
      </c>
    </row>
    <row r="290">
      <c r="A290" s="70">
        <v>44665.0</v>
      </c>
      <c r="B290" s="57">
        <v>2384.0</v>
      </c>
      <c r="C290" s="57">
        <v>2.0</v>
      </c>
      <c r="D290" s="57" t="s">
        <v>179</v>
      </c>
      <c r="E290" s="57">
        <v>1.0</v>
      </c>
      <c r="F290" s="57">
        <v>0.4017</v>
      </c>
      <c r="G290" s="57">
        <v>0.2021</v>
      </c>
    </row>
    <row r="291">
      <c r="A291" s="70">
        <v>44665.0</v>
      </c>
      <c r="B291" s="57">
        <v>2351.0</v>
      </c>
      <c r="C291" s="57">
        <v>2.0</v>
      </c>
      <c r="D291" s="57" t="s">
        <v>191</v>
      </c>
      <c r="E291" s="57">
        <v>1.0</v>
      </c>
      <c r="F291" s="57">
        <v>0.4046</v>
      </c>
      <c r="G291" s="57">
        <v>0.1895</v>
      </c>
    </row>
    <row r="292">
      <c r="A292" s="70">
        <v>44665.0</v>
      </c>
      <c r="B292" s="57">
        <v>2367.0</v>
      </c>
      <c r="C292" s="57">
        <v>2.0</v>
      </c>
      <c r="D292" s="57" t="s">
        <v>179</v>
      </c>
      <c r="E292" s="57">
        <v>0.0</v>
      </c>
      <c r="F292" s="57">
        <v>0.0547</v>
      </c>
      <c r="G292" s="57">
        <v>0.0223</v>
      </c>
    </row>
    <row r="293">
      <c r="A293" s="70">
        <v>44665.0</v>
      </c>
      <c r="B293" s="57">
        <v>2367.0</v>
      </c>
      <c r="C293" s="57">
        <v>2.0</v>
      </c>
      <c r="D293" s="57" t="s">
        <v>179</v>
      </c>
      <c r="E293" s="57">
        <v>1.0</v>
      </c>
      <c r="F293" s="57">
        <v>0.2645</v>
      </c>
      <c r="G293" s="57">
        <v>0.1385</v>
      </c>
    </row>
    <row r="294">
      <c r="A294" s="70">
        <v>44665.0</v>
      </c>
      <c r="B294" s="57">
        <v>2377.0</v>
      </c>
      <c r="C294" s="57">
        <v>2.0</v>
      </c>
      <c r="D294" s="57" t="s">
        <v>179</v>
      </c>
      <c r="E294" s="57">
        <v>1.0</v>
      </c>
      <c r="F294" s="57">
        <v>0.6215</v>
      </c>
      <c r="G294" s="57">
        <v>0.3256</v>
      </c>
    </row>
    <row r="295">
      <c r="A295" s="70">
        <v>44665.0</v>
      </c>
      <c r="B295" s="57">
        <v>2010.0</v>
      </c>
      <c r="C295" s="57">
        <v>2.0</v>
      </c>
      <c r="D295" s="57" t="s">
        <v>179</v>
      </c>
      <c r="E295" s="57">
        <v>0.0</v>
      </c>
      <c r="F295" s="57">
        <v>0.2608</v>
      </c>
      <c r="G295" s="57">
        <v>0.1014</v>
      </c>
    </row>
    <row r="296">
      <c r="A296" s="70">
        <v>44665.0</v>
      </c>
      <c r="B296" s="57">
        <v>2350.0</v>
      </c>
      <c r="C296" s="57">
        <v>1.0</v>
      </c>
      <c r="D296" s="57" t="s">
        <v>179</v>
      </c>
      <c r="E296" s="57">
        <v>0.0</v>
      </c>
      <c r="F296" s="57">
        <v>0.4512</v>
      </c>
      <c r="G296" s="57">
        <v>0.1451</v>
      </c>
    </row>
    <row r="297">
      <c r="A297" s="70">
        <v>44665.0</v>
      </c>
      <c r="B297" s="57">
        <v>2345.0</v>
      </c>
      <c r="C297" s="57">
        <v>1.0</v>
      </c>
      <c r="D297" s="57" t="s">
        <v>179</v>
      </c>
      <c r="E297" s="57">
        <v>1.0</v>
      </c>
      <c r="F297" s="57">
        <v>0.2122</v>
      </c>
      <c r="G297" s="57">
        <v>0.1174</v>
      </c>
    </row>
    <row r="298">
      <c r="A298" s="70">
        <v>44665.0</v>
      </c>
      <c r="B298" s="57">
        <v>2010.0</v>
      </c>
      <c r="C298" s="57">
        <v>1.0</v>
      </c>
      <c r="D298" s="57" t="s">
        <v>179</v>
      </c>
      <c r="E298" s="57">
        <v>0.0</v>
      </c>
      <c r="F298" s="57">
        <v>0.2166</v>
      </c>
      <c r="G298" s="57">
        <v>0.0852</v>
      </c>
    </row>
    <row r="299">
      <c r="A299" s="70">
        <v>44665.0</v>
      </c>
      <c r="B299" s="57">
        <v>2009.0</v>
      </c>
      <c r="C299" s="57">
        <v>1.0</v>
      </c>
      <c r="D299" s="57" t="s">
        <v>179</v>
      </c>
      <c r="E299" s="57">
        <v>0.0</v>
      </c>
      <c r="F299" s="57">
        <v>0.1882</v>
      </c>
      <c r="G299" s="57">
        <v>0.0813</v>
      </c>
    </row>
    <row r="300">
      <c r="A300" s="70">
        <v>44665.0</v>
      </c>
      <c r="B300" s="57">
        <v>2379.0</v>
      </c>
      <c r="C300" s="57">
        <v>1.0</v>
      </c>
      <c r="D300" s="57" t="s">
        <v>179</v>
      </c>
      <c r="E300" s="57">
        <v>0.0</v>
      </c>
      <c r="F300" s="57">
        <v>0.0079</v>
      </c>
      <c r="G300" s="57">
        <v>0.0037</v>
      </c>
    </row>
    <row r="301">
      <c r="A301" s="70">
        <v>44665.0</v>
      </c>
      <c r="B301" s="57">
        <v>2010.0</v>
      </c>
      <c r="C301" s="57">
        <v>1.0</v>
      </c>
      <c r="D301" s="57" t="s">
        <v>179</v>
      </c>
      <c r="E301" s="57">
        <v>1.0</v>
      </c>
      <c r="F301" s="57">
        <v>0.2414</v>
      </c>
      <c r="G301" s="57">
        <v>0.1144</v>
      </c>
    </row>
    <row r="302">
      <c r="A302" s="70">
        <v>44665.0</v>
      </c>
      <c r="B302" s="57">
        <v>2013.0</v>
      </c>
      <c r="C302" s="57">
        <v>1.0</v>
      </c>
      <c r="D302" s="57" t="s">
        <v>191</v>
      </c>
      <c r="E302" s="57">
        <v>0.0</v>
      </c>
      <c r="F302" s="57">
        <v>0.6987</v>
      </c>
      <c r="G302" s="57">
        <v>0.2676</v>
      </c>
    </row>
    <row r="303">
      <c r="A303" s="70">
        <v>44665.0</v>
      </c>
      <c r="B303" s="57">
        <v>2369.0</v>
      </c>
      <c r="C303" s="57">
        <v>2.0</v>
      </c>
      <c r="D303" s="57" t="s">
        <v>191</v>
      </c>
      <c r="E303" s="57">
        <v>0.0</v>
      </c>
      <c r="F303" s="57">
        <v>0.9582</v>
      </c>
      <c r="G303" s="57">
        <v>0.4522</v>
      </c>
    </row>
    <row r="304">
      <c r="A304" s="70">
        <v>44665.0</v>
      </c>
      <c r="B304" s="57">
        <v>2365.0</v>
      </c>
      <c r="C304" s="57">
        <v>1.0</v>
      </c>
      <c r="D304" s="57" t="s">
        <v>191</v>
      </c>
      <c r="E304" s="57">
        <v>0.0</v>
      </c>
      <c r="F304" s="57">
        <v>0.8096</v>
      </c>
      <c r="G304" s="57">
        <v>0.3704</v>
      </c>
    </row>
    <row r="305">
      <c r="A305" s="70">
        <v>44665.0</v>
      </c>
      <c r="B305" s="57">
        <v>2025.0</v>
      </c>
      <c r="C305" s="57">
        <v>1.0</v>
      </c>
      <c r="D305" s="57" t="s">
        <v>191</v>
      </c>
      <c r="E305" s="57">
        <v>0.0</v>
      </c>
      <c r="F305" s="57">
        <v>0.5781</v>
      </c>
      <c r="G305" s="57">
        <v>0.2852</v>
      </c>
    </row>
    <row r="306">
      <c r="A306" s="70">
        <v>44665.0</v>
      </c>
      <c r="B306" s="57">
        <v>2013.0</v>
      </c>
      <c r="C306" s="57">
        <v>2.0</v>
      </c>
      <c r="D306" s="57" t="s">
        <v>191</v>
      </c>
      <c r="E306" s="57">
        <v>1.0</v>
      </c>
      <c r="F306" s="57">
        <v>1.1168</v>
      </c>
      <c r="G306" s="57">
        <v>0.4278</v>
      </c>
    </row>
    <row r="307">
      <c r="A307" s="70">
        <v>44665.0</v>
      </c>
      <c r="B307" s="57">
        <v>2377.0</v>
      </c>
      <c r="C307" s="57">
        <v>1.0</v>
      </c>
      <c r="D307" s="57" t="s">
        <v>179</v>
      </c>
      <c r="E307" s="57">
        <v>1.0</v>
      </c>
      <c r="F307" s="57">
        <v>0.7245</v>
      </c>
      <c r="G307" s="57">
        <v>0.3745</v>
      </c>
    </row>
    <row r="308">
      <c r="A308" s="70">
        <v>44665.0</v>
      </c>
      <c r="B308" s="57">
        <v>2012.0</v>
      </c>
      <c r="C308" s="57">
        <v>2.0</v>
      </c>
      <c r="D308" s="57" t="s">
        <v>179</v>
      </c>
      <c r="E308" s="57">
        <v>1.0</v>
      </c>
      <c r="F308" s="57">
        <v>0.34</v>
      </c>
      <c r="G308" s="57">
        <v>0.1646</v>
      </c>
    </row>
    <row r="309">
      <c r="A309" s="70">
        <v>44665.0</v>
      </c>
      <c r="B309" s="57">
        <v>2031.0</v>
      </c>
      <c r="C309" s="57">
        <v>1.0</v>
      </c>
      <c r="D309" s="57" t="s">
        <v>179</v>
      </c>
      <c r="E309" s="57">
        <v>1.0</v>
      </c>
      <c r="F309" s="57">
        <v>0.1685</v>
      </c>
      <c r="G309" s="57">
        <v>0.0901</v>
      </c>
    </row>
    <row r="310">
      <c r="A310" s="70">
        <v>44665.0</v>
      </c>
      <c r="B310" s="57">
        <v>2360.0</v>
      </c>
      <c r="C310" s="57">
        <v>1.0</v>
      </c>
      <c r="D310" s="57" t="s">
        <v>179</v>
      </c>
      <c r="E310" s="57">
        <v>1.0</v>
      </c>
      <c r="F310" s="57">
        <v>0.0467</v>
      </c>
      <c r="G310" s="57">
        <v>0.0246</v>
      </c>
    </row>
    <row r="311">
      <c r="A311" s="70">
        <v>44665.0</v>
      </c>
      <c r="B311" s="57">
        <v>2351.0</v>
      </c>
      <c r="C311" s="57">
        <v>2.0</v>
      </c>
      <c r="D311" s="57" t="s">
        <v>179</v>
      </c>
      <c r="E311" s="57">
        <v>0.0</v>
      </c>
      <c r="F311" s="57">
        <v>0.0184</v>
      </c>
      <c r="G311" s="57">
        <v>0.0079</v>
      </c>
    </row>
    <row r="312">
      <c r="A312" s="70">
        <v>44665.0</v>
      </c>
      <c r="B312" s="57">
        <v>2028.0</v>
      </c>
      <c r="C312" s="57">
        <v>2.0</v>
      </c>
      <c r="D312" s="57" t="s">
        <v>179</v>
      </c>
      <c r="E312" s="57">
        <v>1.0</v>
      </c>
      <c r="F312" s="57">
        <v>0.0726</v>
      </c>
      <c r="G312" s="57">
        <v>0.033</v>
      </c>
    </row>
    <row r="313">
      <c r="A313" s="70">
        <v>44665.0</v>
      </c>
      <c r="B313" s="57">
        <v>2012.0</v>
      </c>
      <c r="C313" s="57">
        <v>2.0</v>
      </c>
      <c r="D313" s="57" t="s">
        <v>179</v>
      </c>
      <c r="E313" s="57">
        <v>0.0</v>
      </c>
      <c r="F313" s="57">
        <v>1.1387</v>
      </c>
      <c r="G313" s="57">
        <v>0.5126</v>
      </c>
    </row>
    <row r="314">
      <c r="A314" s="70">
        <v>44665.0</v>
      </c>
      <c r="B314" s="57">
        <v>2381.0</v>
      </c>
      <c r="C314" s="57">
        <v>3.0</v>
      </c>
      <c r="D314" s="57" t="s">
        <v>179</v>
      </c>
      <c r="E314" s="57">
        <v>0.0</v>
      </c>
      <c r="F314" s="57">
        <v>0.1168</v>
      </c>
      <c r="G314" s="57">
        <v>0.0526</v>
      </c>
    </row>
    <row r="315">
      <c r="A315" s="70">
        <v>44665.0</v>
      </c>
      <c r="B315" s="57">
        <v>2351.0</v>
      </c>
      <c r="C315" s="57">
        <v>1.0</v>
      </c>
      <c r="D315" s="57" t="s">
        <v>179</v>
      </c>
      <c r="E315" s="57">
        <v>1.0</v>
      </c>
      <c r="F315" s="57">
        <v>0.0555</v>
      </c>
      <c r="G315" s="57">
        <v>0.0253</v>
      </c>
    </row>
    <row r="316">
      <c r="A316" s="70">
        <v>44665.0</v>
      </c>
      <c r="B316" s="57">
        <v>2012.0</v>
      </c>
      <c r="C316" s="57">
        <v>1.0</v>
      </c>
      <c r="D316" s="57" t="s">
        <v>191</v>
      </c>
      <c r="E316" s="57">
        <v>0.0</v>
      </c>
      <c r="F316" s="57">
        <v>1.1115</v>
      </c>
      <c r="G316" s="57">
        <v>0.4992</v>
      </c>
    </row>
    <row r="317">
      <c r="A317" s="70">
        <v>44665.0</v>
      </c>
      <c r="B317" s="57">
        <v>2380.0</v>
      </c>
      <c r="C317" s="57">
        <v>1.0</v>
      </c>
      <c r="D317" s="57" t="s">
        <v>179</v>
      </c>
      <c r="E317" s="57">
        <v>0.0</v>
      </c>
      <c r="F317" s="57">
        <v>0.0565</v>
      </c>
      <c r="G317" s="57">
        <v>0.0183</v>
      </c>
    </row>
    <row r="318">
      <c r="A318" s="70">
        <v>44665.0</v>
      </c>
      <c r="B318" s="57">
        <v>2380.0</v>
      </c>
      <c r="C318" s="57">
        <v>1.0</v>
      </c>
      <c r="D318" s="57" t="s">
        <v>191</v>
      </c>
      <c r="E318" s="57">
        <v>1.0</v>
      </c>
      <c r="F318" s="57">
        <v>1.1483</v>
      </c>
      <c r="G318" s="57">
        <v>0.7144</v>
      </c>
    </row>
    <row r="319">
      <c r="A319" s="70">
        <v>44665.0</v>
      </c>
      <c r="B319" s="57">
        <v>2025.0</v>
      </c>
      <c r="C319" s="57">
        <v>2.0</v>
      </c>
      <c r="D319" s="57" t="s">
        <v>179</v>
      </c>
      <c r="E319" s="57">
        <v>0.0</v>
      </c>
      <c r="F319" s="57">
        <v>0.0568</v>
      </c>
      <c r="G319" s="57">
        <v>0.0254</v>
      </c>
    </row>
    <row r="320">
      <c r="A320" s="70">
        <v>44665.0</v>
      </c>
      <c r="B320" s="57">
        <v>2369.0</v>
      </c>
      <c r="C320" s="57">
        <v>2.0</v>
      </c>
      <c r="D320" s="57" t="s">
        <v>179</v>
      </c>
      <c r="E320" s="57">
        <v>0.0</v>
      </c>
      <c r="F320" s="57">
        <v>0.1252</v>
      </c>
      <c r="G320" s="57">
        <v>0.052</v>
      </c>
    </row>
    <row r="321">
      <c r="A321" s="70">
        <v>44665.0</v>
      </c>
      <c r="B321" s="57">
        <v>2345.0</v>
      </c>
      <c r="C321" s="57">
        <v>2.0</v>
      </c>
      <c r="D321" s="57" t="s">
        <v>191</v>
      </c>
      <c r="E321" s="57">
        <v>1.0</v>
      </c>
      <c r="F321" s="57">
        <v>1.4443</v>
      </c>
      <c r="G321" s="57">
        <v>0.8472</v>
      </c>
    </row>
    <row r="322">
      <c r="A322" s="70">
        <v>44665.0</v>
      </c>
      <c r="B322" s="57">
        <v>2365.0</v>
      </c>
      <c r="C322" s="57">
        <v>1.0</v>
      </c>
      <c r="D322" s="57" t="s">
        <v>179</v>
      </c>
      <c r="E322" s="57">
        <v>1.0</v>
      </c>
      <c r="F322" s="57">
        <v>0.2314</v>
      </c>
      <c r="G322" s="57">
        <v>0.1115</v>
      </c>
    </row>
    <row r="323">
      <c r="A323" s="70">
        <v>44665.0</v>
      </c>
      <c r="B323" s="57">
        <v>2380.0</v>
      </c>
      <c r="C323" s="57">
        <v>2.0</v>
      </c>
      <c r="D323" s="57" t="s">
        <v>191</v>
      </c>
      <c r="E323" s="57">
        <v>1.0</v>
      </c>
      <c r="F323" s="57">
        <v>0.9541</v>
      </c>
      <c r="G323" s="57">
        <v>0.5747</v>
      </c>
    </row>
    <row r="324">
      <c r="A324" s="70">
        <v>44665.0</v>
      </c>
      <c r="B324" s="57">
        <v>2004.0</v>
      </c>
      <c r="C324" s="57">
        <v>1.0</v>
      </c>
      <c r="D324" s="57" t="s">
        <v>179</v>
      </c>
      <c r="E324" s="57">
        <v>0.0</v>
      </c>
      <c r="F324" s="57">
        <v>0.245</v>
      </c>
      <c r="G324" s="57">
        <v>0.1046</v>
      </c>
    </row>
    <row r="325">
      <c r="A325" s="70">
        <v>44665.0</v>
      </c>
      <c r="B325" s="57">
        <v>2375.0</v>
      </c>
      <c r="C325" s="57">
        <v>1.0</v>
      </c>
      <c r="D325" s="57" t="s">
        <v>179</v>
      </c>
      <c r="E325" s="57">
        <v>1.0</v>
      </c>
      <c r="F325" s="57">
        <v>0.0677</v>
      </c>
      <c r="G325" s="57">
        <v>0.0339</v>
      </c>
    </row>
    <row r="326">
      <c r="A326" s="70">
        <v>44665.0</v>
      </c>
      <c r="B326" s="57">
        <v>2007.0</v>
      </c>
      <c r="C326" s="57">
        <v>1.0</v>
      </c>
      <c r="D326" s="57" t="s">
        <v>179</v>
      </c>
      <c r="E326" s="57">
        <v>1.0</v>
      </c>
      <c r="F326" s="57">
        <v>0.0953</v>
      </c>
      <c r="G326" s="57">
        <v>0.0445</v>
      </c>
    </row>
    <row r="327">
      <c r="A327" s="70">
        <v>44665.0</v>
      </c>
      <c r="B327" s="57">
        <v>2012.0</v>
      </c>
      <c r="C327" s="57">
        <v>3.0</v>
      </c>
      <c r="D327" s="57" t="s">
        <v>179</v>
      </c>
      <c r="E327" s="57">
        <v>1.0</v>
      </c>
      <c r="F327" s="57">
        <v>0.0729</v>
      </c>
      <c r="G327" s="57">
        <v>0.0287</v>
      </c>
    </row>
    <row r="328">
      <c r="A328" s="70">
        <v>44665.0</v>
      </c>
      <c r="B328" s="57">
        <v>2351.0</v>
      </c>
      <c r="C328" s="57">
        <v>1.0</v>
      </c>
      <c r="D328" s="57" t="s">
        <v>179</v>
      </c>
      <c r="E328" s="57">
        <v>1.0</v>
      </c>
      <c r="F328" s="57">
        <v>0.0781</v>
      </c>
      <c r="G328" s="57">
        <v>0.033</v>
      </c>
    </row>
    <row r="329">
      <c r="A329" s="70">
        <v>44665.0</v>
      </c>
      <c r="B329" s="57">
        <v>2379.0</v>
      </c>
      <c r="C329" s="57">
        <v>2.0</v>
      </c>
      <c r="D329" s="57" t="s">
        <v>191</v>
      </c>
      <c r="E329" s="57">
        <v>0.0</v>
      </c>
      <c r="F329" s="57">
        <v>0.9787</v>
      </c>
      <c r="G329" s="57">
        <v>0.4623</v>
      </c>
    </row>
    <row r="330">
      <c r="A330" s="70">
        <v>44665.0</v>
      </c>
      <c r="B330" s="57">
        <v>2012.0</v>
      </c>
      <c r="C330" s="57">
        <v>3.0</v>
      </c>
      <c r="D330" s="57" t="s">
        <v>191</v>
      </c>
      <c r="E330" s="57">
        <v>0.0</v>
      </c>
      <c r="F330" s="57">
        <v>0.5889</v>
      </c>
      <c r="G330" s="57">
        <v>0.2613</v>
      </c>
    </row>
    <row r="331">
      <c r="A331" s="70">
        <v>44665.0</v>
      </c>
      <c r="B331" s="57">
        <v>2383.0</v>
      </c>
      <c r="C331" s="57">
        <v>1.0</v>
      </c>
      <c r="D331" s="57" t="s">
        <v>179</v>
      </c>
      <c r="E331" s="57">
        <v>1.0</v>
      </c>
      <c r="F331" s="57">
        <v>0.291</v>
      </c>
      <c r="G331" s="57">
        <v>0.1483</v>
      </c>
    </row>
    <row r="332">
      <c r="A332" s="70">
        <v>44665.0</v>
      </c>
      <c r="B332" s="57">
        <v>2012.0</v>
      </c>
      <c r="C332" s="57">
        <v>2.0</v>
      </c>
      <c r="D332" s="57" t="s">
        <v>191</v>
      </c>
      <c r="E332" s="57">
        <v>0.0</v>
      </c>
      <c r="F332" s="57">
        <v>0.0829</v>
      </c>
      <c r="G332" s="57">
        <v>0.0323</v>
      </c>
    </row>
    <row r="333">
      <c r="A333" s="70">
        <v>44665.0</v>
      </c>
      <c r="B333" s="57">
        <v>2351.0</v>
      </c>
      <c r="C333" s="57">
        <v>3.0</v>
      </c>
      <c r="D333" s="57" t="s">
        <v>191</v>
      </c>
      <c r="E333" s="57">
        <v>0.0</v>
      </c>
      <c r="F333" s="57">
        <v>0.5845</v>
      </c>
      <c r="G333" s="57">
        <v>0.2662</v>
      </c>
    </row>
    <row r="334">
      <c r="A334" s="70">
        <v>44665.0</v>
      </c>
      <c r="B334" s="57">
        <v>2381.0</v>
      </c>
      <c r="C334" s="57">
        <v>2.0</v>
      </c>
      <c r="D334" s="57" t="s">
        <v>191</v>
      </c>
      <c r="E334" s="57">
        <v>1.0</v>
      </c>
      <c r="F334" s="57">
        <v>2.0297</v>
      </c>
      <c r="G334" s="57">
        <v>1.005</v>
      </c>
    </row>
    <row r="335">
      <c r="A335" s="70">
        <v>44665.0</v>
      </c>
      <c r="B335" s="57">
        <v>1478.0</v>
      </c>
      <c r="C335" s="57">
        <v>1.0</v>
      </c>
      <c r="D335" s="57" t="s">
        <v>179</v>
      </c>
      <c r="E335" s="57">
        <v>0.0</v>
      </c>
      <c r="F335" s="57">
        <v>0.2612</v>
      </c>
      <c r="G335" s="57">
        <v>0.0918</v>
      </c>
    </row>
    <row r="336">
      <c r="A336" s="70">
        <v>44665.0</v>
      </c>
      <c r="B336" s="57">
        <v>2007.0</v>
      </c>
      <c r="C336" s="57">
        <v>2.0</v>
      </c>
      <c r="D336" s="57" t="s">
        <v>179</v>
      </c>
      <c r="E336" s="57">
        <v>1.0</v>
      </c>
      <c r="F336" s="57">
        <v>0.1948</v>
      </c>
      <c r="G336" s="57">
        <v>0.0926</v>
      </c>
    </row>
    <row r="337">
      <c r="A337" s="70">
        <v>44665.0</v>
      </c>
      <c r="B337" s="57">
        <v>2351.0</v>
      </c>
      <c r="C337" s="57">
        <v>1.0</v>
      </c>
      <c r="D337" s="57" t="s">
        <v>179</v>
      </c>
      <c r="E337" s="57">
        <v>1.0</v>
      </c>
      <c r="F337" s="57">
        <v>0.3063</v>
      </c>
      <c r="G337" s="57">
        <v>0.1608</v>
      </c>
    </row>
    <row r="338">
      <c r="A338" s="70">
        <v>44665.0</v>
      </c>
      <c r="B338" s="57">
        <v>2028.0</v>
      </c>
      <c r="C338" s="57">
        <v>1.0</v>
      </c>
      <c r="D338" s="57" t="s">
        <v>179</v>
      </c>
      <c r="E338" s="57">
        <v>0.0</v>
      </c>
      <c r="F338" s="57">
        <v>0.0498</v>
      </c>
      <c r="G338" s="57">
        <v>0.0176</v>
      </c>
    </row>
    <row r="339">
      <c r="A339" s="70">
        <v>44665.0</v>
      </c>
      <c r="B339" s="57">
        <v>2020.0</v>
      </c>
      <c r="C339" s="57">
        <v>2.0</v>
      </c>
      <c r="D339" s="57" t="s">
        <v>191</v>
      </c>
      <c r="E339" s="57">
        <v>0.0</v>
      </c>
      <c r="F339" s="57">
        <v>0.6946</v>
      </c>
      <c r="G339" s="57">
        <v>0.3361</v>
      </c>
    </row>
    <row r="340">
      <c r="A340" s="70">
        <v>44665.0</v>
      </c>
      <c r="B340" s="57">
        <v>2005.0</v>
      </c>
      <c r="C340" s="57">
        <v>1.0</v>
      </c>
      <c r="D340" s="57" t="s">
        <v>179</v>
      </c>
      <c r="E340" s="57">
        <v>0.0</v>
      </c>
      <c r="F340" s="57">
        <v>0.3585</v>
      </c>
      <c r="G340" s="57">
        <v>0.1569</v>
      </c>
    </row>
    <row r="341">
      <c r="A341" s="70">
        <v>44665.0</v>
      </c>
      <c r="B341" s="57">
        <v>2007.0</v>
      </c>
      <c r="C341" s="57">
        <v>1.0</v>
      </c>
      <c r="D341" s="57" t="s">
        <v>191</v>
      </c>
      <c r="E341" s="57">
        <v>0.0</v>
      </c>
      <c r="F341" s="57">
        <v>1.0131</v>
      </c>
      <c r="G341" s="57">
        <v>0.4928</v>
      </c>
    </row>
    <row r="342">
      <c r="A342" s="70">
        <v>44665.0</v>
      </c>
      <c r="B342" s="57">
        <v>2381.0</v>
      </c>
      <c r="C342" s="57">
        <v>3.0</v>
      </c>
      <c r="D342" s="57" t="s">
        <v>179</v>
      </c>
      <c r="E342" s="57">
        <v>1.0</v>
      </c>
      <c r="F342" s="57">
        <v>0.2095</v>
      </c>
      <c r="G342" s="57">
        <v>0.0918</v>
      </c>
    </row>
    <row r="343">
      <c r="A343" s="70">
        <v>44665.0</v>
      </c>
      <c r="B343" s="57">
        <v>2021.0</v>
      </c>
      <c r="C343" s="57">
        <v>1.0</v>
      </c>
      <c r="D343" s="57" t="s">
        <v>179</v>
      </c>
      <c r="E343" s="57">
        <v>1.0</v>
      </c>
      <c r="F343" s="57">
        <v>0.0805</v>
      </c>
      <c r="G343" s="57">
        <v>0.0396</v>
      </c>
    </row>
    <row r="344">
      <c r="A344" s="70">
        <v>44665.0</v>
      </c>
      <c r="B344" s="57">
        <v>2383.0</v>
      </c>
      <c r="C344" s="57">
        <v>3.0</v>
      </c>
      <c r="D344" s="57" t="s">
        <v>179</v>
      </c>
      <c r="E344" s="57">
        <v>1.0</v>
      </c>
      <c r="F344" s="57">
        <v>0.3076</v>
      </c>
      <c r="G344" s="57">
        <v>0.1544</v>
      </c>
    </row>
    <row r="345">
      <c r="A345" s="70">
        <v>44665.0</v>
      </c>
      <c r="B345" s="57">
        <v>2027.0</v>
      </c>
      <c r="C345" s="57">
        <v>1.0</v>
      </c>
      <c r="D345" s="57" t="s">
        <v>179</v>
      </c>
      <c r="E345" s="57">
        <v>0.0</v>
      </c>
      <c r="F345" s="57">
        <v>0.2056</v>
      </c>
      <c r="G345" s="57">
        <v>0.0895</v>
      </c>
    </row>
    <row r="346">
      <c r="A346" s="70">
        <v>44665.0</v>
      </c>
      <c r="B346" s="57">
        <v>2375.0</v>
      </c>
      <c r="C346" s="57">
        <v>1.0</v>
      </c>
      <c r="D346" s="57" t="s">
        <v>179</v>
      </c>
      <c r="E346" s="57">
        <v>0.0</v>
      </c>
      <c r="F346" s="57">
        <v>0.1119</v>
      </c>
      <c r="G346" s="57">
        <v>0.0504</v>
      </c>
    </row>
    <row r="347">
      <c r="A347" s="70">
        <v>44665.0</v>
      </c>
      <c r="B347" s="57">
        <v>2381.0</v>
      </c>
      <c r="C347" s="57">
        <v>3.0</v>
      </c>
      <c r="D347" s="57" t="s">
        <v>191</v>
      </c>
      <c r="E347" s="57">
        <v>0.0</v>
      </c>
      <c r="F347" s="57">
        <v>1.8003</v>
      </c>
      <c r="G347" s="57">
        <v>0.8122</v>
      </c>
    </row>
    <row r="348">
      <c r="A348" s="70">
        <v>44665.0</v>
      </c>
      <c r="B348" s="57">
        <v>2380.0</v>
      </c>
      <c r="C348" s="57">
        <v>2.0</v>
      </c>
      <c r="D348" s="57" t="s">
        <v>179</v>
      </c>
      <c r="E348" s="57">
        <v>1.0</v>
      </c>
      <c r="F348" s="57">
        <v>0.1664</v>
      </c>
      <c r="G348" s="57">
        <v>0.0908</v>
      </c>
    </row>
    <row r="349">
      <c r="A349" s="70">
        <v>44665.0</v>
      </c>
      <c r="B349" s="57">
        <v>2377.0</v>
      </c>
      <c r="C349" s="57">
        <v>3.0</v>
      </c>
      <c r="D349" s="57" t="s">
        <v>191</v>
      </c>
      <c r="E349" s="57">
        <v>1.0</v>
      </c>
      <c r="F349" s="57">
        <v>0.7124</v>
      </c>
      <c r="G349" s="57">
        <v>0.4268</v>
      </c>
    </row>
    <row r="350">
      <c r="A350" s="70">
        <v>44665.0</v>
      </c>
      <c r="B350" s="57">
        <v>2028.0</v>
      </c>
      <c r="C350" s="57">
        <v>1.0</v>
      </c>
      <c r="D350" s="57" t="s">
        <v>191</v>
      </c>
      <c r="E350" s="57">
        <v>0.0</v>
      </c>
      <c r="F350" s="57">
        <v>0.7275</v>
      </c>
      <c r="G350" s="57">
        <v>0.3699</v>
      </c>
    </row>
    <row r="351">
      <c r="A351" s="70">
        <v>44665.0</v>
      </c>
      <c r="B351" s="57">
        <v>2367.0</v>
      </c>
      <c r="C351" s="57">
        <v>1.0</v>
      </c>
      <c r="D351" s="57" t="s">
        <v>179</v>
      </c>
      <c r="E351" s="57">
        <v>0.0</v>
      </c>
      <c r="F351" s="57">
        <v>0.0274</v>
      </c>
      <c r="G351" s="57">
        <v>0.0116</v>
      </c>
    </row>
    <row r="352">
      <c r="A352" s="70">
        <v>44665.0</v>
      </c>
      <c r="B352" s="57">
        <v>2383.0</v>
      </c>
      <c r="C352" s="57">
        <v>2.0</v>
      </c>
      <c r="D352" s="57" t="s">
        <v>179</v>
      </c>
      <c r="E352" s="57">
        <v>1.0</v>
      </c>
      <c r="F352" s="57">
        <v>0.0745</v>
      </c>
      <c r="G352" s="57">
        <v>0.0367</v>
      </c>
    </row>
    <row r="353">
      <c r="A353" s="70">
        <v>44665.0</v>
      </c>
      <c r="B353" s="57">
        <v>2007.0</v>
      </c>
      <c r="C353" s="57">
        <v>2.0</v>
      </c>
      <c r="D353" s="57" t="s">
        <v>179</v>
      </c>
      <c r="E353" s="57">
        <v>0.0</v>
      </c>
      <c r="F353" s="57">
        <v>0.3182</v>
      </c>
      <c r="G353" s="57">
        <v>0.1432</v>
      </c>
    </row>
    <row r="354">
      <c r="A354" s="70">
        <v>44665.0</v>
      </c>
      <c r="B354" s="57">
        <v>2012.0</v>
      </c>
      <c r="C354" s="57">
        <v>1.0</v>
      </c>
      <c r="D354" s="57" t="s">
        <v>179</v>
      </c>
      <c r="E354" s="57">
        <v>1.0</v>
      </c>
      <c r="F354" s="57">
        <v>0.4603</v>
      </c>
      <c r="G354" s="57">
        <v>0.2527</v>
      </c>
    </row>
    <row r="355">
      <c r="A355" s="70">
        <v>44665.0</v>
      </c>
      <c r="B355" s="57">
        <v>2028.0</v>
      </c>
      <c r="C355" s="57">
        <v>1.0</v>
      </c>
      <c r="D355" s="57" t="s">
        <v>191</v>
      </c>
      <c r="E355" s="57">
        <v>0.0</v>
      </c>
      <c r="F355" s="57">
        <v>0.0604</v>
      </c>
      <c r="G355" s="57">
        <v>0.0277</v>
      </c>
    </row>
    <row r="356">
      <c r="A356" s="70">
        <v>44665.0</v>
      </c>
      <c r="B356" s="57">
        <v>2078.0</v>
      </c>
      <c r="C356" s="57">
        <v>1.0</v>
      </c>
      <c r="D356" s="57" t="s">
        <v>179</v>
      </c>
      <c r="E356" s="57">
        <v>0.0</v>
      </c>
      <c r="F356" s="57">
        <v>0.6644</v>
      </c>
      <c r="G356" s="57">
        <v>0.0257</v>
      </c>
    </row>
    <row r="357">
      <c r="A357" s="70">
        <v>44665.0</v>
      </c>
      <c r="B357" s="57">
        <v>2360.0</v>
      </c>
      <c r="C357" s="57">
        <v>1.0</v>
      </c>
      <c r="D357" s="57" t="s">
        <v>179</v>
      </c>
      <c r="E357" s="57">
        <v>0.0</v>
      </c>
      <c r="F357" s="57">
        <v>0.114</v>
      </c>
      <c r="G357" s="57">
        <v>0.05</v>
      </c>
    </row>
    <row r="358">
      <c r="A358" s="70">
        <v>44665.0</v>
      </c>
      <c r="B358" s="57">
        <v>2369.0</v>
      </c>
      <c r="C358" s="57">
        <v>2.0</v>
      </c>
      <c r="D358" s="57" t="s">
        <v>179</v>
      </c>
      <c r="E358" s="57">
        <v>1.0</v>
      </c>
      <c r="F358" s="57">
        <v>0.2857</v>
      </c>
      <c r="G358" s="57">
        <v>0.1349</v>
      </c>
    </row>
    <row r="359">
      <c r="A359" s="70">
        <v>44665.0</v>
      </c>
      <c r="B359" s="57">
        <v>2011.0</v>
      </c>
      <c r="C359" s="57">
        <v>1.0</v>
      </c>
      <c r="D359" s="57" t="s">
        <v>191</v>
      </c>
      <c r="E359" s="57">
        <v>0.0</v>
      </c>
      <c r="F359" s="57">
        <v>1.2608</v>
      </c>
      <c r="G359" s="57">
        <v>0.6066</v>
      </c>
    </row>
    <row r="360">
      <c r="A360" s="70">
        <v>44665.0</v>
      </c>
      <c r="B360" s="57">
        <v>2384.0</v>
      </c>
      <c r="C360" s="57">
        <v>1.0</v>
      </c>
      <c r="D360" s="57" t="s">
        <v>179</v>
      </c>
      <c r="E360" s="57">
        <v>1.0</v>
      </c>
      <c r="F360" s="57">
        <v>0.4188</v>
      </c>
      <c r="G360" s="57">
        <v>0.2257</v>
      </c>
    </row>
    <row r="361">
      <c r="A361" s="70">
        <v>44665.0</v>
      </c>
      <c r="B361" s="57">
        <v>2011.0</v>
      </c>
      <c r="C361" s="57">
        <v>1.0</v>
      </c>
      <c r="D361" s="57" t="s">
        <v>179</v>
      </c>
      <c r="E361" s="57">
        <v>1.0</v>
      </c>
      <c r="F361" s="57">
        <v>0.2529</v>
      </c>
      <c r="G361" s="57">
        <v>0.1121</v>
      </c>
    </row>
    <row r="362">
      <c r="A362" s="70">
        <v>44665.0</v>
      </c>
      <c r="B362" s="57">
        <v>2381.0</v>
      </c>
      <c r="C362" s="57">
        <v>1.0</v>
      </c>
      <c r="D362" s="57" t="s">
        <v>191</v>
      </c>
      <c r="E362" s="57">
        <v>1.0</v>
      </c>
      <c r="F362" s="57">
        <v>0.8082</v>
      </c>
      <c r="G362" s="57">
        <v>0.4023</v>
      </c>
    </row>
    <row r="363">
      <c r="A363" s="70">
        <v>44665.0</v>
      </c>
      <c r="B363" s="57">
        <v>2379.0</v>
      </c>
      <c r="C363" s="57">
        <v>2.0</v>
      </c>
      <c r="D363" s="57" t="s">
        <v>179</v>
      </c>
      <c r="E363" s="57">
        <v>1.0</v>
      </c>
      <c r="F363" s="57">
        <v>1.2313</v>
      </c>
      <c r="G363" s="57">
        <v>0.6363</v>
      </c>
    </row>
    <row r="364">
      <c r="A364" s="70">
        <v>44665.0</v>
      </c>
      <c r="B364" s="57">
        <v>2377.0</v>
      </c>
      <c r="C364" s="57">
        <v>1.0</v>
      </c>
      <c r="D364" s="57" t="s">
        <v>191</v>
      </c>
      <c r="E364" s="57">
        <v>1.0</v>
      </c>
      <c r="F364" s="57">
        <v>1.4716</v>
      </c>
      <c r="G364" s="57">
        <v>0.8352</v>
      </c>
    </row>
    <row r="365">
      <c r="A365" s="70">
        <v>44665.0</v>
      </c>
      <c r="B365" s="57">
        <v>2345.0</v>
      </c>
      <c r="C365" s="57">
        <v>1.0</v>
      </c>
      <c r="D365" s="57" t="s">
        <v>191</v>
      </c>
      <c r="E365" s="57">
        <v>0.0</v>
      </c>
      <c r="F365" s="57">
        <v>1.0044</v>
      </c>
      <c r="G365" s="57">
        <v>0.5822</v>
      </c>
    </row>
    <row r="366">
      <c r="A366" s="70">
        <v>44665.0</v>
      </c>
      <c r="B366" s="57">
        <v>2351.0</v>
      </c>
      <c r="C366" s="57">
        <v>1.0</v>
      </c>
      <c r="D366" s="57" t="s">
        <v>179</v>
      </c>
      <c r="E366" s="57">
        <v>0.0</v>
      </c>
      <c r="F366" s="57">
        <v>0.0371</v>
      </c>
      <c r="G366" s="57">
        <v>0.0137</v>
      </c>
    </row>
    <row r="367">
      <c r="A367" s="70">
        <v>44665.0</v>
      </c>
      <c r="B367" s="57">
        <v>2367.0</v>
      </c>
      <c r="C367" s="57">
        <v>2.0</v>
      </c>
      <c r="D367" s="57" t="s">
        <v>191</v>
      </c>
      <c r="E367" s="57">
        <v>0.0</v>
      </c>
      <c r="F367" s="57">
        <v>0.6433</v>
      </c>
      <c r="G367" s="57">
        <v>0.2857</v>
      </c>
    </row>
    <row r="368">
      <c r="A368" s="70">
        <v>44665.0</v>
      </c>
      <c r="B368" s="57">
        <v>2381.0</v>
      </c>
      <c r="C368" s="57">
        <v>2.0</v>
      </c>
      <c r="D368" s="57" t="s">
        <v>179</v>
      </c>
      <c r="E368" s="57">
        <v>0.0</v>
      </c>
      <c r="F368" s="57">
        <v>0.1745</v>
      </c>
      <c r="G368" s="57">
        <v>0.0706</v>
      </c>
    </row>
    <row r="369">
      <c r="A369" s="70">
        <v>44665.0</v>
      </c>
      <c r="B369" s="57">
        <v>2381.0</v>
      </c>
      <c r="C369" s="57">
        <v>2.0</v>
      </c>
      <c r="D369" s="57" t="s">
        <v>191</v>
      </c>
      <c r="E369" s="57">
        <v>0.0</v>
      </c>
      <c r="F369" s="57">
        <v>1.4029</v>
      </c>
      <c r="G369" s="57">
        <v>0.6649</v>
      </c>
    </row>
    <row r="370">
      <c r="A370" s="70">
        <v>44665.0</v>
      </c>
      <c r="B370" s="57">
        <v>2011.0</v>
      </c>
      <c r="C370" s="57">
        <v>1.0</v>
      </c>
      <c r="D370" s="57" t="s">
        <v>179</v>
      </c>
      <c r="E370" s="57">
        <v>0.0</v>
      </c>
      <c r="F370" s="57">
        <v>0.12</v>
      </c>
      <c r="G370" s="57">
        <v>0.0477</v>
      </c>
    </row>
    <row r="371">
      <c r="A371" s="70">
        <v>44665.0</v>
      </c>
      <c r="B371" s="57">
        <v>2384.0</v>
      </c>
      <c r="C371" s="57">
        <v>3.0</v>
      </c>
      <c r="D371" s="57" t="s">
        <v>179</v>
      </c>
      <c r="E371" s="57">
        <v>1.0</v>
      </c>
      <c r="F371" s="57">
        <v>0.1061</v>
      </c>
      <c r="G371" s="57">
        <v>0.0577</v>
      </c>
    </row>
    <row r="372">
      <c r="A372" s="70">
        <v>44665.0</v>
      </c>
      <c r="B372" s="57">
        <v>2381.0</v>
      </c>
      <c r="C372" s="57">
        <v>2.0</v>
      </c>
      <c r="D372" s="57" t="s">
        <v>179</v>
      </c>
      <c r="E372" s="57">
        <v>1.0</v>
      </c>
      <c r="F372" s="57">
        <v>0.3042</v>
      </c>
      <c r="G372" s="57">
        <v>0.1412</v>
      </c>
    </row>
    <row r="373">
      <c r="A373" s="70">
        <v>44665.0</v>
      </c>
      <c r="B373" s="57">
        <v>2381.0</v>
      </c>
      <c r="C373" s="57">
        <v>3.0</v>
      </c>
      <c r="D373" s="57" t="s">
        <v>191</v>
      </c>
      <c r="E373" s="57">
        <v>1.0</v>
      </c>
      <c r="F373" s="57">
        <v>2.3696</v>
      </c>
      <c r="G373" s="57">
        <v>1.1948</v>
      </c>
    </row>
    <row r="374">
      <c r="A374" s="70">
        <v>44665.0</v>
      </c>
      <c r="B374" s="57">
        <v>2381.0</v>
      </c>
      <c r="C374" s="57">
        <v>3.0</v>
      </c>
      <c r="D374" s="57" t="s">
        <v>179</v>
      </c>
      <c r="E374" s="57">
        <v>1.0</v>
      </c>
      <c r="F374" s="57">
        <v>0.2117</v>
      </c>
      <c r="G374" s="57">
        <v>0.0885</v>
      </c>
    </row>
    <row r="375">
      <c r="A375" s="70">
        <v>44665.0</v>
      </c>
      <c r="B375" s="57">
        <v>2010.0</v>
      </c>
      <c r="C375" s="57">
        <v>2.0</v>
      </c>
      <c r="D375" s="57" t="s">
        <v>179</v>
      </c>
      <c r="E375" s="57">
        <v>1.0</v>
      </c>
      <c r="F375" s="57">
        <v>0.1232</v>
      </c>
      <c r="G375" s="57">
        <v>0.0577</v>
      </c>
    </row>
    <row r="376">
      <c r="A376" s="70">
        <v>44662.0</v>
      </c>
      <c r="B376" s="57">
        <v>2089.0</v>
      </c>
      <c r="C376" s="57">
        <v>1.0</v>
      </c>
      <c r="D376" s="57" t="s">
        <v>191</v>
      </c>
      <c r="E376" s="57">
        <v>0.0</v>
      </c>
      <c r="F376" s="57">
        <v>0.8061</v>
      </c>
      <c r="G376" s="57">
        <v>0.454</v>
      </c>
    </row>
    <row r="377">
      <c r="A377" s="70">
        <v>44662.0</v>
      </c>
      <c r="B377" s="57">
        <v>2088.0</v>
      </c>
      <c r="C377" s="57">
        <v>1.0</v>
      </c>
      <c r="D377" s="57" t="s">
        <v>179</v>
      </c>
      <c r="E377" s="57">
        <v>0.0</v>
      </c>
      <c r="F377" s="57">
        <v>0.0411</v>
      </c>
      <c r="G377" s="57">
        <v>0.016</v>
      </c>
    </row>
    <row r="378">
      <c r="A378" s="70">
        <v>44662.0</v>
      </c>
      <c r="B378" s="57">
        <v>2088.0</v>
      </c>
      <c r="C378" s="57">
        <v>2.0</v>
      </c>
      <c r="D378" s="57" t="s">
        <v>179</v>
      </c>
      <c r="E378" s="57">
        <v>0.0</v>
      </c>
      <c r="F378" s="57">
        <v>0.0946</v>
      </c>
      <c r="G378" s="57">
        <v>0.036</v>
      </c>
    </row>
    <row r="379">
      <c r="A379" s="70">
        <v>44662.0</v>
      </c>
      <c r="B379" s="57">
        <v>2092.0</v>
      </c>
      <c r="C379" s="57">
        <v>1.0</v>
      </c>
      <c r="D379" s="57" t="s">
        <v>191</v>
      </c>
      <c r="E379" s="57">
        <v>1.0</v>
      </c>
      <c r="F379" s="57">
        <v>3.8794</v>
      </c>
      <c r="G379" s="57">
        <v>2.108</v>
      </c>
    </row>
    <row r="380">
      <c r="A380" s="70">
        <v>44662.0</v>
      </c>
      <c r="B380" s="57">
        <v>2088.0</v>
      </c>
      <c r="C380" s="57">
        <v>1.0</v>
      </c>
      <c r="D380" s="57" t="s">
        <v>191</v>
      </c>
      <c r="E380" s="57">
        <v>0.0</v>
      </c>
      <c r="F380" s="57">
        <v>0.3283</v>
      </c>
      <c r="G380" s="57">
        <v>0.154</v>
      </c>
    </row>
    <row r="381">
      <c r="A381" s="70">
        <v>44662.0</v>
      </c>
      <c r="B381" s="57">
        <v>2090.0</v>
      </c>
      <c r="C381" s="57">
        <v>1.0</v>
      </c>
      <c r="D381" s="57" t="s">
        <v>179</v>
      </c>
      <c r="E381" s="57">
        <v>0.0</v>
      </c>
      <c r="F381" s="57">
        <v>0.1856</v>
      </c>
      <c r="G381" s="57">
        <v>0.078</v>
      </c>
    </row>
    <row r="382">
      <c r="A382" s="70">
        <v>44662.0</v>
      </c>
      <c r="B382" s="57">
        <v>2085.0</v>
      </c>
      <c r="C382" s="57">
        <v>1.0</v>
      </c>
      <c r="D382" s="57" t="s">
        <v>179</v>
      </c>
      <c r="E382" s="57">
        <v>1.0</v>
      </c>
      <c r="F382" s="57">
        <v>0.6453</v>
      </c>
      <c r="G382" s="57">
        <v>0.321</v>
      </c>
    </row>
    <row r="383">
      <c r="A383" s="70">
        <v>44662.0</v>
      </c>
      <c r="B383" s="57">
        <v>2090.0</v>
      </c>
      <c r="C383" s="57">
        <v>1.0</v>
      </c>
      <c r="D383" s="57" t="s">
        <v>179</v>
      </c>
      <c r="E383" s="57">
        <v>1.0</v>
      </c>
      <c r="F383" s="57">
        <v>0.3071</v>
      </c>
      <c r="G383" s="57">
        <v>0.143</v>
      </c>
    </row>
    <row r="384">
      <c r="A384" s="70">
        <v>44662.0</v>
      </c>
      <c r="B384" s="57">
        <v>2087.0</v>
      </c>
      <c r="C384" s="57">
        <v>1.0</v>
      </c>
      <c r="D384" s="57" t="s">
        <v>191</v>
      </c>
      <c r="E384" s="57">
        <v>0.0</v>
      </c>
      <c r="F384" s="57">
        <v>1.0511</v>
      </c>
      <c r="G384" s="57">
        <v>0.463</v>
      </c>
    </row>
    <row r="385">
      <c r="A385" s="70">
        <v>44662.0</v>
      </c>
      <c r="B385" s="57">
        <v>2093.0</v>
      </c>
      <c r="C385" s="57">
        <v>1.0</v>
      </c>
      <c r="D385" s="57" t="s">
        <v>191</v>
      </c>
      <c r="E385" s="57">
        <v>1.0</v>
      </c>
      <c r="F385" s="57">
        <v>1.5895</v>
      </c>
      <c r="G385" s="57">
        <v>0.979</v>
      </c>
    </row>
    <row r="386">
      <c r="A386" s="70">
        <v>44662.0</v>
      </c>
      <c r="B386" s="57">
        <v>2089.0</v>
      </c>
      <c r="C386" s="57">
        <v>1.0</v>
      </c>
      <c r="D386" s="57" t="s">
        <v>191</v>
      </c>
      <c r="E386" s="57">
        <v>0.0</v>
      </c>
      <c r="F386" s="57">
        <v>1.2576</v>
      </c>
      <c r="G386" s="57">
        <v>0.519</v>
      </c>
    </row>
    <row r="387">
      <c r="A387" s="70">
        <v>44662.0</v>
      </c>
      <c r="B387" s="57">
        <v>2087.0</v>
      </c>
      <c r="C387" s="57">
        <v>1.0</v>
      </c>
      <c r="D387" s="57" t="s">
        <v>179</v>
      </c>
      <c r="E387" s="57">
        <v>0.0</v>
      </c>
      <c r="F387" s="57">
        <v>0.1963</v>
      </c>
      <c r="G387" s="57">
        <v>0.077</v>
      </c>
    </row>
    <row r="388">
      <c r="A388" s="70">
        <v>44662.0</v>
      </c>
      <c r="B388" s="57">
        <v>2085.0</v>
      </c>
      <c r="C388" s="57">
        <v>1.0</v>
      </c>
      <c r="D388" s="57" t="s">
        <v>179</v>
      </c>
      <c r="E388" s="57">
        <v>0.0</v>
      </c>
      <c r="F388" s="57">
        <v>0.2913</v>
      </c>
      <c r="G388" s="57">
        <v>0.123</v>
      </c>
    </row>
    <row r="389">
      <c r="A389" s="70">
        <v>44662.0</v>
      </c>
      <c r="B389" s="57">
        <v>2088.0</v>
      </c>
      <c r="C389" s="57">
        <v>2.0</v>
      </c>
      <c r="D389" s="57" t="s">
        <v>191</v>
      </c>
      <c r="E389" s="57">
        <v>0.0</v>
      </c>
      <c r="F389" s="57">
        <v>0.6404</v>
      </c>
      <c r="G389" s="57">
        <v>0.3</v>
      </c>
    </row>
    <row r="390">
      <c r="A390" s="70">
        <v>44662.0</v>
      </c>
      <c r="B390" s="57">
        <v>2085.0</v>
      </c>
      <c r="C390" s="57">
        <v>1.0</v>
      </c>
      <c r="D390" s="57" t="s">
        <v>191</v>
      </c>
      <c r="E390" s="57">
        <v>0.0</v>
      </c>
      <c r="F390" s="57">
        <v>1.2853</v>
      </c>
      <c r="G390" s="57">
        <v>0.577</v>
      </c>
    </row>
    <row r="391">
      <c r="A391" s="70">
        <v>44662.0</v>
      </c>
      <c r="B391" s="57">
        <v>2089.0</v>
      </c>
      <c r="C391" s="57">
        <v>1.0</v>
      </c>
      <c r="D391" s="57" t="s">
        <v>179</v>
      </c>
      <c r="E391" s="57">
        <v>1.0</v>
      </c>
      <c r="F391" s="57">
        <v>0.0301</v>
      </c>
      <c r="G391" s="57">
        <v>0.015</v>
      </c>
    </row>
    <row r="392">
      <c r="A392" s="70">
        <v>44655.0</v>
      </c>
      <c r="B392" s="57">
        <v>2383.0</v>
      </c>
      <c r="C392" s="57">
        <v>1.0</v>
      </c>
      <c r="D392" s="57" t="s">
        <v>191</v>
      </c>
      <c r="E392" s="57">
        <v>0.0</v>
      </c>
      <c r="F392" s="57">
        <v>0.982</v>
      </c>
      <c r="G392" s="57">
        <v>0.491</v>
      </c>
    </row>
    <row r="393">
      <c r="A393" s="70">
        <v>44662.0</v>
      </c>
      <c r="B393" s="57">
        <v>2086.0</v>
      </c>
      <c r="C393" s="57">
        <v>1.0</v>
      </c>
      <c r="D393" s="57" t="s">
        <v>179</v>
      </c>
      <c r="E393" s="57">
        <v>1.0</v>
      </c>
      <c r="F393" s="57">
        <v>0.1172</v>
      </c>
      <c r="G393" s="57">
        <v>0.054</v>
      </c>
    </row>
    <row r="394">
      <c r="A394" s="70">
        <v>44662.0</v>
      </c>
      <c r="B394" s="57">
        <v>2086.0</v>
      </c>
      <c r="C394" s="57">
        <v>1.0</v>
      </c>
      <c r="D394" s="57" t="s">
        <v>179</v>
      </c>
      <c r="E394" s="57">
        <v>0.0</v>
      </c>
      <c r="F394" s="57">
        <v>0.1356</v>
      </c>
      <c r="G394" s="57">
        <v>0.0565</v>
      </c>
    </row>
    <row r="395">
      <c r="A395" s="70">
        <v>44662.0</v>
      </c>
      <c r="B395" s="57">
        <v>2086.0</v>
      </c>
      <c r="C395" s="57">
        <v>2.0</v>
      </c>
      <c r="D395" s="57" t="s">
        <v>179</v>
      </c>
      <c r="E395" s="57">
        <v>0.0</v>
      </c>
      <c r="F395" s="57">
        <v>0.2299</v>
      </c>
      <c r="G395" s="57">
        <v>0.0865</v>
      </c>
    </row>
    <row r="396">
      <c r="A396" s="70">
        <v>44662.0</v>
      </c>
      <c r="B396" s="57">
        <v>2091.0</v>
      </c>
      <c r="C396" s="57">
        <v>1.0</v>
      </c>
      <c r="D396" s="57" t="s">
        <v>179</v>
      </c>
      <c r="E396" s="57">
        <v>0.0</v>
      </c>
      <c r="F396" s="57">
        <v>0.0623</v>
      </c>
      <c r="G396" s="57">
        <v>0.0214</v>
      </c>
    </row>
    <row r="397">
      <c r="A397" s="70">
        <v>44662.0</v>
      </c>
      <c r="B397" s="57">
        <v>2090.0</v>
      </c>
      <c r="C397" s="57">
        <v>1.0</v>
      </c>
      <c r="D397" s="57" t="s">
        <v>191</v>
      </c>
      <c r="E397" s="57">
        <v>0.0</v>
      </c>
      <c r="F397" s="57">
        <v>1.7516</v>
      </c>
      <c r="G397" s="57">
        <v>0.8078</v>
      </c>
    </row>
    <row r="398">
      <c r="A398" s="70">
        <v>44662.0</v>
      </c>
      <c r="B398" s="57">
        <v>2085.0</v>
      </c>
      <c r="C398" s="57">
        <v>2.0</v>
      </c>
      <c r="D398" s="57" t="s">
        <v>179</v>
      </c>
      <c r="E398" s="57">
        <v>0.0</v>
      </c>
      <c r="F398" s="57">
        <v>0.3259</v>
      </c>
      <c r="G398" s="57">
        <v>0.1328</v>
      </c>
    </row>
    <row r="399">
      <c r="A399" s="70">
        <v>44662.0</v>
      </c>
      <c r="B399" s="57">
        <v>2091.0</v>
      </c>
      <c r="C399" s="57">
        <v>1.0</v>
      </c>
      <c r="D399" s="57" t="s">
        <v>191</v>
      </c>
      <c r="E399" s="57">
        <v>1.0</v>
      </c>
      <c r="F399" s="57">
        <v>2.8019</v>
      </c>
      <c r="G399" s="57">
        <v>1.6554</v>
      </c>
    </row>
    <row r="400">
      <c r="A400" s="70">
        <v>44662.0</v>
      </c>
      <c r="B400" s="57">
        <v>2085.0</v>
      </c>
      <c r="C400" s="57">
        <v>2.0</v>
      </c>
      <c r="D400" s="57" t="s">
        <v>179</v>
      </c>
      <c r="E400" s="57">
        <v>1.0</v>
      </c>
      <c r="F400" s="57">
        <v>0.2936</v>
      </c>
      <c r="G400" s="57">
        <v>0.1338</v>
      </c>
    </row>
    <row r="401">
      <c r="A401" s="70">
        <v>44662.0</v>
      </c>
      <c r="B401" s="57">
        <v>2088.0</v>
      </c>
      <c r="C401" s="57">
        <v>2.0</v>
      </c>
      <c r="D401" s="57" t="s">
        <v>179</v>
      </c>
      <c r="E401" s="57">
        <v>1.0</v>
      </c>
      <c r="F401" s="57">
        <v>0.1795</v>
      </c>
      <c r="G401" s="57">
        <v>0.0867</v>
      </c>
    </row>
    <row r="402">
      <c r="A402" s="70">
        <v>44662.0</v>
      </c>
      <c r="B402" s="57">
        <v>2091.0</v>
      </c>
      <c r="C402" s="57">
        <v>2.0</v>
      </c>
      <c r="D402" s="57" t="s">
        <v>179</v>
      </c>
      <c r="E402" s="57">
        <v>1.0</v>
      </c>
      <c r="F402" s="57">
        <v>0.4009</v>
      </c>
      <c r="G402" s="57">
        <v>0.2138</v>
      </c>
    </row>
    <row r="403">
      <c r="A403" s="70">
        <v>44662.0</v>
      </c>
      <c r="B403" s="57">
        <v>2092.0</v>
      </c>
      <c r="C403" s="57">
        <v>2.0</v>
      </c>
      <c r="D403" s="57" t="s">
        <v>179</v>
      </c>
      <c r="E403" s="57">
        <v>0.0</v>
      </c>
      <c r="F403" s="57">
        <v>0.0816</v>
      </c>
      <c r="G403" s="57">
        <v>0.0283</v>
      </c>
    </row>
    <row r="404">
      <c r="A404" s="70">
        <v>44662.0</v>
      </c>
      <c r="B404" s="57">
        <v>2089.0</v>
      </c>
      <c r="C404" s="57">
        <v>2.0</v>
      </c>
      <c r="D404" s="57" t="s">
        <v>179</v>
      </c>
      <c r="E404" s="57">
        <v>0.0</v>
      </c>
      <c r="F404" s="57">
        <v>0.0426</v>
      </c>
      <c r="G404" s="57">
        <v>0.0133</v>
      </c>
    </row>
    <row r="405">
      <c r="A405" s="70">
        <v>44662.0</v>
      </c>
      <c r="B405" s="57">
        <v>2089.0</v>
      </c>
      <c r="C405" s="57">
        <v>2.0</v>
      </c>
      <c r="D405" s="57" t="s">
        <v>179</v>
      </c>
      <c r="E405" s="57">
        <v>0.0</v>
      </c>
      <c r="F405" s="57">
        <v>0.1051</v>
      </c>
      <c r="G405" s="57">
        <v>0.0131</v>
      </c>
    </row>
    <row r="406">
      <c r="A406" s="70">
        <v>44662.0</v>
      </c>
      <c r="B406" s="57">
        <v>2088.0</v>
      </c>
      <c r="C406" s="57">
        <v>1.0</v>
      </c>
      <c r="D406" s="57" t="s">
        <v>179</v>
      </c>
      <c r="E406" s="57">
        <v>0.0</v>
      </c>
      <c r="F406" s="57">
        <v>0.123</v>
      </c>
      <c r="G406" s="57">
        <v>0.0487</v>
      </c>
    </row>
    <row r="407">
      <c r="A407" s="70">
        <v>44662.0</v>
      </c>
      <c r="B407" s="57">
        <v>2093.0</v>
      </c>
      <c r="C407" s="57">
        <v>1.0</v>
      </c>
      <c r="D407" s="57" t="s">
        <v>179</v>
      </c>
      <c r="E407" s="57">
        <v>1.0</v>
      </c>
      <c r="F407" s="57">
        <v>0.1996</v>
      </c>
      <c r="G407" s="57">
        <v>0.1062</v>
      </c>
    </row>
    <row r="408">
      <c r="A408" s="70">
        <v>44662.0</v>
      </c>
      <c r="B408" s="57">
        <v>2093.0</v>
      </c>
      <c r="C408" s="57">
        <v>2.0</v>
      </c>
      <c r="D408" s="57" t="s">
        <v>191</v>
      </c>
      <c r="E408" s="57">
        <v>0.0</v>
      </c>
      <c r="F408" s="57">
        <v>1.0849</v>
      </c>
      <c r="G408" s="57">
        <v>0.648</v>
      </c>
    </row>
    <row r="409">
      <c r="A409" s="70">
        <v>44662.0</v>
      </c>
      <c r="B409" s="57">
        <v>2085.0</v>
      </c>
      <c r="C409" s="57">
        <v>2.0</v>
      </c>
      <c r="D409" s="57" t="s">
        <v>191</v>
      </c>
      <c r="E409" s="57">
        <v>0.0</v>
      </c>
      <c r="F409" s="57">
        <v>1.1492</v>
      </c>
      <c r="G409" s="57">
        <v>0.479</v>
      </c>
    </row>
    <row r="410">
      <c r="A410" s="70">
        <v>44662.0</v>
      </c>
      <c r="B410" s="57">
        <v>2089.0</v>
      </c>
      <c r="C410" s="57">
        <v>2.0</v>
      </c>
      <c r="D410" s="57" t="s">
        <v>179</v>
      </c>
      <c r="E410" s="57">
        <v>0.0</v>
      </c>
      <c r="F410" s="57">
        <v>0.0582</v>
      </c>
      <c r="G410" s="57">
        <v>0.0194</v>
      </c>
    </row>
    <row r="411">
      <c r="A411" s="70">
        <v>44662.0</v>
      </c>
      <c r="B411" s="57">
        <v>2093.0</v>
      </c>
      <c r="C411" s="57">
        <v>2.0</v>
      </c>
      <c r="D411" s="57" t="s">
        <v>179</v>
      </c>
      <c r="E411" s="57">
        <v>0.0</v>
      </c>
      <c r="F411" s="57">
        <v>0.0953</v>
      </c>
      <c r="G411" s="57">
        <v>0.0329</v>
      </c>
    </row>
    <row r="412">
      <c r="A412" s="70">
        <v>44662.0</v>
      </c>
      <c r="B412" s="57">
        <v>2087.0</v>
      </c>
      <c r="C412" s="57">
        <v>1.0</v>
      </c>
      <c r="D412" s="57" t="s">
        <v>179</v>
      </c>
      <c r="E412" s="57">
        <v>1.0</v>
      </c>
      <c r="F412" s="57">
        <v>0.146</v>
      </c>
      <c r="G412" s="57">
        <v>0.0624</v>
      </c>
    </row>
    <row r="413">
      <c r="A413" s="70">
        <v>44662.0</v>
      </c>
      <c r="B413" s="57">
        <v>2092.0</v>
      </c>
      <c r="C413" s="57">
        <v>2.0</v>
      </c>
      <c r="D413" s="57" t="s">
        <v>179</v>
      </c>
      <c r="E413" s="57">
        <v>1.0</v>
      </c>
      <c r="F413" s="57">
        <v>0.8192</v>
      </c>
      <c r="G413" s="57">
        <v>0.424</v>
      </c>
    </row>
    <row r="414">
      <c r="A414" s="70">
        <v>44662.0</v>
      </c>
      <c r="B414" s="57">
        <v>2088.0</v>
      </c>
      <c r="C414" s="57">
        <v>1.0</v>
      </c>
      <c r="D414" s="57" t="s">
        <v>191</v>
      </c>
      <c r="E414" s="57">
        <v>0.0</v>
      </c>
      <c r="F414" s="57">
        <v>0.8273</v>
      </c>
      <c r="G414" s="57">
        <v>0.381</v>
      </c>
    </row>
    <row r="415">
      <c r="A415" s="70">
        <v>44662.0</v>
      </c>
      <c r="B415" s="57">
        <v>2093.0</v>
      </c>
      <c r="C415" s="57">
        <v>2.0</v>
      </c>
      <c r="D415" s="57" t="s">
        <v>179</v>
      </c>
      <c r="E415" s="57">
        <v>1.0</v>
      </c>
      <c r="F415" s="57">
        <v>0.1942</v>
      </c>
      <c r="G415" s="57">
        <v>0.0973</v>
      </c>
    </row>
    <row r="416">
      <c r="A416" s="70">
        <v>44662.0</v>
      </c>
      <c r="B416" s="57">
        <v>2091.0</v>
      </c>
      <c r="C416" s="57">
        <v>2.0</v>
      </c>
      <c r="D416" s="57" t="s">
        <v>179</v>
      </c>
      <c r="E416" s="57">
        <v>1.0</v>
      </c>
      <c r="F416" s="57">
        <v>0.7317</v>
      </c>
      <c r="G416" s="57">
        <v>0.415</v>
      </c>
    </row>
    <row r="417">
      <c r="A417" s="70">
        <v>44662.0</v>
      </c>
      <c r="B417" s="57">
        <v>2089.0</v>
      </c>
      <c r="C417" s="57">
        <v>2.0</v>
      </c>
      <c r="D417" s="57" t="s">
        <v>179</v>
      </c>
      <c r="E417" s="57">
        <v>1.0</v>
      </c>
      <c r="F417" s="57">
        <v>0.4995</v>
      </c>
      <c r="G417" s="57">
        <v>0.2513</v>
      </c>
    </row>
    <row r="418">
      <c r="A418" s="70">
        <v>44662.0</v>
      </c>
      <c r="B418" s="57">
        <v>2089.0</v>
      </c>
      <c r="C418" s="57">
        <v>2.0</v>
      </c>
      <c r="D418" s="57" t="s">
        <v>191</v>
      </c>
      <c r="E418" s="57">
        <v>1.0</v>
      </c>
      <c r="F418" s="57">
        <v>1.1891</v>
      </c>
      <c r="G418" s="57">
        <v>0.6065</v>
      </c>
    </row>
    <row r="419">
      <c r="A419" s="70">
        <v>44662.0</v>
      </c>
      <c r="B419" s="57">
        <v>2086.0</v>
      </c>
      <c r="C419" s="57">
        <v>2.0</v>
      </c>
      <c r="D419" s="57" t="s">
        <v>191</v>
      </c>
      <c r="E419" s="57">
        <v>0.0</v>
      </c>
      <c r="F419" s="57">
        <v>0.7003</v>
      </c>
      <c r="G419" s="57">
        <v>0.3109</v>
      </c>
    </row>
    <row r="420">
      <c r="A420" s="70">
        <v>44663.0</v>
      </c>
      <c r="B420" s="57">
        <v>2343.0</v>
      </c>
      <c r="C420" s="57">
        <v>3.0</v>
      </c>
      <c r="D420" s="57" t="s">
        <v>179</v>
      </c>
      <c r="E420" s="57">
        <v>0.0</v>
      </c>
      <c r="F420" s="57">
        <v>0.148</v>
      </c>
      <c r="G420" s="57">
        <v>0.059</v>
      </c>
    </row>
    <row r="421">
      <c r="A421" s="70">
        <v>44663.0</v>
      </c>
      <c r="B421" s="57">
        <v>2343.0</v>
      </c>
      <c r="C421" s="57">
        <v>1.0</v>
      </c>
      <c r="D421" s="57" t="s">
        <v>191</v>
      </c>
      <c r="E421" s="57">
        <v>0.0</v>
      </c>
      <c r="F421" s="57">
        <v>0.913</v>
      </c>
      <c r="G421" s="57">
        <v>0.419</v>
      </c>
    </row>
    <row r="422">
      <c r="A422" s="70">
        <v>44663.0</v>
      </c>
      <c r="B422" s="57">
        <v>2347.0</v>
      </c>
      <c r="C422" s="57">
        <v>1.0</v>
      </c>
      <c r="D422" s="57" t="s">
        <v>179</v>
      </c>
      <c r="E422" s="57">
        <v>0.0</v>
      </c>
      <c r="F422" s="57">
        <v>0.159</v>
      </c>
      <c r="G422" s="57">
        <v>0.058</v>
      </c>
    </row>
    <row r="423">
      <c r="A423" s="70">
        <v>44663.0</v>
      </c>
      <c r="B423" s="57">
        <v>2343.0</v>
      </c>
      <c r="C423" s="57">
        <v>3.0</v>
      </c>
      <c r="D423" s="57" t="s">
        <v>191</v>
      </c>
      <c r="E423" s="57">
        <v>0.0</v>
      </c>
      <c r="F423" s="57">
        <v>0.984</v>
      </c>
      <c r="G423" s="57">
        <v>0.437</v>
      </c>
    </row>
    <row r="424">
      <c r="A424" s="70">
        <v>44663.0</v>
      </c>
      <c r="B424" s="57">
        <v>2331.0</v>
      </c>
      <c r="C424" s="57">
        <v>1.0</v>
      </c>
      <c r="D424" s="57" t="s">
        <v>179</v>
      </c>
      <c r="E424" s="57">
        <v>1.0</v>
      </c>
      <c r="F424" s="57">
        <v>0.127</v>
      </c>
      <c r="G424" s="57">
        <v>0.064</v>
      </c>
    </row>
    <row r="425">
      <c r="A425" s="70">
        <v>44663.0</v>
      </c>
      <c r="B425" s="57">
        <v>2347.0</v>
      </c>
      <c r="C425" s="57">
        <v>2.0</v>
      </c>
      <c r="D425" s="57" t="s">
        <v>191</v>
      </c>
      <c r="E425" s="57">
        <v>0.0</v>
      </c>
      <c r="F425" s="57">
        <v>0.7</v>
      </c>
      <c r="G425" s="57">
        <v>0.294</v>
      </c>
    </row>
    <row r="426">
      <c r="A426" s="70">
        <v>44663.0</v>
      </c>
      <c r="B426" s="57">
        <v>2347.0</v>
      </c>
      <c r="C426" s="57">
        <v>3.0</v>
      </c>
      <c r="D426" s="57" t="s">
        <v>179</v>
      </c>
      <c r="E426" s="57">
        <v>0.0</v>
      </c>
      <c r="F426" s="57">
        <v>0.021</v>
      </c>
      <c r="G426" s="57">
        <v>0.007</v>
      </c>
    </row>
    <row r="427">
      <c r="A427" s="70">
        <v>44663.0</v>
      </c>
      <c r="B427" s="57">
        <v>2354.0</v>
      </c>
      <c r="C427" s="57">
        <v>2.0</v>
      </c>
      <c r="D427" s="57" t="s">
        <v>179</v>
      </c>
      <c r="E427" s="57">
        <v>0.0</v>
      </c>
      <c r="F427" s="57">
        <v>0.038</v>
      </c>
      <c r="G427" s="57">
        <v>0.013</v>
      </c>
    </row>
    <row r="428">
      <c r="A428" s="70">
        <v>44663.0</v>
      </c>
      <c r="B428" s="57">
        <v>2354.0</v>
      </c>
      <c r="C428" s="57">
        <v>3.0</v>
      </c>
      <c r="D428" s="57" t="s">
        <v>179</v>
      </c>
      <c r="E428" s="57">
        <v>0.0</v>
      </c>
      <c r="F428" s="57">
        <v>0.029</v>
      </c>
      <c r="G428" s="57">
        <v>0.01</v>
      </c>
    </row>
    <row r="429">
      <c r="A429" s="70">
        <v>44663.0</v>
      </c>
      <c r="B429" s="57">
        <v>2346.0</v>
      </c>
      <c r="C429" s="57">
        <v>2.0</v>
      </c>
      <c r="D429" s="57" t="s">
        <v>179</v>
      </c>
      <c r="E429" s="57">
        <v>0.0</v>
      </c>
      <c r="F429" s="57">
        <v>0.011</v>
      </c>
      <c r="G429" s="57">
        <v>0.004</v>
      </c>
    </row>
    <row r="430">
      <c r="A430" s="70">
        <v>44663.0</v>
      </c>
      <c r="B430" s="57">
        <v>2346.0</v>
      </c>
      <c r="C430" s="57">
        <v>3.0</v>
      </c>
      <c r="D430" s="57" t="s">
        <v>179</v>
      </c>
      <c r="E430" s="57">
        <v>0.0</v>
      </c>
      <c r="F430" s="57">
        <v>0.069</v>
      </c>
      <c r="G430" s="57">
        <v>0.025</v>
      </c>
    </row>
    <row r="431">
      <c r="A431" s="70">
        <v>44663.0</v>
      </c>
      <c r="B431" s="57">
        <v>2009.0</v>
      </c>
      <c r="C431" s="57">
        <v>3.0</v>
      </c>
      <c r="D431" s="57" t="s">
        <v>179</v>
      </c>
      <c r="E431" s="57">
        <v>0.0</v>
      </c>
      <c r="F431" s="57">
        <v>0.325</v>
      </c>
      <c r="G431" s="57">
        <v>0.127</v>
      </c>
    </row>
    <row r="432">
      <c r="A432" s="70">
        <v>44663.0</v>
      </c>
      <c r="B432" s="57">
        <v>2347.0</v>
      </c>
      <c r="C432" s="57">
        <v>3.0</v>
      </c>
      <c r="D432" s="57" t="s">
        <v>191</v>
      </c>
      <c r="E432" s="57">
        <v>0.0</v>
      </c>
      <c r="F432" s="57">
        <v>0.347</v>
      </c>
      <c r="G432" s="57">
        <v>0.151</v>
      </c>
    </row>
    <row r="433">
      <c r="A433" s="70">
        <v>44663.0</v>
      </c>
      <c r="B433" s="57">
        <v>2331.0</v>
      </c>
      <c r="C433" s="57">
        <v>2.0</v>
      </c>
      <c r="D433" s="57" t="s">
        <v>179</v>
      </c>
      <c r="E433" s="57">
        <v>1.0</v>
      </c>
      <c r="F433" s="57">
        <v>0.359</v>
      </c>
      <c r="G433" s="57">
        <v>0.18</v>
      </c>
    </row>
    <row r="434">
      <c r="A434" s="70">
        <v>44663.0</v>
      </c>
      <c r="B434" s="57">
        <v>2348.0</v>
      </c>
      <c r="C434" s="57">
        <v>3.0</v>
      </c>
      <c r="D434" s="57" t="s">
        <v>179</v>
      </c>
      <c r="E434" s="57">
        <v>0.0</v>
      </c>
      <c r="F434" s="57">
        <v>0.036</v>
      </c>
      <c r="G434" s="57">
        <v>0.013</v>
      </c>
    </row>
    <row r="435">
      <c r="A435" s="70">
        <v>44663.0</v>
      </c>
      <c r="B435" s="57">
        <v>2354.0</v>
      </c>
      <c r="C435" s="57">
        <v>1.0</v>
      </c>
      <c r="D435" s="57" t="s">
        <v>191</v>
      </c>
      <c r="E435" s="57">
        <v>0.0</v>
      </c>
      <c r="F435" s="57">
        <v>0.83</v>
      </c>
      <c r="G435" s="57">
        <v>0.347</v>
      </c>
    </row>
    <row r="436">
      <c r="A436" s="70">
        <v>44663.0</v>
      </c>
      <c r="B436" s="57">
        <v>2354.0</v>
      </c>
      <c r="C436" s="57">
        <v>3.0</v>
      </c>
      <c r="D436" s="57" t="s">
        <v>179</v>
      </c>
      <c r="E436" s="57">
        <v>1.0</v>
      </c>
      <c r="F436" s="57">
        <v>0.277</v>
      </c>
      <c r="G436" s="57">
        <v>0.122</v>
      </c>
    </row>
    <row r="437">
      <c r="A437" s="70">
        <v>44663.0</v>
      </c>
      <c r="B437" s="57">
        <v>2354.0</v>
      </c>
      <c r="C437" s="57">
        <v>1.0</v>
      </c>
      <c r="D437" s="57" t="s">
        <v>179</v>
      </c>
      <c r="E437" s="57">
        <v>0.0</v>
      </c>
      <c r="F437" s="57">
        <v>0.038</v>
      </c>
      <c r="G437" s="57">
        <v>0.012</v>
      </c>
    </row>
    <row r="438">
      <c r="A438" s="70">
        <v>44663.0</v>
      </c>
      <c r="B438" s="57">
        <v>2354.0</v>
      </c>
      <c r="C438" s="57">
        <v>3.0</v>
      </c>
      <c r="D438" s="57" t="s">
        <v>191</v>
      </c>
      <c r="E438" s="57">
        <v>0.0</v>
      </c>
      <c r="F438" s="57">
        <v>0.496</v>
      </c>
      <c r="G438" s="57">
        <v>0.212</v>
      </c>
    </row>
    <row r="439">
      <c r="A439" s="70">
        <v>44663.0</v>
      </c>
      <c r="B439" s="57">
        <v>2352.0</v>
      </c>
      <c r="C439" s="57">
        <v>1.0</v>
      </c>
      <c r="D439" s="57" t="s">
        <v>179</v>
      </c>
      <c r="E439" s="57">
        <v>1.0</v>
      </c>
      <c r="F439" s="57">
        <v>0.094</v>
      </c>
      <c r="G439" s="57">
        <v>0.047</v>
      </c>
    </row>
    <row r="440">
      <c r="A440" s="70">
        <v>44663.0</v>
      </c>
      <c r="B440" s="57">
        <v>2348.0</v>
      </c>
      <c r="C440" s="57">
        <v>1.0</v>
      </c>
      <c r="D440" s="57" t="s">
        <v>191</v>
      </c>
      <c r="E440" s="57">
        <v>0.0</v>
      </c>
      <c r="F440" s="57">
        <v>0.915</v>
      </c>
      <c r="G440" s="57">
        <v>0.371</v>
      </c>
    </row>
    <row r="441">
      <c r="A441" s="70">
        <v>44663.0</v>
      </c>
      <c r="B441" s="57">
        <v>2352.0</v>
      </c>
      <c r="C441" s="57">
        <v>2.0</v>
      </c>
      <c r="D441" s="57" t="s">
        <v>179</v>
      </c>
      <c r="E441" s="57">
        <v>1.0</v>
      </c>
      <c r="F441" s="57">
        <v>0.194</v>
      </c>
      <c r="G441" s="57">
        <v>0.099</v>
      </c>
    </row>
    <row r="442">
      <c r="A442" s="70">
        <v>44663.0</v>
      </c>
      <c r="B442" s="57">
        <v>2371.0</v>
      </c>
      <c r="C442" s="57">
        <v>1.0</v>
      </c>
      <c r="D442" s="57" t="s">
        <v>179</v>
      </c>
      <c r="E442" s="57">
        <v>0.0</v>
      </c>
      <c r="F442" s="57">
        <v>0.124</v>
      </c>
      <c r="G442" s="57">
        <v>0.048</v>
      </c>
    </row>
    <row r="443">
      <c r="A443" s="70">
        <v>44663.0</v>
      </c>
      <c r="B443" s="57">
        <v>2343.0</v>
      </c>
      <c r="C443" s="57">
        <v>1.0</v>
      </c>
      <c r="D443" s="57" t="s">
        <v>179</v>
      </c>
      <c r="E443" s="57">
        <v>0.0</v>
      </c>
      <c r="F443" s="57">
        <v>0.125</v>
      </c>
      <c r="G443" s="57">
        <v>0.047</v>
      </c>
    </row>
    <row r="444">
      <c r="A444" s="70">
        <v>44663.0</v>
      </c>
      <c r="B444" s="57">
        <v>2009.0</v>
      </c>
      <c r="C444" s="57">
        <v>1.0</v>
      </c>
      <c r="D444" s="57" t="s">
        <v>191</v>
      </c>
      <c r="E444" s="57">
        <v>0.0</v>
      </c>
      <c r="F444" s="57">
        <v>2.33</v>
      </c>
      <c r="G444" s="57">
        <v>1.015</v>
      </c>
    </row>
    <row r="445">
      <c r="A445" s="70">
        <v>44663.0</v>
      </c>
      <c r="B445" s="57">
        <v>2348.0</v>
      </c>
      <c r="C445" s="57">
        <v>3.0</v>
      </c>
      <c r="D445" s="57" t="s">
        <v>191</v>
      </c>
      <c r="E445" s="57">
        <v>0.0</v>
      </c>
      <c r="F445" s="57">
        <v>0.537</v>
      </c>
      <c r="G445" s="57">
        <v>0.214</v>
      </c>
    </row>
    <row r="446">
      <c r="A446" s="70">
        <v>44663.0</v>
      </c>
      <c r="B446" s="57">
        <v>2354.0</v>
      </c>
      <c r="C446" s="57">
        <v>1.0</v>
      </c>
      <c r="D446" s="57" t="s">
        <v>191</v>
      </c>
      <c r="E446" s="57">
        <v>1.0</v>
      </c>
      <c r="F446" s="57">
        <v>1.115</v>
      </c>
      <c r="G446" s="57">
        <v>0.638</v>
      </c>
    </row>
    <row r="447">
      <c r="A447" s="70">
        <v>44663.0</v>
      </c>
      <c r="B447" s="57">
        <v>2331.0</v>
      </c>
      <c r="C447" s="57">
        <v>1.0</v>
      </c>
      <c r="D447" s="57" t="s">
        <v>179</v>
      </c>
      <c r="E447" s="57">
        <v>1.0</v>
      </c>
      <c r="F447" s="57">
        <v>0.287</v>
      </c>
      <c r="G447" s="57">
        <v>0.145</v>
      </c>
    </row>
    <row r="448">
      <c r="A448" s="70">
        <v>44663.0</v>
      </c>
      <c r="B448" s="57">
        <v>2354.0</v>
      </c>
      <c r="C448" s="57">
        <v>1.0</v>
      </c>
      <c r="D448" s="57" t="s">
        <v>179</v>
      </c>
      <c r="E448" s="57">
        <v>1.0</v>
      </c>
      <c r="F448" s="57">
        <v>0.269</v>
      </c>
      <c r="G448" s="57">
        <v>0.115</v>
      </c>
    </row>
    <row r="449">
      <c r="A449" s="70">
        <v>44663.0</v>
      </c>
      <c r="B449" s="57">
        <v>2347.0</v>
      </c>
      <c r="C449" s="57">
        <v>1.0</v>
      </c>
      <c r="D449" s="57" t="s">
        <v>191</v>
      </c>
      <c r="E449" s="57">
        <v>0.0</v>
      </c>
      <c r="F449" s="57">
        <v>1.191</v>
      </c>
      <c r="G449" s="57">
        <v>0.506</v>
      </c>
    </row>
    <row r="450">
      <c r="A450" s="70">
        <v>44663.0</v>
      </c>
      <c r="B450" s="57">
        <v>2348.0</v>
      </c>
      <c r="C450" s="57">
        <v>1.0</v>
      </c>
      <c r="D450" s="57" t="s">
        <v>179</v>
      </c>
      <c r="E450" s="57">
        <v>0.0</v>
      </c>
      <c r="F450" s="57">
        <v>0.08</v>
      </c>
      <c r="G450" s="57">
        <v>0.027</v>
      </c>
    </row>
    <row r="451">
      <c r="A451" s="70">
        <v>44663.0</v>
      </c>
      <c r="B451" s="57">
        <v>2349.0</v>
      </c>
      <c r="C451" s="57">
        <v>3.0</v>
      </c>
      <c r="D451" s="57" t="s">
        <v>191</v>
      </c>
      <c r="E451" s="57">
        <v>0.0</v>
      </c>
      <c r="F451" s="57">
        <v>0.453</v>
      </c>
      <c r="G451" s="57">
        <v>0.174</v>
      </c>
    </row>
    <row r="452">
      <c r="A452" s="70">
        <v>44663.0</v>
      </c>
      <c r="B452" s="57">
        <v>2349.0</v>
      </c>
      <c r="C452" s="57">
        <v>2.0</v>
      </c>
      <c r="D452" s="57" t="s">
        <v>179</v>
      </c>
      <c r="E452" s="57">
        <v>0.0</v>
      </c>
      <c r="F452" s="57">
        <v>0.082</v>
      </c>
      <c r="G452" s="57">
        <v>0.031</v>
      </c>
    </row>
    <row r="453">
      <c r="A453" s="70">
        <v>44663.0</v>
      </c>
      <c r="B453" s="57">
        <v>2371.0</v>
      </c>
      <c r="C453" s="57">
        <v>1.0</v>
      </c>
      <c r="D453" s="57" t="s">
        <v>191</v>
      </c>
      <c r="E453" s="57">
        <v>0.0</v>
      </c>
      <c r="F453" s="57">
        <v>1.562</v>
      </c>
      <c r="G453" s="57">
        <v>0.63</v>
      </c>
    </row>
    <row r="454">
      <c r="A454" s="70">
        <v>44663.0</v>
      </c>
      <c r="B454" s="57">
        <v>2371.0</v>
      </c>
      <c r="C454" s="57">
        <v>2.0</v>
      </c>
      <c r="D454" s="57" t="s">
        <v>191</v>
      </c>
      <c r="E454" s="57">
        <v>0.0</v>
      </c>
      <c r="F454" s="57">
        <v>0.688</v>
      </c>
      <c r="G454" s="57">
        <v>0.274</v>
      </c>
    </row>
    <row r="455">
      <c r="A455" s="70">
        <v>44663.0</v>
      </c>
      <c r="B455" s="57">
        <v>2370.0</v>
      </c>
      <c r="C455" s="57">
        <v>1.0</v>
      </c>
      <c r="D455" s="57" t="s">
        <v>191</v>
      </c>
      <c r="E455" s="57">
        <v>0.0</v>
      </c>
      <c r="F455" s="57">
        <v>0.764</v>
      </c>
      <c r="G455" s="57">
        <v>0.311</v>
      </c>
    </row>
    <row r="456">
      <c r="A456" s="70">
        <v>44663.0</v>
      </c>
      <c r="B456" s="57">
        <v>2349.0</v>
      </c>
      <c r="C456" s="57">
        <v>1.0</v>
      </c>
      <c r="D456" s="57" t="s">
        <v>179</v>
      </c>
      <c r="E456" s="57">
        <v>0.0</v>
      </c>
      <c r="F456" s="57">
        <v>0.032</v>
      </c>
      <c r="G456" s="57">
        <v>0.011</v>
      </c>
    </row>
    <row r="457">
      <c r="A457" s="70">
        <v>44663.0</v>
      </c>
      <c r="B457" s="57">
        <v>2009.0</v>
      </c>
      <c r="C457" s="57">
        <v>3.0</v>
      </c>
      <c r="D457" s="57" t="s">
        <v>191</v>
      </c>
      <c r="E457" s="57">
        <v>0.0</v>
      </c>
      <c r="F457" s="57">
        <v>2.749</v>
      </c>
      <c r="G457" s="57">
        <v>1.176</v>
      </c>
    </row>
    <row r="458">
      <c r="A458" s="70">
        <v>44663.0</v>
      </c>
      <c r="B458" s="57">
        <v>2349.0</v>
      </c>
      <c r="C458" s="57">
        <v>1.0</v>
      </c>
      <c r="D458" s="57" t="s">
        <v>191</v>
      </c>
      <c r="E458" s="57">
        <v>0.0</v>
      </c>
      <c r="F458" s="57">
        <v>0.678</v>
      </c>
      <c r="G458" s="57">
        <v>0.255</v>
      </c>
    </row>
    <row r="459">
      <c r="A459" s="70">
        <v>44663.0</v>
      </c>
      <c r="B459" s="57">
        <v>2372.0</v>
      </c>
      <c r="C459" s="57">
        <v>1.0</v>
      </c>
      <c r="D459" s="57" t="s">
        <v>191</v>
      </c>
      <c r="E459" s="57">
        <v>0.0</v>
      </c>
      <c r="F459" s="57">
        <v>1.549</v>
      </c>
      <c r="G459" s="57">
        <v>0.642</v>
      </c>
    </row>
    <row r="460">
      <c r="A460" s="70">
        <v>44663.0</v>
      </c>
      <c r="B460" s="57">
        <v>2331.0</v>
      </c>
      <c r="C460" s="57">
        <v>1.0</v>
      </c>
      <c r="D460" s="57" t="s">
        <v>191</v>
      </c>
      <c r="E460" s="57">
        <v>1.0</v>
      </c>
      <c r="F460" s="57">
        <v>0.471</v>
      </c>
      <c r="G460" s="57">
        <v>0.272</v>
      </c>
    </row>
    <row r="461">
      <c r="A461" s="70">
        <v>44663.0</v>
      </c>
      <c r="B461" s="57">
        <v>2331.0</v>
      </c>
      <c r="C461" s="57">
        <v>1.0</v>
      </c>
      <c r="D461" s="57" t="s">
        <v>179</v>
      </c>
      <c r="E461" s="57">
        <v>0.0</v>
      </c>
      <c r="F461" s="57">
        <v>0.034</v>
      </c>
      <c r="G461" s="57">
        <v>0.011</v>
      </c>
    </row>
    <row r="462">
      <c r="A462" s="70">
        <v>44663.0</v>
      </c>
      <c r="B462" s="57">
        <v>2372.0</v>
      </c>
      <c r="C462" s="57">
        <v>2.0</v>
      </c>
      <c r="D462" s="57" t="s">
        <v>191</v>
      </c>
      <c r="E462" s="57">
        <v>0.0</v>
      </c>
      <c r="F462" s="57">
        <v>1.03</v>
      </c>
      <c r="G462" s="57">
        <v>0.423</v>
      </c>
    </row>
    <row r="463">
      <c r="A463" s="70">
        <v>44663.0</v>
      </c>
      <c r="B463" s="57">
        <v>2009.0</v>
      </c>
      <c r="C463" s="57">
        <v>2.0</v>
      </c>
      <c r="D463" s="57" t="s">
        <v>191</v>
      </c>
      <c r="E463" s="57">
        <v>0.0</v>
      </c>
      <c r="F463" s="57">
        <v>0.602</v>
      </c>
      <c r="G463" s="57">
        <v>0.254</v>
      </c>
    </row>
    <row r="464">
      <c r="A464" s="70">
        <v>44663.0</v>
      </c>
      <c r="B464" s="57">
        <v>2009.0</v>
      </c>
      <c r="C464" s="57">
        <v>1.0</v>
      </c>
      <c r="D464" s="57" t="s">
        <v>179</v>
      </c>
      <c r="E464" s="57">
        <v>0.0</v>
      </c>
      <c r="F464" s="57">
        <v>0.259</v>
      </c>
      <c r="G464" s="57">
        <v>0.103</v>
      </c>
    </row>
    <row r="465">
      <c r="A465" s="70">
        <v>44663.0</v>
      </c>
      <c r="B465" s="57">
        <v>2331.0</v>
      </c>
      <c r="C465" s="57">
        <v>1.0</v>
      </c>
      <c r="D465" s="57" t="s">
        <v>191</v>
      </c>
      <c r="E465" s="57">
        <v>1.0</v>
      </c>
      <c r="F465" s="57">
        <v>0.937</v>
      </c>
      <c r="G465" s="57">
        <v>0.528</v>
      </c>
    </row>
    <row r="466">
      <c r="A466" s="70">
        <v>44663.0</v>
      </c>
      <c r="B466" s="57">
        <v>2343.0</v>
      </c>
      <c r="C466" s="57">
        <v>2.0</v>
      </c>
      <c r="D466" s="57" t="s">
        <v>179</v>
      </c>
      <c r="E466" s="57">
        <v>0.0</v>
      </c>
      <c r="F466" s="57">
        <v>0.145</v>
      </c>
      <c r="G466" s="57">
        <v>0.055</v>
      </c>
    </row>
    <row r="467">
      <c r="A467" s="70">
        <v>44663.0</v>
      </c>
      <c r="B467" s="57">
        <v>2331.0</v>
      </c>
      <c r="C467" s="57">
        <v>2.0</v>
      </c>
      <c r="D467" s="57" t="s">
        <v>191</v>
      </c>
      <c r="E467" s="57">
        <v>1.0</v>
      </c>
      <c r="F467" s="57">
        <v>0.942</v>
      </c>
      <c r="G467" s="57">
        <v>0.548</v>
      </c>
    </row>
    <row r="468">
      <c r="A468" s="70">
        <v>44663.0</v>
      </c>
      <c r="B468" s="57">
        <v>2354.0</v>
      </c>
      <c r="C468" s="57">
        <v>3.0</v>
      </c>
      <c r="D468" s="57" t="s">
        <v>191</v>
      </c>
      <c r="E468" s="57">
        <v>1.0</v>
      </c>
      <c r="F468" s="57">
        <v>0.282</v>
      </c>
      <c r="G468" s="57">
        <v>0.16</v>
      </c>
    </row>
    <row r="469">
      <c r="A469" s="70">
        <v>44663.0</v>
      </c>
      <c r="B469" s="57">
        <v>2346.0</v>
      </c>
      <c r="C469" s="57">
        <v>1.0</v>
      </c>
      <c r="D469" s="57" t="s">
        <v>191</v>
      </c>
      <c r="E469" s="57">
        <v>1.0</v>
      </c>
      <c r="F469" s="57">
        <v>0.313</v>
      </c>
      <c r="G469" s="57">
        <v>0.155</v>
      </c>
    </row>
    <row r="470">
      <c r="A470" s="70">
        <v>44663.0</v>
      </c>
      <c r="B470" s="57">
        <v>2347.0</v>
      </c>
      <c r="C470" s="57">
        <v>2.0</v>
      </c>
      <c r="D470" s="57" t="s">
        <v>179</v>
      </c>
      <c r="E470" s="57">
        <v>0.0</v>
      </c>
      <c r="F470" s="57">
        <v>0.049</v>
      </c>
      <c r="G470" s="57">
        <v>0.021</v>
      </c>
    </row>
    <row r="471">
      <c r="A471" s="70">
        <v>44663.0</v>
      </c>
      <c r="B471" s="57">
        <v>2346.0</v>
      </c>
      <c r="C471" s="57">
        <v>2.0</v>
      </c>
      <c r="D471" s="57" t="s">
        <v>191</v>
      </c>
      <c r="E471" s="57">
        <v>0.0</v>
      </c>
      <c r="F471" s="57">
        <v>0.229</v>
      </c>
      <c r="G471" s="57">
        <v>0.097</v>
      </c>
    </row>
    <row r="472">
      <c r="A472" s="70">
        <v>44663.0</v>
      </c>
      <c r="B472" s="57">
        <v>2346.0</v>
      </c>
      <c r="C472" s="57">
        <v>1.0</v>
      </c>
      <c r="D472" s="57" t="s">
        <v>191</v>
      </c>
      <c r="E472" s="57">
        <v>0.0</v>
      </c>
      <c r="F472" s="57">
        <v>0.978</v>
      </c>
      <c r="G472" s="57">
        <v>0.43</v>
      </c>
    </row>
    <row r="473">
      <c r="A473" s="70">
        <v>44663.0</v>
      </c>
      <c r="B473" s="57">
        <v>2009.0</v>
      </c>
      <c r="C473" s="57">
        <v>2.0</v>
      </c>
      <c r="D473" s="57" t="s">
        <v>179</v>
      </c>
      <c r="E473" s="57">
        <v>0.0</v>
      </c>
      <c r="F473" s="57">
        <v>0.065</v>
      </c>
      <c r="G473" s="57">
        <v>0.023</v>
      </c>
    </row>
    <row r="474">
      <c r="A474" s="70">
        <v>44663.0</v>
      </c>
      <c r="B474" s="57">
        <v>2346.0</v>
      </c>
      <c r="C474" s="57">
        <v>1.0</v>
      </c>
      <c r="D474" s="57" t="s">
        <v>179</v>
      </c>
      <c r="E474" s="57">
        <v>1.0</v>
      </c>
      <c r="F474" s="57">
        <v>0.266</v>
      </c>
      <c r="G474" s="57">
        <v>0.11</v>
      </c>
    </row>
    <row r="475">
      <c r="A475" s="70">
        <v>44663.0</v>
      </c>
      <c r="B475" s="57">
        <v>2343.0</v>
      </c>
      <c r="C475" s="57">
        <v>2.0</v>
      </c>
      <c r="D475" s="57" t="s">
        <v>191</v>
      </c>
      <c r="E475" s="57">
        <v>0.0</v>
      </c>
      <c r="F475" s="57">
        <v>1.224</v>
      </c>
      <c r="G475" s="57">
        <v>0.551</v>
      </c>
    </row>
    <row r="476">
      <c r="A476" s="70">
        <v>44663.0</v>
      </c>
      <c r="B476" s="57">
        <v>2346.0</v>
      </c>
      <c r="C476" s="57">
        <v>3.0</v>
      </c>
      <c r="D476" s="57" t="s">
        <v>191</v>
      </c>
      <c r="E476" s="57">
        <v>0.0</v>
      </c>
      <c r="F476" s="57">
        <v>0.569</v>
      </c>
      <c r="G476" s="57">
        <v>0.249</v>
      </c>
    </row>
    <row r="477">
      <c r="A477" s="70">
        <v>44663.0</v>
      </c>
      <c r="B477" s="57">
        <v>2346.0</v>
      </c>
      <c r="C477" s="57">
        <v>1.0</v>
      </c>
      <c r="D477" s="57" t="s">
        <v>179</v>
      </c>
      <c r="E477" s="57">
        <v>0.0</v>
      </c>
      <c r="F477" s="57">
        <v>0.203</v>
      </c>
      <c r="G477" s="57">
        <v>0.077</v>
      </c>
    </row>
    <row r="478">
      <c r="A478" s="70">
        <v>44663.0</v>
      </c>
      <c r="B478" s="57">
        <v>2354.0</v>
      </c>
      <c r="C478" s="57">
        <v>2.0</v>
      </c>
      <c r="D478" s="57" t="s">
        <v>191</v>
      </c>
      <c r="E478" s="57">
        <v>0.0</v>
      </c>
      <c r="F478" s="57">
        <v>0.899</v>
      </c>
      <c r="G478" s="57">
        <v>0.387</v>
      </c>
    </row>
    <row r="479">
      <c r="A479" s="70">
        <v>44663.0</v>
      </c>
      <c r="B479" s="57">
        <v>2371.0</v>
      </c>
      <c r="C479" s="57">
        <v>2.0</v>
      </c>
      <c r="D479" s="57" t="s">
        <v>179</v>
      </c>
      <c r="E479" s="57">
        <v>0.0</v>
      </c>
      <c r="F479" s="57">
        <v>0.034</v>
      </c>
      <c r="G479" s="57">
        <v>0.013</v>
      </c>
    </row>
    <row r="480">
      <c r="A480" s="70">
        <v>44663.0</v>
      </c>
      <c r="B480" s="57">
        <v>2370.0</v>
      </c>
      <c r="C480" s="57">
        <v>1.0</v>
      </c>
      <c r="D480" s="57" t="s">
        <v>179</v>
      </c>
      <c r="E480" s="57">
        <v>0.0</v>
      </c>
      <c r="F480" s="57">
        <v>0.13</v>
      </c>
      <c r="G480" s="57">
        <v>0.045</v>
      </c>
    </row>
    <row r="481">
      <c r="A481" s="70">
        <v>44663.0</v>
      </c>
      <c r="B481" s="57">
        <v>2370.0</v>
      </c>
      <c r="C481" s="57">
        <v>2.0</v>
      </c>
      <c r="D481" s="57" t="s">
        <v>191</v>
      </c>
      <c r="E481" s="57">
        <v>0.0</v>
      </c>
      <c r="F481" s="57">
        <v>0.301</v>
      </c>
      <c r="G481" s="57">
        <v>0.119</v>
      </c>
    </row>
    <row r="482">
      <c r="A482" s="70">
        <v>44663.0</v>
      </c>
      <c r="B482" s="57">
        <v>2352.0</v>
      </c>
      <c r="C482" s="57">
        <v>1.0</v>
      </c>
      <c r="D482" s="57" t="s">
        <v>191</v>
      </c>
      <c r="E482" s="57">
        <v>1.0</v>
      </c>
      <c r="F482" s="57">
        <v>0.324</v>
      </c>
      <c r="G482" s="57">
        <v>0.181</v>
      </c>
    </row>
    <row r="483">
      <c r="A483" s="70">
        <v>44663.0</v>
      </c>
      <c r="B483" s="57">
        <v>2370.0</v>
      </c>
      <c r="C483" s="57">
        <v>3.0</v>
      </c>
      <c r="D483" s="57" t="s">
        <v>191</v>
      </c>
      <c r="E483" s="57">
        <v>0.0</v>
      </c>
      <c r="F483" s="57">
        <v>0.249</v>
      </c>
      <c r="G483" s="57">
        <v>0.104</v>
      </c>
    </row>
    <row r="484">
      <c r="A484" s="70">
        <v>44663.0</v>
      </c>
      <c r="B484" s="57">
        <v>2348.0</v>
      </c>
      <c r="C484" s="57">
        <v>2.0</v>
      </c>
      <c r="D484" s="57" t="s">
        <v>191</v>
      </c>
      <c r="E484" s="57">
        <v>0.0</v>
      </c>
      <c r="F484" s="57">
        <v>0.516</v>
      </c>
      <c r="G484" s="57">
        <v>0.204</v>
      </c>
    </row>
    <row r="485">
      <c r="A485" s="70">
        <v>44663.0</v>
      </c>
      <c r="B485" s="57">
        <v>2351.0</v>
      </c>
      <c r="C485" s="57">
        <v>2.0</v>
      </c>
      <c r="D485" s="57" t="s">
        <v>191</v>
      </c>
      <c r="E485" s="57">
        <v>0.0</v>
      </c>
      <c r="F485" s="57">
        <v>1.036</v>
      </c>
      <c r="G485" s="57">
        <v>0.351</v>
      </c>
    </row>
    <row r="486">
      <c r="A486" s="70">
        <v>44663.0</v>
      </c>
      <c r="B486" s="57">
        <v>2351.0</v>
      </c>
      <c r="C486" s="57">
        <v>3.0</v>
      </c>
      <c r="D486" s="57" t="s">
        <v>191</v>
      </c>
      <c r="E486" s="57">
        <v>0.0</v>
      </c>
      <c r="F486" s="57">
        <v>0.869</v>
      </c>
      <c r="G486" s="57">
        <v>0.26</v>
      </c>
    </row>
    <row r="487">
      <c r="A487" s="70">
        <v>44663.0</v>
      </c>
      <c r="B487" s="57">
        <v>2349.0</v>
      </c>
      <c r="C487" s="57">
        <v>2.0</v>
      </c>
      <c r="D487" s="57" t="s">
        <v>191</v>
      </c>
      <c r="E487" s="57">
        <v>0.0</v>
      </c>
      <c r="F487" s="57">
        <v>1.207</v>
      </c>
      <c r="G487" s="57">
        <v>0.463</v>
      </c>
    </row>
    <row r="488">
      <c r="A488" s="70">
        <v>44663.0</v>
      </c>
      <c r="B488" s="57">
        <v>2370.0</v>
      </c>
      <c r="C488" s="57">
        <v>2.0</v>
      </c>
      <c r="D488" s="57" t="s">
        <v>179</v>
      </c>
      <c r="E488" s="57">
        <v>0.0</v>
      </c>
      <c r="F488" s="57">
        <v>0.033</v>
      </c>
      <c r="G488" s="57">
        <v>0.012</v>
      </c>
    </row>
    <row r="489">
      <c r="A489" s="70">
        <v>44663.0</v>
      </c>
      <c r="B489" s="57">
        <v>2372.0</v>
      </c>
      <c r="C489" s="57">
        <v>1.0</v>
      </c>
      <c r="D489" s="57" t="s">
        <v>179</v>
      </c>
      <c r="E489" s="57">
        <v>0.0</v>
      </c>
      <c r="F489" s="57">
        <v>0.138</v>
      </c>
      <c r="G489" s="57">
        <v>0.05</v>
      </c>
    </row>
    <row r="490">
      <c r="A490" s="70">
        <v>44663.0</v>
      </c>
      <c r="B490" s="57">
        <v>2372.0</v>
      </c>
      <c r="C490" s="57">
        <v>2.0</v>
      </c>
      <c r="D490" s="57" t="s">
        <v>179</v>
      </c>
      <c r="E490" s="57">
        <v>0.0</v>
      </c>
      <c r="F490" s="57">
        <v>0.07</v>
      </c>
      <c r="G490" s="57">
        <v>0.025</v>
      </c>
    </row>
    <row r="491">
      <c r="A491" s="70">
        <v>44663.0</v>
      </c>
      <c r="B491" s="57">
        <v>2331.0</v>
      </c>
      <c r="C491" s="57">
        <v>2.0</v>
      </c>
      <c r="D491" s="57" t="s">
        <v>179</v>
      </c>
      <c r="E491" s="57">
        <v>1.0</v>
      </c>
      <c r="F491" s="57">
        <v>0.301</v>
      </c>
      <c r="G491" s="57">
        <v>0.15</v>
      </c>
    </row>
    <row r="492">
      <c r="A492" s="70">
        <v>44663.0</v>
      </c>
      <c r="B492" s="57">
        <v>2351.0</v>
      </c>
      <c r="C492" s="57">
        <v>1.0</v>
      </c>
      <c r="D492" s="57" t="s">
        <v>179</v>
      </c>
      <c r="E492" s="57">
        <v>0.0</v>
      </c>
      <c r="F492" s="57">
        <v>0.115</v>
      </c>
      <c r="G492" s="57">
        <v>0.034</v>
      </c>
    </row>
    <row r="493">
      <c r="A493" s="70">
        <v>44663.0</v>
      </c>
      <c r="B493" s="57">
        <v>2349.0</v>
      </c>
      <c r="C493" s="57">
        <v>3.0</v>
      </c>
      <c r="D493" s="57" t="s">
        <v>179</v>
      </c>
      <c r="E493" s="57">
        <v>0.0</v>
      </c>
      <c r="F493" s="57">
        <v>0.02</v>
      </c>
      <c r="G493" s="57">
        <v>0.008</v>
      </c>
    </row>
    <row r="494">
      <c r="A494" s="70">
        <v>44663.0</v>
      </c>
      <c r="B494" s="57">
        <v>2352.0</v>
      </c>
      <c r="C494" s="57">
        <v>2.0</v>
      </c>
      <c r="D494" s="57" t="s">
        <v>191</v>
      </c>
      <c r="E494" s="57">
        <v>1.0</v>
      </c>
      <c r="F494" s="57">
        <v>0.694</v>
      </c>
      <c r="G494" s="57">
        <v>0.388</v>
      </c>
    </row>
    <row r="495">
      <c r="A495" s="70">
        <v>44663.0</v>
      </c>
      <c r="B495" s="57">
        <v>2351.0</v>
      </c>
      <c r="C495" s="57">
        <v>2.0</v>
      </c>
      <c r="D495" s="57" t="s">
        <v>179</v>
      </c>
      <c r="E495" s="57">
        <v>0.0</v>
      </c>
      <c r="F495" s="57">
        <v>0.118</v>
      </c>
      <c r="G495" s="57">
        <v>0.038</v>
      </c>
    </row>
    <row r="496">
      <c r="A496" s="70">
        <v>44663.0</v>
      </c>
      <c r="B496" s="57">
        <v>2370.0</v>
      </c>
      <c r="C496" s="57">
        <v>3.0</v>
      </c>
      <c r="D496" s="57" t="s">
        <v>179</v>
      </c>
      <c r="E496" s="57">
        <v>0.0</v>
      </c>
      <c r="F496" s="57">
        <v>0.019</v>
      </c>
      <c r="G496" s="57">
        <v>0.008</v>
      </c>
    </row>
    <row r="497">
      <c r="A497" s="70">
        <v>44663.0</v>
      </c>
      <c r="B497" s="57">
        <v>2331.0</v>
      </c>
      <c r="C497" s="57">
        <v>2.0</v>
      </c>
      <c r="D497" s="57" t="s">
        <v>191</v>
      </c>
      <c r="E497" s="57">
        <v>1.0</v>
      </c>
      <c r="F497" s="57">
        <v>1.051</v>
      </c>
      <c r="G497" s="57">
        <v>0.585</v>
      </c>
    </row>
    <row r="498">
      <c r="A498" s="70">
        <v>44663.0</v>
      </c>
      <c r="B498" s="57">
        <v>2351.0</v>
      </c>
      <c r="C498" s="57">
        <v>1.0</v>
      </c>
      <c r="D498" s="57" t="s">
        <v>191</v>
      </c>
      <c r="E498" s="57">
        <v>0.0</v>
      </c>
      <c r="F498" s="57">
        <v>0.827</v>
      </c>
      <c r="G498" s="57">
        <v>0.235</v>
      </c>
    </row>
    <row r="499">
      <c r="A499" s="70">
        <v>44663.0</v>
      </c>
      <c r="B499" s="57">
        <v>2351.0</v>
      </c>
      <c r="C499" s="57">
        <v>3.0</v>
      </c>
      <c r="D499" s="57" t="s">
        <v>179</v>
      </c>
      <c r="E499" s="57">
        <v>0.0</v>
      </c>
      <c r="F499" s="57">
        <v>0.07</v>
      </c>
      <c r="G499" s="57">
        <v>0.022</v>
      </c>
    </row>
    <row r="500">
      <c r="A500" s="70">
        <v>44663.0</v>
      </c>
      <c r="B500" s="57">
        <v>2348.0</v>
      </c>
      <c r="C500" s="57">
        <v>2.0</v>
      </c>
      <c r="D500" s="57" t="s">
        <v>179</v>
      </c>
      <c r="E500" s="57">
        <v>0.0</v>
      </c>
      <c r="F500" s="57">
        <v>0.045</v>
      </c>
      <c r="G500" s="57">
        <v>0.016</v>
      </c>
    </row>
    <row r="501">
      <c r="A501" s="70">
        <v>44690.0</v>
      </c>
      <c r="B501" s="57">
        <v>2089.0</v>
      </c>
      <c r="C501" s="57">
        <v>1.0</v>
      </c>
      <c r="D501" s="57" t="s">
        <v>179</v>
      </c>
      <c r="E501" s="57">
        <v>1.0</v>
      </c>
      <c r="F501" s="57">
        <v>0.1333</v>
      </c>
      <c r="G501" s="57">
        <v>0.0573</v>
      </c>
    </row>
    <row r="502">
      <c r="A502" s="70">
        <v>44690.0</v>
      </c>
      <c r="B502" s="57">
        <v>2085.0</v>
      </c>
      <c r="C502" s="57">
        <v>1.0</v>
      </c>
      <c r="D502" s="57" t="s">
        <v>191</v>
      </c>
      <c r="E502" s="57">
        <v>0.0</v>
      </c>
      <c r="F502" s="57">
        <v>0.7909</v>
      </c>
      <c r="G502" s="57">
        <v>0.3619</v>
      </c>
    </row>
    <row r="503">
      <c r="A503" s="70">
        <v>44690.0</v>
      </c>
      <c r="B503" s="57">
        <v>2089.0</v>
      </c>
      <c r="C503" s="57">
        <v>1.0</v>
      </c>
      <c r="D503" s="57" t="s">
        <v>179</v>
      </c>
      <c r="E503" s="57">
        <v>0.0</v>
      </c>
      <c r="F503" s="57">
        <v>0.0844</v>
      </c>
      <c r="G503" s="57">
        <v>0.0334</v>
      </c>
    </row>
    <row r="504">
      <c r="A504" s="70">
        <v>44690.0</v>
      </c>
      <c r="B504" s="57">
        <v>2089.0</v>
      </c>
      <c r="C504" s="57">
        <v>2.0</v>
      </c>
      <c r="D504" s="57" t="s">
        <v>191</v>
      </c>
      <c r="E504" s="57">
        <v>0.0</v>
      </c>
      <c r="F504" s="57">
        <v>0.8859</v>
      </c>
      <c r="G504" s="57">
        <v>0.483</v>
      </c>
    </row>
    <row r="505">
      <c r="A505" s="70">
        <v>44690.0</v>
      </c>
      <c r="B505" s="57">
        <v>2006.0</v>
      </c>
      <c r="C505" s="57">
        <v>2.0</v>
      </c>
      <c r="D505" s="57" t="s">
        <v>179</v>
      </c>
      <c r="E505" s="57">
        <v>0.0</v>
      </c>
      <c r="F505" s="57">
        <v>0.1299</v>
      </c>
      <c r="G505" s="57">
        <v>0.055</v>
      </c>
    </row>
    <row r="506">
      <c r="A506" s="70">
        <v>44690.0</v>
      </c>
      <c r="B506" s="57">
        <v>2088.0</v>
      </c>
      <c r="C506" s="57">
        <v>3.0</v>
      </c>
      <c r="D506" s="57" t="s">
        <v>191</v>
      </c>
      <c r="E506" s="57">
        <v>0.0</v>
      </c>
      <c r="F506" s="57">
        <v>0.9132</v>
      </c>
      <c r="G506" s="57">
        <v>0.4257</v>
      </c>
    </row>
    <row r="507">
      <c r="A507" s="70">
        <v>44690.0</v>
      </c>
      <c r="B507" s="57">
        <v>2004.0</v>
      </c>
      <c r="C507" s="57">
        <v>2.0</v>
      </c>
      <c r="D507" s="57" t="s">
        <v>191</v>
      </c>
      <c r="E507" s="57">
        <v>0.0</v>
      </c>
      <c r="F507" s="57">
        <v>0.4823</v>
      </c>
      <c r="G507" s="57">
        <v>0.2307</v>
      </c>
    </row>
    <row r="508">
      <c r="A508" s="70">
        <v>44690.0</v>
      </c>
      <c r="B508" s="57">
        <v>2004.0</v>
      </c>
      <c r="C508" s="57">
        <v>2.0</v>
      </c>
      <c r="D508" s="57" t="s">
        <v>179</v>
      </c>
      <c r="E508" s="57">
        <v>0.0</v>
      </c>
      <c r="F508" s="57">
        <v>0.328</v>
      </c>
      <c r="G508" s="57">
        <v>0.1378</v>
      </c>
    </row>
    <row r="509">
      <c r="A509" s="70">
        <v>44690.0</v>
      </c>
      <c r="B509" s="57">
        <v>2012.0</v>
      </c>
      <c r="C509" s="57">
        <v>3.0</v>
      </c>
      <c r="D509" s="57" t="s">
        <v>191</v>
      </c>
      <c r="E509" s="57">
        <v>0.0</v>
      </c>
      <c r="F509" s="57">
        <v>0.4954</v>
      </c>
      <c r="G509" s="57">
        <v>0.2298</v>
      </c>
    </row>
    <row r="510">
      <c r="A510" s="70">
        <v>44690.0</v>
      </c>
      <c r="B510" s="57">
        <v>2004.0</v>
      </c>
      <c r="C510" s="57">
        <v>1.0</v>
      </c>
      <c r="D510" s="57" t="s">
        <v>191</v>
      </c>
      <c r="E510" s="57">
        <v>0.0</v>
      </c>
      <c r="F510" s="57">
        <v>0.6243</v>
      </c>
      <c r="G510" s="57">
        <v>0.2982</v>
      </c>
    </row>
    <row r="511">
      <c r="A511" s="70">
        <v>44690.0</v>
      </c>
      <c r="B511" s="57">
        <v>2088.0</v>
      </c>
      <c r="C511" s="57">
        <v>3.0</v>
      </c>
      <c r="D511" s="57" t="s">
        <v>179</v>
      </c>
      <c r="E511" s="57">
        <v>1.0</v>
      </c>
      <c r="F511" s="57">
        <v>0.3755</v>
      </c>
      <c r="G511" s="57">
        <v>0.1714</v>
      </c>
    </row>
    <row r="512">
      <c r="A512" s="70">
        <v>44690.0</v>
      </c>
      <c r="B512" s="57">
        <v>2006.0</v>
      </c>
      <c r="C512" s="57">
        <v>2.0</v>
      </c>
      <c r="D512" s="57" t="s">
        <v>179</v>
      </c>
      <c r="E512" s="57">
        <v>1.0</v>
      </c>
      <c r="F512" s="57">
        <v>0.2746</v>
      </c>
      <c r="G512" s="57">
        <v>0.1288</v>
      </c>
    </row>
    <row r="513">
      <c r="A513" s="70">
        <v>44690.0</v>
      </c>
      <c r="B513" s="57">
        <v>2006.0</v>
      </c>
      <c r="C513" s="57">
        <v>2.0</v>
      </c>
      <c r="D513" s="57" t="s">
        <v>191</v>
      </c>
      <c r="E513" s="57">
        <v>0.0</v>
      </c>
      <c r="F513" s="57">
        <v>1.2377</v>
      </c>
      <c r="G513" s="57">
        <v>0.5983</v>
      </c>
    </row>
    <row r="514">
      <c r="A514" s="70">
        <v>44690.0</v>
      </c>
      <c r="B514" s="57">
        <v>2088.0</v>
      </c>
      <c r="C514" s="57">
        <v>3.0</v>
      </c>
      <c r="D514" s="57" t="s">
        <v>179</v>
      </c>
      <c r="E514" s="57">
        <v>0.0</v>
      </c>
      <c r="F514" s="57">
        <v>0.0733</v>
      </c>
      <c r="G514" s="57">
        <v>0.0314</v>
      </c>
    </row>
    <row r="515">
      <c r="A515" s="70">
        <v>44690.0</v>
      </c>
      <c r="B515" s="57">
        <v>2012.0</v>
      </c>
      <c r="C515" s="57">
        <v>2.0</v>
      </c>
      <c r="D515" s="57" t="s">
        <v>191</v>
      </c>
      <c r="E515" s="57">
        <v>0.0</v>
      </c>
      <c r="F515" s="57">
        <v>0.6069</v>
      </c>
      <c r="G515" s="57">
        <v>0.2878</v>
      </c>
    </row>
    <row r="516">
      <c r="A516" s="70">
        <v>44690.0</v>
      </c>
      <c r="B516" s="57">
        <v>2012.0</v>
      </c>
      <c r="C516" s="57">
        <v>1.0</v>
      </c>
      <c r="D516" s="57" t="s">
        <v>179</v>
      </c>
      <c r="E516" s="57">
        <v>1.0</v>
      </c>
      <c r="F516" s="57">
        <v>0.2859</v>
      </c>
      <c r="G516" s="57">
        <v>0.1352</v>
      </c>
    </row>
    <row r="517">
      <c r="A517" s="70">
        <v>44690.0</v>
      </c>
      <c r="B517" s="57">
        <v>2006.0</v>
      </c>
      <c r="C517" s="57">
        <v>3.0</v>
      </c>
      <c r="D517" s="57" t="s">
        <v>191</v>
      </c>
      <c r="E517" s="57">
        <v>0.0</v>
      </c>
      <c r="F517" s="57">
        <v>1.2379</v>
      </c>
      <c r="G517" s="57">
        <v>0.6205</v>
      </c>
    </row>
    <row r="518">
      <c r="A518" s="70">
        <v>44690.0</v>
      </c>
      <c r="B518" s="57">
        <v>2006.0</v>
      </c>
      <c r="C518" s="57">
        <v>3.0</v>
      </c>
      <c r="D518" s="57" t="s">
        <v>179</v>
      </c>
      <c r="E518" s="57">
        <v>0.0</v>
      </c>
      <c r="F518" s="57">
        <v>0.0726</v>
      </c>
      <c r="G518" s="57">
        <v>0.0327</v>
      </c>
    </row>
    <row r="519">
      <c r="A519" s="70">
        <v>44690.0</v>
      </c>
      <c r="B519" s="57">
        <v>2006.0</v>
      </c>
      <c r="C519" s="57">
        <v>3.0</v>
      </c>
      <c r="D519" s="57" t="s">
        <v>179</v>
      </c>
      <c r="E519" s="57">
        <v>1.0</v>
      </c>
      <c r="F519" s="57">
        <v>0.3008</v>
      </c>
      <c r="G519" s="57">
        <v>0.1466</v>
      </c>
    </row>
    <row r="520">
      <c r="A520" s="70">
        <v>44690.0</v>
      </c>
      <c r="B520" s="57">
        <v>2006.0</v>
      </c>
      <c r="C520" s="57">
        <v>1.0</v>
      </c>
      <c r="D520" s="57" t="s">
        <v>179</v>
      </c>
      <c r="E520" s="57">
        <v>0.0</v>
      </c>
      <c r="F520" s="57">
        <v>0.2738</v>
      </c>
      <c r="G520" s="57">
        <v>0.1237</v>
      </c>
    </row>
    <row r="521">
      <c r="A521" s="70">
        <v>44690.0</v>
      </c>
      <c r="B521" s="57">
        <v>2006.0</v>
      </c>
      <c r="C521" s="57">
        <v>1.0</v>
      </c>
      <c r="D521" s="57" t="s">
        <v>191</v>
      </c>
      <c r="E521" s="57">
        <v>0.0</v>
      </c>
      <c r="F521" s="57">
        <v>0.7881</v>
      </c>
      <c r="G521" s="57">
        <v>0.3924</v>
      </c>
    </row>
    <row r="522">
      <c r="A522" s="70">
        <v>44690.0</v>
      </c>
      <c r="B522" s="57">
        <v>2006.0</v>
      </c>
      <c r="C522" s="57">
        <v>1.0</v>
      </c>
      <c r="D522" s="57" t="s">
        <v>179</v>
      </c>
      <c r="E522" s="57">
        <v>0.0</v>
      </c>
      <c r="F522" s="57">
        <v>0.0795</v>
      </c>
      <c r="G522" s="57">
        <v>0.0328</v>
      </c>
    </row>
    <row r="523">
      <c r="A523" s="70">
        <v>44690.0</v>
      </c>
      <c r="B523" s="57">
        <v>2004.0</v>
      </c>
      <c r="C523" s="57">
        <v>3.0</v>
      </c>
      <c r="D523" s="57" t="s">
        <v>191</v>
      </c>
      <c r="E523" s="57">
        <v>0.0</v>
      </c>
      <c r="F523" s="71">
        <v>0.58</v>
      </c>
      <c r="G523" s="57">
        <v>0.2711</v>
      </c>
    </row>
    <row r="524">
      <c r="A524" s="70">
        <v>44690.0</v>
      </c>
      <c r="B524" s="57">
        <v>2004.0</v>
      </c>
      <c r="C524" s="57">
        <v>3.0</v>
      </c>
      <c r="D524" s="57" t="s">
        <v>179</v>
      </c>
      <c r="E524" s="57">
        <v>0.0</v>
      </c>
      <c r="F524" s="57">
        <v>0.1859</v>
      </c>
      <c r="G524" s="57">
        <v>0.0779</v>
      </c>
    </row>
    <row r="525">
      <c r="A525" s="70">
        <v>44690.0</v>
      </c>
      <c r="B525" s="57">
        <v>1475.0</v>
      </c>
      <c r="C525" s="57">
        <v>2.0</v>
      </c>
      <c r="D525" s="57" t="s">
        <v>191</v>
      </c>
      <c r="E525" s="57">
        <v>0.0</v>
      </c>
      <c r="F525" s="57">
        <v>0.602</v>
      </c>
      <c r="G525" s="57">
        <v>0.2885</v>
      </c>
    </row>
    <row r="526">
      <c r="A526" s="70">
        <v>44690.0</v>
      </c>
      <c r="B526" s="57">
        <v>2012.0</v>
      </c>
      <c r="C526" s="57">
        <v>3.0</v>
      </c>
      <c r="D526" s="57" t="s">
        <v>179</v>
      </c>
      <c r="E526" s="57">
        <v>0.0</v>
      </c>
      <c r="F526" s="57">
        <v>0.0671</v>
      </c>
      <c r="G526" s="57">
        <v>0.0272</v>
      </c>
    </row>
    <row r="527">
      <c r="A527" s="70">
        <v>44690.0</v>
      </c>
      <c r="B527" s="57">
        <v>2012.0</v>
      </c>
      <c r="C527" s="57">
        <v>3.0</v>
      </c>
      <c r="D527" s="57" t="s">
        <v>179</v>
      </c>
      <c r="E527" s="57">
        <v>1.0</v>
      </c>
      <c r="F527" s="57">
        <v>0.2449</v>
      </c>
      <c r="G527" s="57">
        <v>0.1129</v>
      </c>
    </row>
    <row r="528">
      <c r="A528" s="70">
        <v>44690.0</v>
      </c>
      <c r="B528" s="57">
        <v>1475.0</v>
      </c>
      <c r="C528" s="57">
        <v>1.0</v>
      </c>
      <c r="D528" s="57" t="s">
        <v>179</v>
      </c>
      <c r="E528" s="57">
        <v>0.0</v>
      </c>
      <c r="F528" s="57">
        <v>0.0823</v>
      </c>
      <c r="G528" s="57">
        <v>0.0303</v>
      </c>
    </row>
    <row r="529">
      <c r="A529" s="70">
        <v>44690.0</v>
      </c>
      <c r="B529" s="57">
        <v>2089.0</v>
      </c>
      <c r="C529" s="57">
        <v>2.0</v>
      </c>
      <c r="D529" s="57" t="s">
        <v>179</v>
      </c>
      <c r="E529" s="57">
        <v>0.0</v>
      </c>
      <c r="F529" s="57">
        <v>0.1613</v>
      </c>
      <c r="G529" s="57">
        <v>0.0729</v>
      </c>
    </row>
    <row r="530">
      <c r="A530" s="70">
        <v>44690.0</v>
      </c>
      <c r="B530" s="57">
        <v>2089.0</v>
      </c>
      <c r="C530" s="57">
        <v>1.0</v>
      </c>
      <c r="D530" s="57" t="s">
        <v>191</v>
      </c>
      <c r="E530" s="57">
        <v>1.0</v>
      </c>
      <c r="F530" s="57">
        <v>0.514</v>
      </c>
      <c r="G530" s="57">
        <v>0.276</v>
      </c>
    </row>
    <row r="531">
      <c r="A531" s="70">
        <v>44690.0</v>
      </c>
      <c r="B531" s="57">
        <v>2089.0</v>
      </c>
      <c r="C531" s="57">
        <v>1.0</v>
      </c>
      <c r="D531" s="57" t="s">
        <v>191</v>
      </c>
      <c r="E531" s="57">
        <v>0.0</v>
      </c>
      <c r="F531" s="57">
        <v>1.1533</v>
      </c>
      <c r="G531" s="57">
        <v>0.5086</v>
      </c>
    </row>
    <row r="532">
      <c r="A532" s="70">
        <v>44690.0</v>
      </c>
      <c r="B532" s="57">
        <v>1475.0</v>
      </c>
      <c r="C532" s="57">
        <v>3.0</v>
      </c>
      <c r="D532" s="57" t="s">
        <v>179</v>
      </c>
      <c r="E532" s="57">
        <v>1.0</v>
      </c>
      <c r="F532" s="57">
        <v>0.521</v>
      </c>
      <c r="G532" s="57">
        <v>0.2465</v>
      </c>
    </row>
    <row r="533">
      <c r="A533" s="70">
        <v>44690.0</v>
      </c>
      <c r="B533" s="57">
        <v>1475.0</v>
      </c>
      <c r="C533" s="57">
        <v>3.0</v>
      </c>
      <c r="D533" s="57" t="s">
        <v>179</v>
      </c>
      <c r="E533" s="57">
        <v>0.0</v>
      </c>
      <c r="F533" s="57">
        <v>0.4273</v>
      </c>
      <c r="G533" s="57">
        <v>0.1677</v>
      </c>
    </row>
    <row r="534">
      <c r="A534" s="70">
        <v>44690.0</v>
      </c>
      <c r="B534" s="57">
        <v>1475.0</v>
      </c>
      <c r="C534" s="57">
        <v>1.0</v>
      </c>
      <c r="D534" s="57" t="s">
        <v>191</v>
      </c>
      <c r="E534" s="57">
        <v>0.0</v>
      </c>
      <c r="F534" s="57">
        <v>0.3418</v>
      </c>
      <c r="G534" s="57">
        <v>0.1599</v>
      </c>
    </row>
    <row r="535">
      <c r="A535" s="70">
        <v>44690.0</v>
      </c>
      <c r="B535" s="57">
        <v>1475.0</v>
      </c>
      <c r="C535" s="57">
        <v>1.0</v>
      </c>
      <c r="D535" s="57" t="s">
        <v>179</v>
      </c>
      <c r="E535" s="57">
        <v>1.0</v>
      </c>
      <c r="F535" s="57">
        <v>0.3757</v>
      </c>
      <c r="G535" s="57">
        <v>0.1623</v>
      </c>
    </row>
    <row r="536">
      <c r="A536" s="70">
        <v>44690.0</v>
      </c>
      <c r="B536" s="57">
        <v>2088.0</v>
      </c>
      <c r="C536" s="57">
        <v>2.0</v>
      </c>
      <c r="D536" s="57" t="s">
        <v>191</v>
      </c>
      <c r="E536" s="57">
        <v>0.0</v>
      </c>
      <c r="F536" s="57">
        <v>0.561</v>
      </c>
      <c r="G536" s="57">
        <v>0.2565</v>
      </c>
    </row>
    <row r="537">
      <c r="A537" s="70">
        <v>44690.0</v>
      </c>
      <c r="B537" s="57">
        <v>2088.0</v>
      </c>
      <c r="C537" s="57">
        <v>2.0</v>
      </c>
      <c r="D537" s="57" t="s">
        <v>179</v>
      </c>
      <c r="E537" s="57">
        <v>1.0</v>
      </c>
      <c r="F537" s="57">
        <v>0.4012</v>
      </c>
      <c r="G537" s="57">
        <v>0.1769</v>
      </c>
    </row>
    <row r="538">
      <c r="A538" s="70">
        <v>44690.0</v>
      </c>
      <c r="B538" s="57">
        <v>2093.0</v>
      </c>
      <c r="C538" s="57">
        <v>2.0</v>
      </c>
      <c r="D538" s="57" t="s">
        <v>191</v>
      </c>
      <c r="E538" s="57">
        <v>1.0</v>
      </c>
      <c r="F538" s="57">
        <v>0.981</v>
      </c>
      <c r="G538" s="57">
        <v>0.5657</v>
      </c>
    </row>
    <row r="539">
      <c r="A539" s="70">
        <v>44690.0</v>
      </c>
      <c r="B539" s="57">
        <v>2093.0</v>
      </c>
      <c r="C539" s="57">
        <v>2.0</v>
      </c>
      <c r="D539" s="57" t="s">
        <v>179</v>
      </c>
      <c r="E539" s="57">
        <v>0.0</v>
      </c>
      <c r="F539" s="57">
        <v>0.2001</v>
      </c>
      <c r="G539" s="57">
        <v>0.0835</v>
      </c>
    </row>
    <row r="540">
      <c r="A540" s="70">
        <v>44690.0</v>
      </c>
      <c r="B540" s="57">
        <v>2093.0</v>
      </c>
      <c r="C540" s="57">
        <v>2.0</v>
      </c>
      <c r="D540" s="57" t="s">
        <v>191</v>
      </c>
      <c r="E540" s="57">
        <v>0.0</v>
      </c>
      <c r="F540" s="57">
        <v>2.2081</v>
      </c>
      <c r="G540" s="57">
        <v>1.0237</v>
      </c>
    </row>
    <row r="541">
      <c r="A541" s="70">
        <v>44690.0</v>
      </c>
      <c r="B541" s="57">
        <v>2029.0</v>
      </c>
      <c r="C541" s="57">
        <v>2.0</v>
      </c>
      <c r="D541" s="57" t="s">
        <v>191</v>
      </c>
      <c r="E541" s="57">
        <v>0.0</v>
      </c>
      <c r="F541" s="57">
        <v>1.1397</v>
      </c>
      <c r="G541" s="57">
        <v>0.5917</v>
      </c>
    </row>
    <row r="542">
      <c r="A542" s="70">
        <v>44690.0</v>
      </c>
      <c r="B542" s="57">
        <v>2093.0</v>
      </c>
      <c r="C542" s="57">
        <v>3.0</v>
      </c>
      <c r="D542" s="57" t="s">
        <v>191</v>
      </c>
      <c r="E542" s="57">
        <v>0.0</v>
      </c>
      <c r="F542" s="57">
        <v>1.9718</v>
      </c>
      <c r="G542" s="57">
        <v>0.9419</v>
      </c>
    </row>
    <row r="543">
      <c r="A543" s="70">
        <v>44690.0</v>
      </c>
      <c r="B543" s="57">
        <v>2093.0</v>
      </c>
      <c r="C543" s="57">
        <v>1.0</v>
      </c>
      <c r="D543" s="57" t="s">
        <v>191</v>
      </c>
      <c r="E543" s="57">
        <v>0.0</v>
      </c>
      <c r="F543" s="57">
        <v>1.5562</v>
      </c>
      <c r="G543" s="57">
        <v>0.7019</v>
      </c>
    </row>
    <row r="544">
      <c r="A544" s="70">
        <v>44690.0</v>
      </c>
      <c r="B544" s="57">
        <v>2029.0</v>
      </c>
      <c r="C544" s="57">
        <v>1.0</v>
      </c>
      <c r="D544" s="57" t="s">
        <v>179</v>
      </c>
      <c r="E544" s="57">
        <v>0.0</v>
      </c>
      <c r="F544" s="57">
        <v>0.1861</v>
      </c>
      <c r="G544" s="57">
        <v>0.0844</v>
      </c>
    </row>
    <row r="545">
      <c r="A545" s="70">
        <v>44690.0</v>
      </c>
      <c r="B545" s="57">
        <v>2004.0</v>
      </c>
      <c r="C545" s="57">
        <v>1.0</v>
      </c>
      <c r="D545" s="57" t="s">
        <v>179</v>
      </c>
      <c r="E545" s="57">
        <v>0.0</v>
      </c>
      <c r="F545" s="57">
        <v>0.4704</v>
      </c>
      <c r="G545" s="57">
        <v>0.1987</v>
      </c>
    </row>
    <row r="546">
      <c r="A546" s="70">
        <v>44690.0</v>
      </c>
      <c r="B546" s="57">
        <v>2012.0</v>
      </c>
      <c r="C546" s="57">
        <v>2.0</v>
      </c>
      <c r="D546" s="57" t="s">
        <v>179</v>
      </c>
      <c r="E546" s="57">
        <v>1.0</v>
      </c>
      <c r="F546" s="57">
        <v>0.2765</v>
      </c>
      <c r="G546" s="57">
        <v>0.1272</v>
      </c>
    </row>
    <row r="547">
      <c r="A547" s="70">
        <v>44690.0</v>
      </c>
      <c r="B547" s="57">
        <v>2030.0</v>
      </c>
      <c r="C547" s="57">
        <v>3.0</v>
      </c>
      <c r="D547" s="57" t="s">
        <v>179</v>
      </c>
      <c r="E547" s="57">
        <v>1.0</v>
      </c>
      <c r="F547" s="57">
        <v>0.2749</v>
      </c>
      <c r="G547" s="57">
        <v>0.1413</v>
      </c>
    </row>
    <row r="548">
      <c r="A548" s="70">
        <v>44690.0</v>
      </c>
      <c r="B548" s="57">
        <v>2086.0</v>
      </c>
      <c r="C548" s="57">
        <v>2.0</v>
      </c>
      <c r="D548" s="57" t="s">
        <v>179</v>
      </c>
      <c r="E548" s="57">
        <v>0.0</v>
      </c>
      <c r="F548" s="57">
        <v>0.5771</v>
      </c>
      <c r="G548" s="57">
        <v>0.2319</v>
      </c>
    </row>
    <row r="549">
      <c r="A549" s="70">
        <v>44690.0</v>
      </c>
      <c r="B549" s="57">
        <v>2012.0</v>
      </c>
      <c r="C549" s="57">
        <v>2.0</v>
      </c>
      <c r="D549" s="57" t="s">
        <v>179</v>
      </c>
      <c r="E549" s="57">
        <v>0.0</v>
      </c>
      <c r="F549" s="57">
        <v>0.1198</v>
      </c>
      <c r="G549" s="57">
        <v>0.05</v>
      </c>
    </row>
    <row r="550">
      <c r="A550" s="70">
        <v>44690.0</v>
      </c>
      <c r="B550" s="57">
        <v>2012.0</v>
      </c>
      <c r="C550" s="57">
        <v>1.0</v>
      </c>
      <c r="D550" s="57" t="s">
        <v>191</v>
      </c>
      <c r="E550" s="57">
        <v>0.0</v>
      </c>
      <c r="F550" s="57">
        <v>0.5863</v>
      </c>
      <c r="G550" s="57">
        <v>0.2699</v>
      </c>
    </row>
    <row r="551">
      <c r="A551" s="70">
        <v>44690.0</v>
      </c>
      <c r="B551" s="57">
        <v>2088.0</v>
      </c>
      <c r="C551" s="57">
        <v>1.0</v>
      </c>
      <c r="D551" s="57" t="s">
        <v>179</v>
      </c>
      <c r="E551" s="57">
        <v>0.0</v>
      </c>
      <c r="F551" s="57">
        <v>0.1365</v>
      </c>
      <c r="G551" s="57">
        <v>0.0598</v>
      </c>
    </row>
    <row r="552">
      <c r="A552" s="70">
        <v>44690.0</v>
      </c>
      <c r="B552" s="57">
        <v>2086.0</v>
      </c>
      <c r="C552" s="57">
        <v>3.0</v>
      </c>
      <c r="D552" s="57" t="s">
        <v>179</v>
      </c>
      <c r="E552" s="57">
        <v>1.0</v>
      </c>
      <c r="F552" s="57">
        <v>0.3905</v>
      </c>
      <c r="G552" s="57">
        <v>0.1775</v>
      </c>
    </row>
    <row r="553">
      <c r="A553" s="70">
        <v>44690.0</v>
      </c>
      <c r="B553" s="57">
        <v>2085.0</v>
      </c>
      <c r="C553" s="57">
        <v>2.0</v>
      </c>
      <c r="D553" s="57" t="s">
        <v>179</v>
      </c>
      <c r="E553" s="57">
        <v>1.0</v>
      </c>
      <c r="F553" s="57">
        <v>0.1935</v>
      </c>
      <c r="G553" s="57">
        <v>0.0889</v>
      </c>
    </row>
    <row r="554">
      <c r="A554" s="70">
        <v>44690.0</v>
      </c>
      <c r="B554" s="57">
        <v>2085.0</v>
      </c>
      <c r="C554" s="57">
        <v>2.0</v>
      </c>
      <c r="D554" s="57" t="s">
        <v>179</v>
      </c>
      <c r="E554" s="57">
        <v>0.0</v>
      </c>
      <c r="F554" s="57">
        <v>0.0978</v>
      </c>
      <c r="G554" s="57">
        <v>0.0419</v>
      </c>
    </row>
    <row r="555">
      <c r="A555" s="70">
        <v>44690.0</v>
      </c>
      <c r="B555" s="57">
        <v>2085.0</v>
      </c>
      <c r="C555" s="57">
        <v>2.0</v>
      </c>
      <c r="D555" s="57" t="s">
        <v>191</v>
      </c>
      <c r="E555" s="57">
        <v>0.0</v>
      </c>
      <c r="F555" s="57">
        <v>0.4911</v>
      </c>
      <c r="G555" s="57">
        <v>0.2295</v>
      </c>
    </row>
    <row r="556">
      <c r="A556" s="70">
        <v>44690.0</v>
      </c>
      <c r="B556" s="57">
        <v>2085.0</v>
      </c>
      <c r="C556" s="57">
        <v>1.0</v>
      </c>
      <c r="D556" s="57" t="s">
        <v>179</v>
      </c>
      <c r="E556" s="57">
        <v>0.0</v>
      </c>
      <c r="F556" s="57">
        <v>0.1888</v>
      </c>
      <c r="G556" s="57">
        <v>0.0789</v>
      </c>
    </row>
    <row r="557">
      <c r="A557" s="70">
        <v>44690.0</v>
      </c>
      <c r="B557" s="57">
        <v>2085.0</v>
      </c>
      <c r="C557" s="57">
        <v>1.0</v>
      </c>
      <c r="D557" s="57" t="s">
        <v>179</v>
      </c>
      <c r="E557" s="57">
        <v>1.0</v>
      </c>
      <c r="F557" s="57">
        <v>0.6429</v>
      </c>
      <c r="G557" s="57">
        <v>0.2899</v>
      </c>
    </row>
    <row r="558">
      <c r="A558" s="70">
        <v>44690.0</v>
      </c>
      <c r="B558" s="57">
        <v>2029.0</v>
      </c>
      <c r="C558" s="57">
        <v>2.0</v>
      </c>
      <c r="D558" s="57" t="s">
        <v>179</v>
      </c>
      <c r="E558" s="57">
        <v>0.0</v>
      </c>
      <c r="F558" s="57">
        <v>0.0616</v>
      </c>
      <c r="G558" s="57">
        <v>0.0283</v>
      </c>
    </row>
    <row r="559">
      <c r="A559" s="70">
        <v>44690.0</v>
      </c>
      <c r="B559" s="57">
        <v>2090.0</v>
      </c>
      <c r="C559" s="57">
        <v>1.0</v>
      </c>
      <c r="D559" s="57" t="s">
        <v>191</v>
      </c>
      <c r="E559" s="57">
        <v>0.0</v>
      </c>
      <c r="F559" s="57">
        <v>0.9738</v>
      </c>
      <c r="G559" s="57">
        <v>0.4575</v>
      </c>
    </row>
    <row r="560">
      <c r="A560" s="70">
        <v>44690.0</v>
      </c>
      <c r="B560" s="57">
        <v>2029.0</v>
      </c>
      <c r="C560" s="57">
        <v>2.0</v>
      </c>
      <c r="D560" s="57" t="s">
        <v>179</v>
      </c>
      <c r="E560" s="57">
        <v>1.0</v>
      </c>
      <c r="F560" s="57">
        <v>0.2978</v>
      </c>
      <c r="G560" s="71">
        <v>0.154</v>
      </c>
    </row>
    <row r="561">
      <c r="A561" s="70">
        <v>44690.0</v>
      </c>
      <c r="B561" s="57">
        <v>2087.0</v>
      </c>
      <c r="C561" s="57">
        <v>2.0</v>
      </c>
      <c r="D561" s="57" t="s">
        <v>179</v>
      </c>
      <c r="E561" s="57">
        <v>0.0</v>
      </c>
      <c r="F561" s="57">
        <v>0.2727</v>
      </c>
      <c r="G561" s="57">
        <v>0.1076</v>
      </c>
    </row>
    <row r="562">
      <c r="A562" s="70">
        <v>44690.0</v>
      </c>
      <c r="B562" s="57">
        <v>2021.0</v>
      </c>
      <c r="C562" s="57">
        <v>1.0</v>
      </c>
      <c r="D562" s="57" t="s">
        <v>179</v>
      </c>
      <c r="E562" s="57">
        <v>0.0</v>
      </c>
      <c r="F562" s="57">
        <v>0.1955</v>
      </c>
      <c r="G562" s="57">
        <v>0.0884</v>
      </c>
    </row>
    <row r="563">
      <c r="A563" s="70">
        <v>44690.0</v>
      </c>
      <c r="B563" s="57">
        <v>2087.0</v>
      </c>
      <c r="C563" s="57">
        <v>3.0</v>
      </c>
      <c r="D563" s="57" t="s">
        <v>179</v>
      </c>
      <c r="E563" s="57">
        <v>1.0</v>
      </c>
      <c r="F563" s="57">
        <v>0.6176</v>
      </c>
      <c r="G563" s="57">
        <v>0.2874</v>
      </c>
    </row>
    <row r="564">
      <c r="A564" s="70">
        <v>44690.0</v>
      </c>
      <c r="B564" s="57">
        <v>2090.0</v>
      </c>
      <c r="C564" s="57">
        <v>3.0</v>
      </c>
      <c r="D564" s="57" t="s">
        <v>179</v>
      </c>
      <c r="E564" s="57">
        <v>1.0</v>
      </c>
      <c r="F564" s="57">
        <v>0.1189</v>
      </c>
      <c r="G564" s="57">
        <v>0.0564</v>
      </c>
    </row>
    <row r="565">
      <c r="A565" s="70">
        <v>44690.0</v>
      </c>
      <c r="B565" s="57">
        <v>2090.0</v>
      </c>
      <c r="C565" s="57">
        <v>2.0</v>
      </c>
      <c r="D565" s="57" t="s">
        <v>179</v>
      </c>
      <c r="E565" s="57">
        <v>0.0</v>
      </c>
      <c r="F565" s="57">
        <v>0.0467</v>
      </c>
      <c r="G565" s="57">
        <v>0.0195</v>
      </c>
    </row>
    <row r="566">
      <c r="A566" s="70">
        <v>44690.0</v>
      </c>
      <c r="B566" s="57">
        <v>2090.0</v>
      </c>
      <c r="C566" s="57">
        <v>2.0</v>
      </c>
      <c r="D566" s="57" t="s">
        <v>191</v>
      </c>
      <c r="E566" s="57">
        <v>0.0</v>
      </c>
      <c r="F566" s="57">
        <v>0.675</v>
      </c>
      <c r="G566" s="57">
        <v>0.3088</v>
      </c>
    </row>
    <row r="567">
      <c r="A567" s="70">
        <v>44690.0</v>
      </c>
      <c r="B567" s="57">
        <v>2087.0</v>
      </c>
      <c r="C567" s="57">
        <v>2.0</v>
      </c>
      <c r="D567" s="57" t="s">
        <v>191</v>
      </c>
      <c r="E567" s="57">
        <v>0.0</v>
      </c>
      <c r="F567" s="57">
        <v>1.1821</v>
      </c>
      <c r="G567" s="57">
        <v>0.5367</v>
      </c>
    </row>
    <row r="568">
      <c r="A568" s="70">
        <v>44690.0</v>
      </c>
      <c r="B568" s="57">
        <v>2086.0</v>
      </c>
      <c r="C568" s="57">
        <v>2.0</v>
      </c>
      <c r="D568" s="57" t="s">
        <v>191</v>
      </c>
      <c r="E568" s="57">
        <v>0.0</v>
      </c>
      <c r="F568" s="57">
        <v>2.092</v>
      </c>
      <c r="G568" s="57">
        <v>0.9603</v>
      </c>
    </row>
    <row r="569">
      <c r="A569" s="70">
        <v>44690.0</v>
      </c>
      <c r="B569" s="57">
        <v>2087.0</v>
      </c>
      <c r="C569" s="57">
        <v>3.0</v>
      </c>
      <c r="D569" s="57" t="s">
        <v>191</v>
      </c>
      <c r="E569" s="57">
        <v>0.0</v>
      </c>
      <c r="F569" s="71">
        <v>2.509</v>
      </c>
      <c r="G569" s="57">
        <v>1.1249</v>
      </c>
    </row>
    <row r="570">
      <c r="A570" s="70">
        <v>44690.0</v>
      </c>
      <c r="B570" s="57">
        <v>2087.0</v>
      </c>
      <c r="C570" s="57">
        <v>2.0</v>
      </c>
      <c r="D570" s="57" t="s">
        <v>179</v>
      </c>
      <c r="E570" s="57">
        <v>1.0</v>
      </c>
      <c r="F570" s="57">
        <v>0.4134</v>
      </c>
      <c r="G570" s="57">
        <v>0.1863</v>
      </c>
    </row>
    <row r="571">
      <c r="A571" s="70">
        <v>44690.0</v>
      </c>
      <c r="B571" s="57">
        <v>2086.0</v>
      </c>
      <c r="C571" s="57">
        <v>3.0</v>
      </c>
      <c r="D571" s="57" t="s">
        <v>191</v>
      </c>
      <c r="E571" s="57">
        <v>0.0</v>
      </c>
      <c r="F571" s="57">
        <v>1.4232</v>
      </c>
      <c r="G571" s="71">
        <v>0.691</v>
      </c>
    </row>
    <row r="572">
      <c r="A572" s="70">
        <v>44690.0</v>
      </c>
      <c r="B572" s="57">
        <v>2021.0</v>
      </c>
      <c r="C572" s="57">
        <v>2.0</v>
      </c>
      <c r="D572" s="57" t="s">
        <v>179</v>
      </c>
      <c r="E572" s="57">
        <v>0.0</v>
      </c>
      <c r="F572" s="57">
        <v>0.0878</v>
      </c>
      <c r="G572" s="71">
        <v>0.02</v>
      </c>
    </row>
    <row r="573">
      <c r="A573" s="70">
        <v>44690.0</v>
      </c>
      <c r="B573" s="57">
        <v>1475.0</v>
      </c>
      <c r="C573" s="57">
        <v>2.0</v>
      </c>
      <c r="D573" s="57" t="s">
        <v>179</v>
      </c>
      <c r="E573" s="57">
        <v>0.0</v>
      </c>
      <c r="F573" s="57">
        <v>0.2076</v>
      </c>
      <c r="G573" s="57">
        <v>0.0793</v>
      </c>
    </row>
    <row r="574">
      <c r="A574" s="70">
        <v>44690.0</v>
      </c>
      <c r="B574" s="57">
        <v>2088.0</v>
      </c>
      <c r="C574" s="57">
        <v>2.0</v>
      </c>
      <c r="D574" s="57" t="s">
        <v>179</v>
      </c>
      <c r="E574" s="57">
        <v>0.0</v>
      </c>
      <c r="F574" s="57">
        <v>0.0784</v>
      </c>
      <c r="G574" s="57">
        <v>0.0349</v>
      </c>
    </row>
    <row r="575">
      <c r="A575" s="70">
        <v>44690.0</v>
      </c>
      <c r="B575" s="57">
        <v>2021.0</v>
      </c>
      <c r="C575" s="57">
        <v>3.0</v>
      </c>
      <c r="D575" s="57" t="s">
        <v>179</v>
      </c>
      <c r="E575" s="57">
        <v>1.0</v>
      </c>
      <c r="F575" s="57">
        <v>0.3273</v>
      </c>
      <c r="G575" s="57">
        <v>0.1633</v>
      </c>
    </row>
    <row r="576">
      <c r="A576" s="70">
        <v>44690.0</v>
      </c>
      <c r="B576" s="57">
        <v>2021.0</v>
      </c>
      <c r="C576" s="57">
        <v>3.0</v>
      </c>
      <c r="D576" s="57" t="s">
        <v>191</v>
      </c>
      <c r="E576" s="57">
        <v>0.0</v>
      </c>
      <c r="F576" s="57">
        <v>0.9794</v>
      </c>
      <c r="G576" s="57">
        <v>0.4868</v>
      </c>
    </row>
    <row r="577">
      <c r="A577" s="70">
        <v>44690.0</v>
      </c>
      <c r="B577" s="57">
        <v>2021.0</v>
      </c>
      <c r="C577" s="57">
        <v>1.0</v>
      </c>
      <c r="D577" s="57" t="s">
        <v>191</v>
      </c>
      <c r="E577" s="57">
        <v>0.0</v>
      </c>
      <c r="F577" s="57">
        <v>1.0132</v>
      </c>
      <c r="G577" s="71">
        <v>0.521</v>
      </c>
    </row>
    <row r="578">
      <c r="A578" s="70">
        <v>44690.0</v>
      </c>
      <c r="B578" s="57">
        <v>2021.0</v>
      </c>
      <c r="C578" s="57">
        <v>2.0</v>
      </c>
      <c r="D578" s="57" t="s">
        <v>191</v>
      </c>
      <c r="E578" s="57">
        <v>0.0</v>
      </c>
      <c r="F578" s="57">
        <v>0.9064</v>
      </c>
      <c r="G578" s="57">
        <v>0.4506</v>
      </c>
    </row>
    <row r="579">
      <c r="A579" s="70">
        <v>44690.0</v>
      </c>
      <c r="B579" s="57">
        <v>2090.0</v>
      </c>
      <c r="C579" s="57">
        <v>1.0</v>
      </c>
      <c r="D579" s="57" t="s">
        <v>179</v>
      </c>
      <c r="E579" s="57">
        <v>1.0</v>
      </c>
      <c r="F579" s="57">
        <v>0.1676</v>
      </c>
      <c r="G579" s="71">
        <v>0.053</v>
      </c>
    </row>
    <row r="580">
      <c r="A580" s="70">
        <v>44690.0</v>
      </c>
      <c r="B580" s="57">
        <v>2088.0</v>
      </c>
      <c r="C580" s="57">
        <v>1.0</v>
      </c>
      <c r="D580" s="57" t="s">
        <v>191</v>
      </c>
      <c r="E580" s="57">
        <v>1.0</v>
      </c>
      <c r="F580" s="57">
        <v>0.7021</v>
      </c>
      <c r="G580" s="71">
        <v>0.336</v>
      </c>
    </row>
    <row r="581">
      <c r="A581" s="70">
        <v>44690.0</v>
      </c>
      <c r="B581" s="57">
        <v>2087.0</v>
      </c>
      <c r="C581" s="57">
        <v>1.0</v>
      </c>
      <c r="D581" s="57" t="s">
        <v>191</v>
      </c>
      <c r="E581" s="57">
        <v>0.0</v>
      </c>
      <c r="F581" s="57">
        <v>0.747</v>
      </c>
      <c r="G581" s="57">
        <v>0.3482</v>
      </c>
    </row>
    <row r="582">
      <c r="A582" s="70">
        <v>44690.0</v>
      </c>
      <c r="B582" s="57">
        <v>2088.0</v>
      </c>
      <c r="C582" s="57">
        <v>1.0</v>
      </c>
      <c r="D582" s="57" t="s">
        <v>179</v>
      </c>
      <c r="E582" s="57">
        <v>1.0</v>
      </c>
      <c r="F582" s="57">
        <v>1.0377</v>
      </c>
      <c r="G582" s="57">
        <v>0.154</v>
      </c>
    </row>
    <row r="583">
      <c r="A583" s="70">
        <v>44690.0</v>
      </c>
      <c r="B583" s="57">
        <v>2027.0</v>
      </c>
      <c r="C583" s="57">
        <v>3.0</v>
      </c>
      <c r="D583" s="57" t="s">
        <v>179</v>
      </c>
      <c r="E583" s="57">
        <v>1.0</v>
      </c>
      <c r="F583" s="57">
        <v>0.2923</v>
      </c>
      <c r="G583" s="57">
        <v>0.1389</v>
      </c>
    </row>
    <row r="584">
      <c r="A584" s="70">
        <v>44690.0</v>
      </c>
      <c r="B584" s="57">
        <v>2023.0</v>
      </c>
      <c r="C584" s="57">
        <v>2.0</v>
      </c>
      <c r="D584" s="57" t="s">
        <v>191</v>
      </c>
      <c r="E584" s="57">
        <v>1.0</v>
      </c>
      <c r="F584" s="57">
        <v>1.3081</v>
      </c>
      <c r="G584" s="57">
        <v>0.6988</v>
      </c>
    </row>
    <row r="585">
      <c r="A585" s="70">
        <v>44690.0</v>
      </c>
      <c r="B585" s="57">
        <v>2028.0</v>
      </c>
      <c r="C585" s="57">
        <v>3.0</v>
      </c>
      <c r="D585" s="57" t="s">
        <v>179</v>
      </c>
      <c r="E585" s="57">
        <v>0.0</v>
      </c>
      <c r="F585" s="57">
        <v>0.3473</v>
      </c>
      <c r="G585" s="57">
        <v>0.1736</v>
      </c>
    </row>
    <row r="586">
      <c r="A586" s="70">
        <v>44690.0</v>
      </c>
      <c r="B586" s="57">
        <v>2090.0</v>
      </c>
      <c r="C586" s="57">
        <v>1.0</v>
      </c>
      <c r="D586" s="57" t="s">
        <v>179</v>
      </c>
      <c r="E586" s="57">
        <v>0.0</v>
      </c>
      <c r="F586" s="57">
        <v>0.0828</v>
      </c>
      <c r="G586" s="57">
        <v>0.0343</v>
      </c>
    </row>
    <row r="587">
      <c r="A587" s="70">
        <v>44690.0</v>
      </c>
      <c r="B587" s="57">
        <v>2093.0</v>
      </c>
      <c r="C587" s="57">
        <v>2.0</v>
      </c>
      <c r="D587" s="57" t="s">
        <v>179</v>
      </c>
      <c r="E587" s="57">
        <v>1.0</v>
      </c>
      <c r="F587" s="57">
        <v>0.4622</v>
      </c>
      <c r="G587" s="57">
        <v>0.2245</v>
      </c>
    </row>
    <row r="588">
      <c r="A588" s="70">
        <v>44690.0</v>
      </c>
      <c r="B588" s="57">
        <v>2027.0</v>
      </c>
      <c r="C588" s="57">
        <v>1.0</v>
      </c>
      <c r="D588" s="57" t="s">
        <v>179</v>
      </c>
      <c r="E588" s="57">
        <v>0.0</v>
      </c>
      <c r="F588" s="57">
        <v>0.206</v>
      </c>
      <c r="G588" s="57">
        <v>0.0937</v>
      </c>
    </row>
    <row r="589">
      <c r="A589" s="70">
        <v>44690.0</v>
      </c>
      <c r="B589" s="57">
        <v>2024.0</v>
      </c>
      <c r="C589" s="57">
        <v>2.0</v>
      </c>
      <c r="D589" s="57" t="s">
        <v>179</v>
      </c>
      <c r="E589" s="57">
        <v>0.0</v>
      </c>
      <c r="F589" s="57">
        <v>0.1233</v>
      </c>
      <c r="G589" s="57">
        <v>0.0523</v>
      </c>
    </row>
    <row r="590">
      <c r="A590" s="70">
        <v>44690.0</v>
      </c>
      <c r="B590" s="57">
        <v>2093.0</v>
      </c>
      <c r="C590" s="57">
        <v>3.0</v>
      </c>
      <c r="D590" s="57" t="s">
        <v>179</v>
      </c>
      <c r="E590" s="57">
        <v>0.0</v>
      </c>
      <c r="F590" s="57">
        <v>0.1678</v>
      </c>
      <c r="G590" s="57">
        <v>0.0684</v>
      </c>
    </row>
    <row r="591">
      <c r="A591" s="70">
        <v>44690.0</v>
      </c>
      <c r="B591" s="57">
        <v>2086.0</v>
      </c>
      <c r="C591" s="57">
        <v>2.0</v>
      </c>
      <c r="D591" s="57" t="s">
        <v>179</v>
      </c>
      <c r="E591" s="57">
        <v>1.0</v>
      </c>
      <c r="F591" s="57">
        <v>0.221</v>
      </c>
      <c r="G591" s="57">
        <v>0.0978</v>
      </c>
    </row>
    <row r="592">
      <c r="A592" s="70">
        <v>44690.0</v>
      </c>
      <c r="B592" s="57">
        <v>2021.0</v>
      </c>
      <c r="C592" s="57">
        <v>1.0</v>
      </c>
      <c r="D592" s="57" t="s">
        <v>179</v>
      </c>
      <c r="E592" s="57">
        <v>1.0</v>
      </c>
      <c r="F592" s="57">
        <v>0.2816</v>
      </c>
      <c r="G592" s="57">
        <v>0.1377</v>
      </c>
    </row>
    <row r="593">
      <c r="A593" s="70">
        <v>44690.0</v>
      </c>
      <c r="B593" s="57">
        <v>2022.0</v>
      </c>
      <c r="C593" s="57">
        <v>1.0</v>
      </c>
      <c r="D593" s="57" t="s">
        <v>179</v>
      </c>
      <c r="E593" s="57">
        <v>0.0</v>
      </c>
      <c r="F593" s="57">
        <v>0.0748</v>
      </c>
      <c r="G593" s="57">
        <v>0.0359</v>
      </c>
    </row>
    <row r="594">
      <c r="A594" s="70">
        <v>44690.0</v>
      </c>
      <c r="B594" s="57">
        <v>2021.0</v>
      </c>
      <c r="C594" s="57">
        <v>2.0</v>
      </c>
      <c r="D594" s="57" t="s">
        <v>179</v>
      </c>
      <c r="E594" s="57">
        <v>1.0</v>
      </c>
      <c r="F594" s="57">
        <v>0.3411</v>
      </c>
      <c r="G594" s="57">
        <v>0.1657</v>
      </c>
    </row>
    <row r="595">
      <c r="A595" s="70">
        <v>44690.0</v>
      </c>
      <c r="B595" s="57">
        <v>2024.0</v>
      </c>
      <c r="C595" s="57">
        <v>2.0</v>
      </c>
      <c r="D595" s="57" t="s">
        <v>179</v>
      </c>
      <c r="E595" s="57">
        <v>1.0</v>
      </c>
      <c r="F595" s="57">
        <v>0.2805</v>
      </c>
      <c r="G595" s="57">
        <v>0.1425</v>
      </c>
    </row>
    <row r="596">
      <c r="A596" s="70">
        <v>44690.0</v>
      </c>
      <c r="B596" s="57">
        <v>2021.0</v>
      </c>
      <c r="C596" s="57">
        <v>3.0</v>
      </c>
      <c r="D596" s="57" t="s">
        <v>179</v>
      </c>
      <c r="E596" s="57">
        <v>0.0</v>
      </c>
      <c r="F596" s="57">
        <v>0.1252</v>
      </c>
      <c r="G596" s="57">
        <v>0.0543</v>
      </c>
    </row>
    <row r="597">
      <c r="A597" s="70">
        <v>44690.0</v>
      </c>
      <c r="B597" s="57">
        <v>2086.0</v>
      </c>
      <c r="C597" s="57">
        <v>3.0</v>
      </c>
      <c r="D597" s="57" t="s">
        <v>179</v>
      </c>
      <c r="E597" s="57">
        <v>0.0</v>
      </c>
      <c r="F597" s="57">
        <v>0.1511</v>
      </c>
      <c r="G597" s="57">
        <v>0.0577</v>
      </c>
    </row>
    <row r="598">
      <c r="A598" s="70">
        <v>44690.0</v>
      </c>
      <c r="B598" s="57">
        <v>2087.0</v>
      </c>
      <c r="C598" s="57">
        <v>3.0</v>
      </c>
      <c r="D598" s="57" t="s">
        <v>179</v>
      </c>
      <c r="E598" s="57">
        <v>0.0</v>
      </c>
      <c r="F598" s="57">
        <v>0.5559</v>
      </c>
      <c r="G598" s="71">
        <v>0.208</v>
      </c>
    </row>
    <row r="599">
      <c r="A599" s="70">
        <v>44690.0</v>
      </c>
      <c r="B599" s="57">
        <v>2024.0</v>
      </c>
      <c r="C599" s="57">
        <v>3.0</v>
      </c>
      <c r="D599" s="57" t="s">
        <v>179</v>
      </c>
      <c r="E599" s="57">
        <v>0.0</v>
      </c>
      <c r="F599" s="57">
        <v>0.3882</v>
      </c>
      <c r="G599" s="57">
        <v>0.1749</v>
      </c>
    </row>
    <row r="600">
      <c r="A600" s="70">
        <v>44690.0</v>
      </c>
      <c r="B600" s="57">
        <v>2024.0</v>
      </c>
      <c r="C600" s="57">
        <v>1.0</v>
      </c>
      <c r="D600" s="57" t="s">
        <v>179</v>
      </c>
      <c r="E600" s="57">
        <v>0.0</v>
      </c>
      <c r="F600" s="57">
        <v>0.1968</v>
      </c>
      <c r="G600" s="57">
        <v>0.0924</v>
      </c>
    </row>
    <row r="601">
      <c r="A601" s="70">
        <v>44690.0</v>
      </c>
      <c r="B601" s="57">
        <v>2025.0</v>
      </c>
      <c r="C601" s="57">
        <v>1.0</v>
      </c>
      <c r="D601" s="57" t="s">
        <v>191</v>
      </c>
      <c r="E601" s="57">
        <v>0.0</v>
      </c>
      <c r="F601" s="57">
        <v>1.705</v>
      </c>
      <c r="G601" s="57">
        <v>0.8015</v>
      </c>
    </row>
    <row r="602">
      <c r="A602" s="70">
        <v>44690.0</v>
      </c>
      <c r="B602" s="57">
        <v>2080.0</v>
      </c>
      <c r="C602" s="57">
        <v>1.0</v>
      </c>
      <c r="D602" s="57" t="s">
        <v>191</v>
      </c>
      <c r="E602" s="57">
        <v>0.0</v>
      </c>
      <c r="F602" s="57">
        <v>1.7455</v>
      </c>
      <c r="G602" s="57">
        <v>0.7823</v>
      </c>
    </row>
    <row r="603">
      <c r="A603" s="70">
        <v>44690.0</v>
      </c>
      <c r="B603" s="57">
        <v>2025.0</v>
      </c>
      <c r="C603" s="57">
        <v>3.0</v>
      </c>
      <c r="D603" s="57" t="s">
        <v>191</v>
      </c>
      <c r="E603" s="57">
        <v>0.0</v>
      </c>
      <c r="F603" s="57">
        <v>1.4186</v>
      </c>
      <c r="G603" s="57">
        <v>0.6935</v>
      </c>
    </row>
    <row r="604">
      <c r="A604" s="70">
        <v>44690.0</v>
      </c>
      <c r="B604" s="57">
        <v>2029.0</v>
      </c>
      <c r="C604" s="57">
        <v>2.0</v>
      </c>
      <c r="D604" s="57" t="s">
        <v>191</v>
      </c>
      <c r="E604" s="57">
        <v>1.0</v>
      </c>
      <c r="F604" s="57">
        <v>1.2912</v>
      </c>
      <c r="G604" s="57">
        <v>0.7638</v>
      </c>
    </row>
    <row r="605">
      <c r="A605" s="70">
        <v>44690.0</v>
      </c>
      <c r="B605" s="57">
        <v>2022.0</v>
      </c>
      <c r="C605" s="57">
        <v>3.0</v>
      </c>
      <c r="D605" s="57" t="s">
        <v>179</v>
      </c>
      <c r="E605" s="57">
        <v>1.0</v>
      </c>
      <c r="F605" s="57">
        <v>0.578</v>
      </c>
      <c r="G605" s="57">
        <v>0.2878</v>
      </c>
    </row>
    <row r="606">
      <c r="A606" s="70">
        <v>44690.0</v>
      </c>
      <c r="B606" s="57">
        <v>2093.0</v>
      </c>
      <c r="C606" s="57">
        <v>1.0</v>
      </c>
      <c r="D606" s="57" t="s">
        <v>179</v>
      </c>
      <c r="E606" s="57">
        <v>1.0</v>
      </c>
      <c r="F606" s="57">
        <v>0.4302</v>
      </c>
      <c r="G606" s="57">
        <v>0.2049</v>
      </c>
    </row>
    <row r="607">
      <c r="A607" s="70">
        <v>44690.0</v>
      </c>
      <c r="B607" s="57">
        <v>2093.0</v>
      </c>
      <c r="C607" s="57">
        <v>3.0</v>
      </c>
      <c r="D607" s="57" t="s">
        <v>191</v>
      </c>
      <c r="E607" s="57">
        <v>1.0</v>
      </c>
      <c r="F607" s="57">
        <v>1.5782</v>
      </c>
      <c r="G607" s="57">
        <v>0.9233</v>
      </c>
    </row>
    <row r="608">
      <c r="A608" s="70">
        <v>44690.0</v>
      </c>
      <c r="B608" s="57">
        <v>2087.0</v>
      </c>
      <c r="C608" s="57">
        <v>1.0</v>
      </c>
      <c r="D608" s="57" t="s">
        <v>179</v>
      </c>
      <c r="E608" s="57">
        <v>1.0</v>
      </c>
      <c r="F608" s="57">
        <v>0.2468</v>
      </c>
      <c r="G608" s="71">
        <v>0.111</v>
      </c>
    </row>
    <row r="609">
      <c r="A609" s="70">
        <v>44690.0</v>
      </c>
      <c r="B609" s="57">
        <v>2023.0</v>
      </c>
      <c r="C609" s="57">
        <v>1.0</v>
      </c>
      <c r="D609" s="57" t="s">
        <v>179</v>
      </c>
      <c r="E609" s="57">
        <v>1.0</v>
      </c>
      <c r="F609" s="57">
        <v>0.2053</v>
      </c>
      <c r="G609" s="57">
        <v>0.1038</v>
      </c>
    </row>
    <row r="610">
      <c r="A610" s="70">
        <v>44690.0</v>
      </c>
      <c r="B610" s="57">
        <v>2093.0</v>
      </c>
      <c r="C610" s="57">
        <v>3.0</v>
      </c>
      <c r="D610" s="57" t="s">
        <v>179</v>
      </c>
      <c r="E610" s="57">
        <v>1.0</v>
      </c>
      <c r="F610" s="57">
        <v>0.4259</v>
      </c>
      <c r="G610" s="57">
        <v>0.2092</v>
      </c>
    </row>
    <row r="611">
      <c r="A611" s="70">
        <v>44690.0</v>
      </c>
      <c r="B611" s="57">
        <v>2023.0</v>
      </c>
      <c r="C611" s="57">
        <v>2.0</v>
      </c>
      <c r="D611" s="57" t="s">
        <v>179</v>
      </c>
      <c r="E611" s="57">
        <v>1.0</v>
      </c>
      <c r="F611" s="57">
        <v>0.1859</v>
      </c>
      <c r="G611" s="57">
        <v>0.0874</v>
      </c>
    </row>
    <row r="612">
      <c r="A612" s="70">
        <v>44690.0</v>
      </c>
      <c r="B612" s="57">
        <v>2026.0</v>
      </c>
      <c r="C612" s="57">
        <v>3.0</v>
      </c>
      <c r="D612" s="57" t="s">
        <v>179</v>
      </c>
      <c r="E612" s="57">
        <v>0.0</v>
      </c>
      <c r="F612" s="57">
        <v>0.181</v>
      </c>
      <c r="G612" s="57">
        <v>0.0785</v>
      </c>
    </row>
    <row r="613">
      <c r="A613" s="70">
        <v>44690.0</v>
      </c>
      <c r="B613" s="57">
        <v>2031.0</v>
      </c>
      <c r="C613" s="57">
        <v>3.0</v>
      </c>
      <c r="D613" s="57" t="s">
        <v>179</v>
      </c>
      <c r="E613" s="57">
        <v>1.0</v>
      </c>
      <c r="F613" s="57">
        <v>0.1087</v>
      </c>
      <c r="G613" s="57">
        <v>0.1468</v>
      </c>
    </row>
    <row r="614">
      <c r="A614" s="70">
        <v>44690.0</v>
      </c>
      <c r="B614" s="57">
        <v>2027.0</v>
      </c>
      <c r="C614" s="57">
        <v>3.0</v>
      </c>
      <c r="D614" s="57" t="s">
        <v>191</v>
      </c>
      <c r="E614" s="57">
        <v>0.0</v>
      </c>
      <c r="F614" s="57">
        <v>2.363</v>
      </c>
      <c r="G614" s="57">
        <v>1.1424</v>
      </c>
    </row>
    <row r="615">
      <c r="A615" s="70">
        <v>44690.0</v>
      </c>
      <c r="B615" s="57">
        <v>2031.0</v>
      </c>
      <c r="C615" s="57">
        <v>3.0</v>
      </c>
      <c r="D615" s="57" t="s">
        <v>179</v>
      </c>
      <c r="E615" s="57">
        <v>0.0</v>
      </c>
      <c r="F615" s="57">
        <v>0.2943</v>
      </c>
      <c r="G615" s="57">
        <v>0.0489</v>
      </c>
    </row>
    <row r="616">
      <c r="A616" s="70">
        <v>44690.0</v>
      </c>
      <c r="B616" s="57">
        <v>2028.0</v>
      </c>
      <c r="C616" s="57">
        <v>2.0</v>
      </c>
      <c r="D616" s="57" t="s">
        <v>179</v>
      </c>
      <c r="E616" s="57">
        <v>1.0</v>
      </c>
      <c r="F616" s="57">
        <v>0.2577</v>
      </c>
      <c r="G616" s="57">
        <v>0.127</v>
      </c>
    </row>
    <row r="617">
      <c r="A617" s="70">
        <v>44690.0</v>
      </c>
      <c r="B617" s="57">
        <v>2030.0</v>
      </c>
      <c r="C617" s="57">
        <v>2.0</v>
      </c>
      <c r="D617" s="57" t="s">
        <v>191</v>
      </c>
      <c r="E617" s="57">
        <v>1.0</v>
      </c>
      <c r="F617" s="57">
        <v>0.265</v>
      </c>
      <c r="G617" s="57">
        <v>0.3535</v>
      </c>
    </row>
    <row r="618">
      <c r="A618" s="70">
        <v>44690.0</v>
      </c>
      <c r="B618" s="57">
        <v>2086.0</v>
      </c>
      <c r="C618" s="57">
        <v>1.0</v>
      </c>
      <c r="D618" s="57" t="s">
        <v>179</v>
      </c>
      <c r="E618" s="57">
        <v>0.0</v>
      </c>
      <c r="F618" s="57">
        <v>0.436</v>
      </c>
      <c r="G618" s="57">
        <v>0.1757</v>
      </c>
    </row>
    <row r="619">
      <c r="A619" s="70">
        <v>44690.0</v>
      </c>
      <c r="B619" s="57">
        <v>2027.0</v>
      </c>
      <c r="C619" s="57">
        <v>2.0</v>
      </c>
      <c r="D619" s="57" t="s">
        <v>179</v>
      </c>
      <c r="E619" s="57">
        <v>1.0</v>
      </c>
      <c r="F619" s="57">
        <v>0.1581</v>
      </c>
      <c r="G619" s="57">
        <v>0.0704</v>
      </c>
    </row>
    <row r="620">
      <c r="A620" s="70">
        <v>44690.0</v>
      </c>
      <c r="B620" s="57">
        <v>2090.0</v>
      </c>
      <c r="C620" s="57">
        <v>3.0</v>
      </c>
      <c r="D620" s="57" t="s">
        <v>191</v>
      </c>
      <c r="E620" s="57">
        <v>0.0</v>
      </c>
      <c r="F620" s="57">
        <v>0.973</v>
      </c>
      <c r="G620" s="57">
        <v>0.4512</v>
      </c>
    </row>
    <row r="621">
      <c r="A621" s="70">
        <v>44690.0</v>
      </c>
      <c r="B621" s="57">
        <v>2022.0</v>
      </c>
      <c r="C621" s="57">
        <v>3.0</v>
      </c>
      <c r="D621" s="57" t="s">
        <v>191</v>
      </c>
      <c r="E621" s="57">
        <v>0.0</v>
      </c>
      <c r="F621" s="57">
        <v>0.209</v>
      </c>
      <c r="G621" s="57">
        <v>0.0965</v>
      </c>
    </row>
    <row r="622">
      <c r="A622" s="70">
        <v>44690.0</v>
      </c>
      <c r="B622" s="57">
        <v>2022.0</v>
      </c>
      <c r="C622" s="57">
        <v>2.0</v>
      </c>
      <c r="D622" s="57" t="s">
        <v>179</v>
      </c>
      <c r="E622" s="57">
        <v>0.0</v>
      </c>
      <c r="F622" s="57">
        <v>0.1733</v>
      </c>
      <c r="G622" s="57">
        <v>0.0756</v>
      </c>
    </row>
    <row r="623">
      <c r="A623" s="70">
        <v>44690.0</v>
      </c>
      <c r="B623" s="57">
        <v>2022.0</v>
      </c>
      <c r="C623" s="57">
        <v>2.0</v>
      </c>
      <c r="D623" s="57" t="s">
        <v>191</v>
      </c>
      <c r="E623" s="57">
        <v>1.0</v>
      </c>
      <c r="F623" s="57">
        <v>0.4823</v>
      </c>
      <c r="G623" s="57">
        <v>0.2412</v>
      </c>
    </row>
    <row r="624">
      <c r="A624" s="70">
        <v>44690.0</v>
      </c>
      <c r="B624" s="57">
        <v>2025.0</v>
      </c>
      <c r="C624" s="57">
        <v>3.0</v>
      </c>
      <c r="D624" s="57" t="s">
        <v>179</v>
      </c>
      <c r="E624" s="57">
        <v>0.0</v>
      </c>
      <c r="F624" s="71">
        <v>0.181</v>
      </c>
      <c r="G624" s="57">
        <v>0.0828</v>
      </c>
    </row>
    <row r="625">
      <c r="A625" s="70">
        <v>44690.0</v>
      </c>
      <c r="B625" s="57">
        <v>2026.0</v>
      </c>
      <c r="C625" s="57">
        <v>2.0</v>
      </c>
      <c r="D625" s="57" t="s">
        <v>179</v>
      </c>
      <c r="E625" s="57">
        <v>0.0</v>
      </c>
      <c r="F625" s="57">
        <v>0.3642</v>
      </c>
      <c r="G625" s="57">
        <v>0.1633</v>
      </c>
    </row>
    <row r="626">
      <c r="A626" s="70">
        <v>44690.0</v>
      </c>
      <c r="B626" s="57">
        <v>2029.0</v>
      </c>
      <c r="C626" s="57">
        <v>3.0</v>
      </c>
      <c r="D626" s="57" t="s">
        <v>179</v>
      </c>
      <c r="E626" s="57">
        <v>0.0</v>
      </c>
      <c r="F626" s="57">
        <v>0.1116</v>
      </c>
      <c r="G626" s="71">
        <v>0.054</v>
      </c>
    </row>
    <row r="627">
      <c r="A627" s="70">
        <v>44690.0</v>
      </c>
      <c r="B627" s="57">
        <v>2087.0</v>
      </c>
      <c r="C627" s="57">
        <v>1.0</v>
      </c>
      <c r="D627" s="57" t="s">
        <v>179</v>
      </c>
      <c r="E627" s="57">
        <v>0.0</v>
      </c>
      <c r="F627" s="57">
        <v>0.2863</v>
      </c>
      <c r="G627" s="57">
        <v>0.1156</v>
      </c>
    </row>
    <row r="628">
      <c r="A628" s="70">
        <v>44690.0</v>
      </c>
      <c r="B628" s="57">
        <v>2090.0</v>
      </c>
      <c r="C628" s="57">
        <v>2.0</v>
      </c>
      <c r="D628" s="57" t="s">
        <v>179</v>
      </c>
      <c r="E628" s="57">
        <v>1.0</v>
      </c>
      <c r="F628" s="57">
        <v>0.1294</v>
      </c>
      <c r="G628" s="57">
        <v>0.0628</v>
      </c>
    </row>
    <row r="629">
      <c r="A629" s="70">
        <v>44690.0</v>
      </c>
      <c r="B629" s="57">
        <v>2086.0</v>
      </c>
      <c r="C629" s="57">
        <v>1.0</v>
      </c>
      <c r="D629" s="57" t="s">
        <v>179</v>
      </c>
      <c r="E629" s="57">
        <v>1.0</v>
      </c>
      <c r="F629" s="57">
        <v>0.3808</v>
      </c>
      <c r="G629" s="57">
        <v>0.1642</v>
      </c>
    </row>
    <row r="630">
      <c r="A630" s="70">
        <v>44690.0</v>
      </c>
      <c r="B630" s="57">
        <v>2022.0</v>
      </c>
      <c r="C630" s="57">
        <v>3.0</v>
      </c>
      <c r="D630" s="57" t="s">
        <v>191</v>
      </c>
      <c r="E630" s="57">
        <v>1.0</v>
      </c>
      <c r="F630" s="57">
        <v>1.29</v>
      </c>
      <c r="G630" s="57">
        <v>0.7086</v>
      </c>
    </row>
    <row r="631">
      <c r="A631" s="70">
        <v>44690.0</v>
      </c>
      <c r="B631" s="57">
        <v>2029.0</v>
      </c>
      <c r="C631" s="57">
        <v>1.0</v>
      </c>
      <c r="D631" s="57" t="s">
        <v>191</v>
      </c>
      <c r="E631" s="57">
        <v>0.0</v>
      </c>
      <c r="F631" s="57">
        <v>2.0579</v>
      </c>
      <c r="G631" s="57">
        <v>1.0677</v>
      </c>
    </row>
    <row r="632">
      <c r="A632" s="70">
        <v>44690.0</v>
      </c>
      <c r="B632" s="57">
        <v>2024.0</v>
      </c>
      <c r="C632" s="57">
        <v>3.0</v>
      </c>
      <c r="D632" s="57" t="s">
        <v>191</v>
      </c>
      <c r="E632" s="57">
        <v>0.0</v>
      </c>
      <c r="F632" s="57">
        <v>1.8329</v>
      </c>
      <c r="G632" s="57">
        <v>0.8913</v>
      </c>
    </row>
    <row r="633">
      <c r="A633" s="70">
        <v>44690.0</v>
      </c>
      <c r="B633" s="57">
        <v>2023.0</v>
      </c>
      <c r="C633" s="57">
        <v>3.0</v>
      </c>
      <c r="D633" s="57" t="s">
        <v>179</v>
      </c>
      <c r="E633" s="57">
        <v>0.0</v>
      </c>
      <c r="F633" s="57">
        <v>0.3371</v>
      </c>
      <c r="G633" s="57">
        <v>0.1589</v>
      </c>
    </row>
    <row r="634">
      <c r="A634" s="70">
        <v>44690.0</v>
      </c>
      <c r="B634" s="57">
        <v>2026.0</v>
      </c>
      <c r="C634" s="57">
        <v>3.0</v>
      </c>
      <c r="D634" s="57" t="s">
        <v>179</v>
      </c>
      <c r="E634" s="57">
        <v>1.0</v>
      </c>
      <c r="F634" s="57">
        <v>0.0985</v>
      </c>
      <c r="G634" s="57">
        <v>0.0497</v>
      </c>
    </row>
    <row r="635">
      <c r="A635" s="70">
        <v>44690.0</v>
      </c>
      <c r="B635" s="57">
        <v>2029.0</v>
      </c>
      <c r="C635" s="57">
        <v>3.0</v>
      </c>
      <c r="D635" s="57" t="s">
        <v>179</v>
      </c>
      <c r="E635" s="57">
        <v>1.0</v>
      </c>
      <c r="F635" s="57">
        <v>0.2212</v>
      </c>
      <c r="G635" s="57">
        <v>0.1002</v>
      </c>
    </row>
    <row r="636">
      <c r="A636" s="70">
        <v>44690.0</v>
      </c>
      <c r="B636" s="57">
        <v>2026.0</v>
      </c>
      <c r="C636" s="57">
        <v>3.0</v>
      </c>
      <c r="D636" s="57" t="s">
        <v>191</v>
      </c>
      <c r="E636" s="57">
        <v>0.0</v>
      </c>
      <c r="F636" s="57">
        <v>0.9598</v>
      </c>
      <c r="G636" s="57">
        <v>0.4893</v>
      </c>
    </row>
    <row r="637">
      <c r="A637" s="70">
        <v>44690.0</v>
      </c>
      <c r="B637" s="57">
        <v>2090.0</v>
      </c>
      <c r="C637" s="57">
        <v>3.0</v>
      </c>
      <c r="D637" s="57" t="s">
        <v>179</v>
      </c>
      <c r="E637" s="57">
        <v>0.0</v>
      </c>
      <c r="F637" s="57">
        <v>0.1127</v>
      </c>
      <c r="G637" s="57">
        <v>0.0468</v>
      </c>
    </row>
    <row r="638">
      <c r="A638" s="70">
        <v>44690.0</v>
      </c>
      <c r="B638" s="57">
        <v>2025.0</v>
      </c>
      <c r="C638" s="57">
        <v>3.0</v>
      </c>
      <c r="D638" s="57" t="s">
        <v>179</v>
      </c>
      <c r="E638" s="57">
        <v>1.0</v>
      </c>
      <c r="F638" s="57">
        <v>0.4827</v>
      </c>
      <c r="G638" s="57">
        <v>0.2489</v>
      </c>
    </row>
    <row r="639">
      <c r="A639" s="70">
        <v>44690.0</v>
      </c>
      <c r="B639" s="57">
        <v>2015.0</v>
      </c>
      <c r="C639" s="57">
        <v>2.0</v>
      </c>
      <c r="D639" s="57" t="s">
        <v>179</v>
      </c>
      <c r="E639" s="57">
        <v>0.0</v>
      </c>
      <c r="F639" s="57">
        <v>0.31658</v>
      </c>
      <c r="G639" s="57">
        <v>0.1306</v>
      </c>
    </row>
    <row r="640">
      <c r="A640" s="70">
        <v>44690.0</v>
      </c>
      <c r="B640" s="57">
        <v>2007.0</v>
      </c>
      <c r="C640" s="57">
        <v>1.0</v>
      </c>
      <c r="D640" s="57" t="s">
        <v>179</v>
      </c>
      <c r="E640" s="57">
        <v>0.0</v>
      </c>
      <c r="F640" s="57">
        <v>0.0909</v>
      </c>
      <c r="G640" s="57">
        <v>0.0378</v>
      </c>
    </row>
    <row r="641">
      <c r="A641" s="70">
        <v>44690.0</v>
      </c>
      <c r="B641" s="57">
        <v>2022.0</v>
      </c>
      <c r="C641" s="57">
        <v>2.0</v>
      </c>
      <c r="D641" s="57" t="s">
        <v>179</v>
      </c>
      <c r="E641" s="57">
        <v>1.0</v>
      </c>
      <c r="F641" s="57">
        <v>0.1292</v>
      </c>
      <c r="G641" s="57">
        <v>0.0616</v>
      </c>
    </row>
    <row r="642">
      <c r="A642" s="70">
        <v>44690.0</v>
      </c>
      <c r="B642" s="57">
        <v>2030.0</v>
      </c>
      <c r="C642" s="57">
        <v>3.0</v>
      </c>
      <c r="D642" s="57" t="s">
        <v>191</v>
      </c>
      <c r="E642" s="57">
        <v>0.0</v>
      </c>
      <c r="F642" s="57">
        <v>1.0264</v>
      </c>
      <c r="G642" s="57">
        <v>0.537</v>
      </c>
    </row>
    <row r="643">
      <c r="A643" s="70">
        <v>44690.0</v>
      </c>
      <c r="B643" s="57">
        <v>2015.0</v>
      </c>
      <c r="C643" s="57">
        <v>2.0</v>
      </c>
      <c r="D643" s="57" t="s">
        <v>191</v>
      </c>
      <c r="E643" s="57">
        <v>0.0</v>
      </c>
      <c r="F643" s="71">
        <v>0.703</v>
      </c>
      <c r="G643" s="57">
        <v>0.3415</v>
      </c>
    </row>
    <row r="644">
      <c r="A644" s="70">
        <v>44690.0</v>
      </c>
      <c r="B644" s="57">
        <v>2022.0</v>
      </c>
      <c r="C644" s="57">
        <v>2.0</v>
      </c>
      <c r="D644" s="57" t="s">
        <v>191</v>
      </c>
      <c r="E644" s="57">
        <v>0.0</v>
      </c>
      <c r="F644" s="57">
        <v>2.2135</v>
      </c>
      <c r="G644" s="57">
        <v>1.124</v>
      </c>
    </row>
    <row r="645">
      <c r="A645" s="70">
        <v>44690.0</v>
      </c>
      <c r="B645" s="57">
        <v>2024.0</v>
      </c>
      <c r="C645" s="57">
        <v>2.0</v>
      </c>
      <c r="D645" s="57" t="s">
        <v>191</v>
      </c>
      <c r="E645" s="57">
        <v>0.0</v>
      </c>
      <c r="F645" s="57">
        <v>1.1178</v>
      </c>
      <c r="G645" s="57">
        <v>0.5429</v>
      </c>
    </row>
    <row r="646">
      <c r="A646" s="70">
        <v>44690.0</v>
      </c>
      <c r="B646" s="57">
        <v>2015.0</v>
      </c>
      <c r="C646" s="57">
        <v>2.0</v>
      </c>
      <c r="D646" s="57" t="s">
        <v>179</v>
      </c>
      <c r="E646" s="57">
        <v>1.0</v>
      </c>
      <c r="F646" s="57">
        <v>0.0751</v>
      </c>
      <c r="G646" s="57">
        <v>0.0353</v>
      </c>
    </row>
    <row r="647">
      <c r="A647" s="70">
        <v>44690.0</v>
      </c>
      <c r="B647" s="57">
        <v>2023.0</v>
      </c>
      <c r="C647" s="57">
        <v>1.0</v>
      </c>
      <c r="D647" s="57" t="s">
        <v>191</v>
      </c>
      <c r="E647" s="57">
        <v>0.0</v>
      </c>
      <c r="F647" s="57">
        <v>0.6646</v>
      </c>
      <c r="G647" s="57">
        <v>0.3394</v>
      </c>
    </row>
    <row r="648">
      <c r="A648" s="70">
        <v>44690.0</v>
      </c>
      <c r="B648" s="57">
        <v>2023.0</v>
      </c>
      <c r="C648" s="57">
        <v>1.0</v>
      </c>
      <c r="D648" s="57" t="s">
        <v>191</v>
      </c>
      <c r="E648" s="57">
        <v>1.0</v>
      </c>
      <c r="F648" s="57">
        <v>1.4512</v>
      </c>
      <c r="G648" s="57">
        <v>0.8228</v>
      </c>
    </row>
    <row r="649">
      <c r="A649" s="70">
        <v>44690.0</v>
      </c>
      <c r="B649" s="57">
        <v>2027.0</v>
      </c>
      <c r="C649" s="57">
        <v>1.0</v>
      </c>
      <c r="D649" s="57" t="s">
        <v>179</v>
      </c>
      <c r="E649" s="57">
        <v>1.0</v>
      </c>
      <c r="F649" s="57">
        <v>0.4326</v>
      </c>
      <c r="G649" s="57">
        <v>0.2115</v>
      </c>
    </row>
    <row r="650">
      <c r="A650" s="70">
        <v>44690.0</v>
      </c>
      <c r="B650" s="57">
        <v>2029.0</v>
      </c>
      <c r="C650" s="57">
        <v>3.0</v>
      </c>
      <c r="D650" s="57" t="s">
        <v>191</v>
      </c>
      <c r="E650" s="57">
        <v>0.0</v>
      </c>
      <c r="F650" s="57">
        <v>1.0007</v>
      </c>
      <c r="G650" s="57">
        <v>0.568</v>
      </c>
    </row>
    <row r="651">
      <c r="A651" s="70">
        <v>44690.0</v>
      </c>
      <c r="B651" s="57">
        <v>2022.0</v>
      </c>
      <c r="C651" s="57">
        <v>1.0</v>
      </c>
      <c r="D651" s="57" t="s">
        <v>191</v>
      </c>
      <c r="E651" s="57">
        <v>1.0</v>
      </c>
      <c r="F651" s="57">
        <v>0.3887</v>
      </c>
      <c r="G651" s="57">
        <v>0.2121</v>
      </c>
    </row>
    <row r="652">
      <c r="A652" s="70">
        <v>44690.0</v>
      </c>
      <c r="B652" s="57">
        <v>2027.0</v>
      </c>
      <c r="C652" s="57">
        <v>2.0</v>
      </c>
      <c r="D652" s="57" t="s">
        <v>191</v>
      </c>
      <c r="E652" s="57">
        <v>0.0</v>
      </c>
      <c r="F652" s="57">
        <v>2.513</v>
      </c>
      <c r="G652" s="57">
        <v>1.2261</v>
      </c>
    </row>
    <row r="653">
      <c r="A653" s="70">
        <v>44690.0</v>
      </c>
      <c r="B653" s="57">
        <v>2022.0</v>
      </c>
      <c r="C653" s="57">
        <v>1.0</v>
      </c>
      <c r="D653" s="57" t="s">
        <v>191</v>
      </c>
      <c r="E653" s="57">
        <v>0.0</v>
      </c>
      <c r="F653" s="57">
        <v>1.3589</v>
      </c>
      <c r="G653" s="57">
        <v>0.7013</v>
      </c>
    </row>
    <row r="654">
      <c r="A654" s="70">
        <v>44690.0</v>
      </c>
      <c r="B654" s="57">
        <v>2023.0</v>
      </c>
      <c r="C654" s="57">
        <v>3.0</v>
      </c>
      <c r="D654" s="57" t="s">
        <v>191</v>
      </c>
      <c r="E654" s="57">
        <v>0.0</v>
      </c>
      <c r="F654" s="57">
        <v>1.9952</v>
      </c>
      <c r="G654" s="57">
        <v>0.9981</v>
      </c>
    </row>
    <row r="655">
      <c r="A655" s="70">
        <v>44690.0</v>
      </c>
      <c r="B655" s="57">
        <v>2028.0</v>
      </c>
      <c r="C655" s="57">
        <v>2.0</v>
      </c>
      <c r="D655" s="57" t="s">
        <v>191</v>
      </c>
      <c r="E655" s="57">
        <v>0.0</v>
      </c>
      <c r="F655" s="57">
        <v>1.3616</v>
      </c>
      <c r="G655" s="57">
        <v>0.6734</v>
      </c>
    </row>
    <row r="656">
      <c r="A656" s="70">
        <v>44690.0</v>
      </c>
      <c r="B656" s="57">
        <v>2029.0</v>
      </c>
      <c r="C656" s="57">
        <v>3.0</v>
      </c>
      <c r="D656" s="57" t="s">
        <v>191</v>
      </c>
      <c r="E656" s="57">
        <v>1.0</v>
      </c>
      <c r="F656" s="57">
        <v>0.9334</v>
      </c>
      <c r="G656" s="57">
        <v>0.4988</v>
      </c>
    </row>
    <row r="657">
      <c r="A657" s="70">
        <v>44690.0</v>
      </c>
      <c r="B657" s="57">
        <v>2025.0</v>
      </c>
      <c r="C657" s="57">
        <v>2.0</v>
      </c>
      <c r="D657" s="57" t="s">
        <v>191</v>
      </c>
      <c r="E657" s="57">
        <v>0.0</v>
      </c>
      <c r="F657" s="57">
        <v>1.2847</v>
      </c>
      <c r="G657" s="57">
        <v>0.6212</v>
      </c>
    </row>
    <row r="658">
      <c r="A658" s="70">
        <v>44690.0</v>
      </c>
      <c r="B658" s="57">
        <v>2022.0</v>
      </c>
      <c r="C658" s="57">
        <v>3.0</v>
      </c>
      <c r="D658" s="57" t="s">
        <v>179</v>
      </c>
      <c r="E658" s="57">
        <v>0.0</v>
      </c>
      <c r="F658" s="57">
        <v>0.0333</v>
      </c>
      <c r="G658" s="57">
        <v>0.0125</v>
      </c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57"/>
    <col customWidth="1" min="2" max="2" width="9.0"/>
    <col customWidth="1" min="3" max="5" width="10.71"/>
    <col customWidth="1" min="6" max="6" width="6.86"/>
    <col customWidth="1" min="7" max="7" width="4.71"/>
    <col customWidth="1" min="8" max="8" width="5.0"/>
    <col customWidth="1" min="9" max="9" width="4.57"/>
    <col customWidth="1" min="10" max="10" width="4.71"/>
  </cols>
  <sheetData>
    <row r="1">
      <c r="A1" s="68" t="s">
        <v>192</v>
      </c>
      <c r="B1" s="68" t="s">
        <v>193</v>
      </c>
      <c r="C1" s="68" t="s">
        <v>194</v>
      </c>
      <c r="D1" s="68" t="s">
        <v>195</v>
      </c>
      <c r="E1" s="68" t="s">
        <v>176</v>
      </c>
      <c r="F1" s="68" t="s">
        <v>196</v>
      </c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</row>
    <row r="2">
      <c r="A2" s="70">
        <v>44620.0</v>
      </c>
      <c r="B2" s="57">
        <v>2381.0</v>
      </c>
      <c r="C2" s="57">
        <v>2381.0</v>
      </c>
      <c r="D2" s="57">
        <v>1.0</v>
      </c>
      <c r="E2" s="57">
        <v>0.094</v>
      </c>
      <c r="F2" s="57">
        <v>3.0</v>
      </c>
    </row>
    <row r="3">
      <c r="A3" s="70">
        <v>44620.0</v>
      </c>
      <c r="B3" s="57">
        <v>2351.05</v>
      </c>
      <c r="C3" s="57">
        <v>2351.0</v>
      </c>
      <c r="D3" s="57">
        <v>5.0</v>
      </c>
      <c r="E3" s="57">
        <v>0.809</v>
      </c>
      <c r="F3" s="57">
        <v>3.0</v>
      </c>
    </row>
    <row r="4">
      <c r="A4" s="70">
        <v>44620.0</v>
      </c>
      <c r="B4" s="57">
        <v>2384.0</v>
      </c>
      <c r="C4" s="57">
        <v>2384.0</v>
      </c>
      <c r="D4" s="57">
        <v>3.0</v>
      </c>
      <c r="E4" s="57">
        <v>0.125</v>
      </c>
      <c r="F4" s="57">
        <v>3.0</v>
      </c>
    </row>
    <row r="5">
      <c r="A5" s="70">
        <v>44620.0</v>
      </c>
      <c r="B5" s="57">
        <v>2381.07</v>
      </c>
      <c r="C5" s="57">
        <v>2381.0</v>
      </c>
      <c r="D5" s="57">
        <v>7.0</v>
      </c>
      <c r="E5" s="57">
        <v>0.497</v>
      </c>
      <c r="F5" s="57">
        <v>3.0</v>
      </c>
    </row>
    <row r="6">
      <c r="A6" s="70">
        <v>44620.0</v>
      </c>
      <c r="B6" s="57">
        <v>2384.0</v>
      </c>
      <c r="C6" s="57">
        <v>2384.0</v>
      </c>
      <c r="D6" s="57">
        <v>7.0</v>
      </c>
      <c r="E6" s="57">
        <v>0.134</v>
      </c>
      <c r="F6" s="57">
        <v>3.0</v>
      </c>
    </row>
    <row r="7">
      <c r="A7" s="70">
        <v>44620.0</v>
      </c>
      <c r="B7" s="57">
        <v>2381.0</v>
      </c>
      <c r="C7" s="57">
        <v>2381.0</v>
      </c>
      <c r="D7" s="57">
        <v>1.0</v>
      </c>
      <c r="E7" s="57">
        <v>0.237</v>
      </c>
      <c r="F7" s="57">
        <v>3.0</v>
      </c>
    </row>
    <row r="8">
      <c r="A8" s="70">
        <v>44620.0</v>
      </c>
      <c r="B8" s="57">
        <v>2381.0</v>
      </c>
      <c r="C8" s="57">
        <v>2381.0</v>
      </c>
      <c r="D8" s="57">
        <v>2.0</v>
      </c>
      <c r="E8" s="57">
        <v>0.117</v>
      </c>
      <c r="F8" s="57">
        <v>3.0</v>
      </c>
    </row>
    <row r="9">
      <c r="A9" s="70">
        <v>44620.0</v>
      </c>
      <c r="B9" s="57">
        <v>2381.0</v>
      </c>
      <c r="C9" s="57">
        <v>2381.0</v>
      </c>
      <c r="D9" s="57">
        <v>2.0</v>
      </c>
      <c r="E9" s="57">
        <v>0.159</v>
      </c>
      <c r="F9" s="57">
        <v>3.0</v>
      </c>
    </row>
    <row r="10">
      <c r="A10" s="70">
        <v>44620.0</v>
      </c>
      <c r="B10" s="57">
        <v>2384.0</v>
      </c>
      <c r="C10" s="57">
        <v>2384.0</v>
      </c>
      <c r="D10" s="57">
        <v>4.0</v>
      </c>
      <c r="E10" s="57">
        <v>0.061</v>
      </c>
      <c r="F10" s="57">
        <v>3.0</v>
      </c>
    </row>
    <row r="11">
      <c r="A11" s="70">
        <v>44620.0</v>
      </c>
      <c r="B11" s="57">
        <v>2381.04</v>
      </c>
      <c r="C11" s="57">
        <v>2381.0</v>
      </c>
      <c r="D11" s="57">
        <v>4.0</v>
      </c>
      <c r="E11" s="57">
        <v>0.3</v>
      </c>
      <c r="F11" s="57">
        <v>3.0</v>
      </c>
    </row>
    <row r="12">
      <c r="A12" s="70">
        <v>44620.0</v>
      </c>
      <c r="B12" s="57">
        <v>2381.03</v>
      </c>
      <c r="C12" s="57">
        <v>2381.0</v>
      </c>
      <c r="D12" s="57">
        <v>3.0</v>
      </c>
      <c r="E12" s="57">
        <v>0.232</v>
      </c>
      <c r="F12" s="57">
        <v>3.0</v>
      </c>
    </row>
    <row r="13">
      <c r="A13" s="70">
        <v>44620.0</v>
      </c>
      <c r="B13" s="57">
        <v>2384.0</v>
      </c>
      <c r="C13" s="57">
        <v>2384.0</v>
      </c>
      <c r="D13" s="57">
        <v>6.0</v>
      </c>
      <c r="E13" s="57">
        <v>0.107</v>
      </c>
      <c r="F13" s="57">
        <v>3.0</v>
      </c>
    </row>
    <row r="14">
      <c r="A14" s="70">
        <v>44620.0</v>
      </c>
      <c r="B14" s="57">
        <v>2381.02</v>
      </c>
      <c r="C14" s="57">
        <v>2381.0</v>
      </c>
      <c r="D14" s="57">
        <v>2.0</v>
      </c>
      <c r="E14" s="57">
        <v>0.722</v>
      </c>
      <c r="F14" s="57">
        <v>3.0</v>
      </c>
    </row>
    <row r="15">
      <c r="A15" s="70">
        <v>44620.0</v>
      </c>
      <c r="B15" s="57">
        <v>2381.0</v>
      </c>
      <c r="C15" s="57">
        <v>2381.0</v>
      </c>
      <c r="D15" s="57">
        <v>4.0</v>
      </c>
      <c r="E15" s="57">
        <v>0.119</v>
      </c>
      <c r="F15" s="57">
        <v>3.0</v>
      </c>
    </row>
    <row r="16">
      <c r="A16" s="70">
        <v>44620.0</v>
      </c>
      <c r="B16" s="57">
        <v>2384.0</v>
      </c>
      <c r="C16" s="57">
        <v>2384.0</v>
      </c>
      <c r="D16" s="57">
        <v>2.0</v>
      </c>
      <c r="E16" s="57">
        <v>0.097</v>
      </c>
      <c r="F16" s="57">
        <v>3.0</v>
      </c>
    </row>
    <row r="17">
      <c r="A17" s="70">
        <v>44620.0</v>
      </c>
      <c r="B17" s="57">
        <v>2381.0</v>
      </c>
      <c r="C17" s="57">
        <v>2381.0</v>
      </c>
      <c r="D17" s="57">
        <v>3.0</v>
      </c>
      <c r="E17" s="57">
        <v>0.12</v>
      </c>
      <c r="F17" s="57">
        <v>3.0</v>
      </c>
    </row>
    <row r="18">
      <c r="A18" s="70">
        <v>44620.0</v>
      </c>
      <c r="B18" s="57">
        <v>2381.0</v>
      </c>
      <c r="C18" s="57">
        <v>2381.0</v>
      </c>
      <c r="D18" s="57">
        <v>5.0</v>
      </c>
      <c r="E18" s="57">
        <v>0.366</v>
      </c>
      <c r="F18" s="57">
        <v>3.0</v>
      </c>
    </row>
    <row r="19">
      <c r="A19" s="70">
        <v>44620.0</v>
      </c>
      <c r="B19" s="57">
        <v>2381.0</v>
      </c>
      <c r="C19" s="57">
        <v>2381.0</v>
      </c>
      <c r="D19" s="57">
        <v>3.0</v>
      </c>
      <c r="E19" s="57">
        <v>0.083</v>
      </c>
      <c r="F19" s="57">
        <v>3.0</v>
      </c>
    </row>
    <row r="20">
      <c r="A20" s="70">
        <v>44620.0</v>
      </c>
      <c r="B20" s="57">
        <v>2381.06</v>
      </c>
      <c r="C20" s="57">
        <v>2381.0</v>
      </c>
      <c r="D20" s="57">
        <v>6.0</v>
      </c>
      <c r="E20" s="57">
        <v>0.346</v>
      </c>
      <c r="F20" s="57">
        <v>3.0</v>
      </c>
    </row>
    <row r="21">
      <c r="A21" s="70">
        <v>44620.0</v>
      </c>
      <c r="B21" s="57">
        <v>2381.0</v>
      </c>
      <c r="C21" s="57">
        <v>2381.0</v>
      </c>
      <c r="D21" s="57">
        <v>5.0</v>
      </c>
      <c r="E21" s="57">
        <v>0.138</v>
      </c>
      <c r="F21" s="57">
        <v>3.0</v>
      </c>
    </row>
    <row r="22">
      <c r="A22" s="70">
        <v>44620.0</v>
      </c>
      <c r="B22" s="57">
        <v>2384.0</v>
      </c>
      <c r="C22" s="57">
        <v>2384.0</v>
      </c>
      <c r="D22" s="57">
        <v>1.0</v>
      </c>
      <c r="E22" s="57">
        <v>0.32</v>
      </c>
      <c r="F22" s="57">
        <v>3.0</v>
      </c>
    </row>
    <row r="23">
      <c r="A23" s="70">
        <v>44620.0</v>
      </c>
      <c r="B23" s="57">
        <v>2381.0</v>
      </c>
      <c r="C23" s="57">
        <v>2381.0</v>
      </c>
      <c r="D23" s="57">
        <v>1.0</v>
      </c>
      <c r="E23" s="57">
        <v>0.399</v>
      </c>
      <c r="F23" s="57">
        <v>3.0</v>
      </c>
    </row>
    <row r="24">
      <c r="A24" s="70">
        <v>44620.0</v>
      </c>
      <c r="B24" s="57">
        <v>2384.0</v>
      </c>
      <c r="C24" s="57">
        <v>2384.0</v>
      </c>
      <c r="D24" s="57">
        <v>5.0</v>
      </c>
      <c r="E24" s="57">
        <v>0.089</v>
      </c>
      <c r="F24" s="57">
        <v>3.0</v>
      </c>
    </row>
    <row r="25">
      <c r="A25" s="70">
        <v>44620.0</v>
      </c>
      <c r="B25" s="57">
        <v>2381.0</v>
      </c>
      <c r="C25" s="57">
        <v>2381.0</v>
      </c>
      <c r="D25" s="57">
        <v>4.0</v>
      </c>
      <c r="E25" s="57">
        <v>0.141</v>
      </c>
      <c r="F25" s="57">
        <v>3.0</v>
      </c>
    </row>
    <row r="26">
      <c r="A26" s="70">
        <v>44635.0</v>
      </c>
      <c r="B26" s="57">
        <v>2346.0</v>
      </c>
      <c r="C26" s="57">
        <v>2346.0</v>
      </c>
      <c r="D26" s="57">
        <v>3.0</v>
      </c>
      <c r="E26" s="57">
        <v>0.0095</v>
      </c>
      <c r="F26" s="57">
        <v>3.0</v>
      </c>
    </row>
    <row r="27">
      <c r="A27" s="70">
        <v>44635.0</v>
      </c>
      <c r="B27" s="57">
        <v>2367.0</v>
      </c>
      <c r="C27" s="57">
        <v>2367.0</v>
      </c>
      <c r="D27" s="57">
        <v>2.0</v>
      </c>
      <c r="E27" s="57">
        <v>0.105</v>
      </c>
      <c r="F27" s="57">
        <v>3.0</v>
      </c>
    </row>
    <row r="28">
      <c r="A28" s="70">
        <v>44635.0</v>
      </c>
      <c r="B28" s="57">
        <v>2365.0</v>
      </c>
      <c r="C28" s="57">
        <v>2365.0</v>
      </c>
      <c r="D28" s="57">
        <v>6.0</v>
      </c>
      <c r="E28" s="57">
        <v>0.993</v>
      </c>
      <c r="F28" s="57">
        <v>3.0</v>
      </c>
    </row>
    <row r="29">
      <c r="A29" s="70">
        <v>44635.0</v>
      </c>
      <c r="B29" s="57">
        <v>2365.0</v>
      </c>
      <c r="C29" s="57">
        <v>2365.0</v>
      </c>
      <c r="D29" s="57">
        <v>2.0</v>
      </c>
      <c r="E29" s="57">
        <v>0.674</v>
      </c>
      <c r="F29" s="57">
        <v>3.0</v>
      </c>
    </row>
    <row r="30">
      <c r="A30" s="70">
        <v>44635.0</v>
      </c>
      <c r="B30" s="57">
        <v>2365.0</v>
      </c>
      <c r="C30" s="57">
        <v>2365.0</v>
      </c>
      <c r="D30" s="57">
        <v>1.0</v>
      </c>
      <c r="E30" s="57">
        <v>1.064</v>
      </c>
      <c r="F30" s="57">
        <v>3.0</v>
      </c>
    </row>
    <row r="31">
      <c r="A31" s="70">
        <v>44635.0</v>
      </c>
      <c r="B31" s="57">
        <v>2365.0</v>
      </c>
      <c r="C31" s="57">
        <v>2365.0</v>
      </c>
      <c r="D31" s="57">
        <v>5.0</v>
      </c>
      <c r="E31" s="57">
        <v>0.981</v>
      </c>
      <c r="F31" s="57">
        <v>3.0</v>
      </c>
    </row>
    <row r="32">
      <c r="A32" s="70">
        <v>44635.0</v>
      </c>
      <c r="B32" s="57">
        <v>2343.0</v>
      </c>
      <c r="C32" s="57">
        <v>2343.0</v>
      </c>
      <c r="D32" s="57">
        <v>5.0</v>
      </c>
      <c r="E32" s="57">
        <v>0.118</v>
      </c>
      <c r="F32" s="57">
        <v>3.0</v>
      </c>
    </row>
    <row r="33">
      <c r="A33" s="70">
        <v>44635.0</v>
      </c>
      <c r="B33" s="57">
        <v>2346.0</v>
      </c>
      <c r="C33" s="57">
        <v>2346.0</v>
      </c>
      <c r="D33" s="57">
        <v>6.0</v>
      </c>
      <c r="E33" s="57">
        <v>0.083</v>
      </c>
      <c r="F33" s="57">
        <v>3.0</v>
      </c>
    </row>
    <row r="34">
      <c r="A34" s="70">
        <v>44635.0</v>
      </c>
      <c r="B34" s="57">
        <v>2347.0</v>
      </c>
      <c r="C34" s="57">
        <v>2347.0</v>
      </c>
      <c r="D34" s="57">
        <v>4.0</v>
      </c>
      <c r="E34" s="57">
        <v>0.039</v>
      </c>
      <c r="F34" s="57">
        <v>3.0</v>
      </c>
    </row>
    <row r="35">
      <c r="A35" s="70">
        <v>44635.0</v>
      </c>
      <c r="B35" s="57">
        <v>2343.0</v>
      </c>
      <c r="C35" s="57">
        <v>2343.0</v>
      </c>
      <c r="D35" s="57">
        <v>6.0</v>
      </c>
      <c r="E35" s="57">
        <v>0.031</v>
      </c>
      <c r="F35" s="57">
        <v>3.0</v>
      </c>
    </row>
    <row r="36">
      <c r="A36" s="70">
        <v>44635.0</v>
      </c>
      <c r="B36" s="57">
        <v>2346.0</v>
      </c>
      <c r="C36" s="57">
        <v>2346.0</v>
      </c>
      <c r="D36" s="57">
        <v>2.0</v>
      </c>
      <c r="E36" s="57">
        <v>0.186</v>
      </c>
      <c r="F36" s="57">
        <v>3.0</v>
      </c>
    </row>
    <row r="37">
      <c r="A37" s="70">
        <v>44635.0</v>
      </c>
      <c r="B37" s="57">
        <v>2343.0</v>
      </c>
      <c r="C37" s="57">
        <v>2343.0</v>
      </c>
      <c r="D37" s="57">
        <v>3.0</v>
      </c>
      <c r="E37" s="57">
        <v>0.091</v>
      </c>
      <c r="F37" s="57">
        <v>3.0</v>
      </c>
    </row>
    <row r="38">
      <c r="A38" s="70">
        <v>44635.0</v>
      </c>
      <c r="B38" s="57">
        <v>2343.0</v>
      </c>
      <c r="C38" s="57">
        <v>2343.0</v>
      </c>
      <c r="D38" s="57">
        <v>4.0</v>
      </c>
      <c r="E38" s="57">
        <v>0.207</v>
      </c>
      <c r="F38" s="57">
        <v>3.0</v>
      </c>
    </row>
    <row r="39">
      <c r="A39" s="70">
        <v>44635.0</v>
      </c>
      <c r="B39" s="57">
        <v>2365.0</v>
      </c>
      <c r="C39" s="57">
        <v>2365.0</v>
      </c>
      <c r="D39" s="57">
        <v>4.0</v>
      </c>
      <c r="E39" s="57">
        <v>0.475</v>
      </c>
      <c r="F39" s="57">
        <v>1.0</v>
      </c>
    </row>
    <row r="40">
      <c r="A40" s="70">
        <v>44635.0</v>
      </c>
      <c r="B40" s="57">
        <v>2347.0</v>
      </c>
      <c r="C40" s="57">
        <v>2347.0</v>
      </c>
      <c r="D40" s="57">
        <v>5.0</v>
      </c>
      <c r="E40" s="57">
        <v>0.028</v>
      </c>
      <c r="F40" s="57">
        <v>3.0</v>
      </c>
    </row>
    <row r="41">
      <c r="A41" s="70">
        <v>44635.0</v>
      </c>
      <c r="B41" s="57">
        <v>2365.0</v>
      </c>
      <c r="C41" s="57">
        <v>2365.0</v>
      </c>
      <c r="D41" s="57">
        <v>3.0</v>
      </c>
      <c r="E41" s="57">
        <v>0.579</v>
      </c>
      <c r="F41" s="57">
        <v>3.0</v>
      </c>
    </row>
    <row r="42">
      <c r="A42" s="70">
        <v>44635.0</v>
      </c>
      <c r="B42" s="57">
        <v>2369.0</v>
      </c>
      <c r="C42" s="57">
        <v>2369.0</v>
      </c>
      <c r="D42" s="57">
        <v>6.0</v>
      </c>
      <c r="E42" s="57">
        <v>0.252</v>
      </c>
      <c r="F42" s="57">
        <v>3.0</v>
      </c>
    </row>
    <row r="43">
      <c r="A43" s="70">
        <v>44635.0</v>
      </c>
      <c r="B43" s="57">
        <v>2369.0</v>
      </c>
      <c r="C43" s="57">
        <v>2369.0</v>
      </c>
      <c r="D43" s="57">
        <v>3.0</v>
      </c>
      <c r="E43" s="57">
        <v>0.229</v>
      </c>
      <c r="F43" s="57">
        <v>3.0</v>
      </c>
    </row>
    <row r="44">
      <c r="A44" s="70">
        <v>44635.0</v>
      </c>
      <c r="B44" s="57">
        <v>2346.0</v>
      </c>
      <c r="C44" s="57">
        <v>2346.0</v>
      </c>
      <c r="D44" s="57">
        <v>4.0</v>
      </c>
      <c r="E44" s="57">
        <v>0.036</v>
      </c>
      <c r="F44" s="57">
        <v>3.0</v>
      </c>
    </row>
    <row r="45">
      <c r="A45" s="70">
        <v>44635.0</v>
      </c>
      <c r="B45" s="57">
        <v>2343.0</v>
      </c>
      <c r="C45" s="57">
        <v>2343.0</v>
      </c>
      <c r="D45" s="57">
        <v>2.0</v>
      </c>
      <c r="E45" s="57">
        <v>0.053</v>
      </c>
      <c r="F45" s="57">
        <v>3.0</v>
      </c>
    </row>
    <row r="46">
      <c r="A46" s="70">
        <v>44635.0</v>
      </c>
      <c r="B46" s="57">
        <v>2369.0</v>
      </c>
      <c r="C46" s="57">
        <v>2369.0</v>
      </c>
      <c r="D46" s="57">
        <v>2.0</v>
      </c>
      <c r="E46" s="57">
        <v>0.352</v>
      </c>
      <c r="F46" s="57">
        <v>3.0</v>
      </c>
    </row>
    <row r="47">
      <c r="A47" s="70">
        <v>44635.0</v>
      </c>
      <c r="B47" s="57">
        <v>2367.0</v>
      </c>
      <c r="C47" s="57">
        <v>2367.0</v>
      </c>
      <c r="D47" s="57">
        <v>6.0</v>
      </c>
      <c r="E47" s="57">
        <v>0.012</v>
      </c>
      <c r="F47" s="57">
        <v>3.0</v>
      </c>
    </row>
    <row r="48">
      <c r="A48" s="70">
        <v>44635.0</v>
      </c>
      <c r="B48" s="57">
        <v>2347.0</v>
      </c>
      <c r="C48" s="57">
        <v>2347.0</v>
      </c>
      <c r="D48" s="57">
        <v>2.0</v>
      </c>
      <c r="E48" s="57">
        <v>0.022</v>
      </c>
      <c r="F48" s="57">
        <v>3.0</v>
      </c>
    </row>
    <row r="49">
      <c r="A49" s="70">
        <v>44635.0</v>
      </c>
      <c r="B49" s="57">
        <v>2343.0</v>
      </c>
      <c r="C49" s="57">
        <v>2343.0</v>
      </c>
      <c r="D49" s="57">
        <v>1.0</v>
      </c>
      <c r="E49" s="57">
        <v>0.281</v>
      </c>
      <c r="F49" s="57">
        <v>3.0</v>
      </c>
    </row>
    <row r="50">
      <c r="A50" s="70">
        <v>44635.0</v>
      </c>
      <c r="B50" s="57">
        <v>2369.0</v>
      </c>
      <c r="C50" s="57">
        <v>2369.0</v>
      </c>
      <c r="D50" s="57">
        <v>5.0</v>
      </c>
      <c r="E50" s="57">
        <v>0.536</v>
      </c>
      <c r="F50" s="57">
        <v>3.0</v>
      </c>
    </row>
    <row r="51">
      <c r="A51" s="70">
        <v>44635.0</v>
      </c>
      <c r="B51" s="57">
        <v>2347.0</v>
      </c>
      <c r="C51" s="57">
        <v>2347.0</v>
      </c>
      <c r="D51" s="57">
        <v>3.0</v>
      </c>
      <c r="E51" s="57">
        <v>0.034</v>
      </c>
      <c r="F51" s="57">
        <v>3.0</v>
      </c>
    </row>
    <row r="52">
      <c r="A52" s="70">
        <v>44635.0</v>
      </c>
      <c r="B52" s="57">
        <v>2347.0</v>
      </c>
      <c r="C52" s="57">
        <v>2347.0</v>
      </c>
      <c r="D52" s="57">
        <v>1.0</v>
      </c>
      <c r="E52" s="57">
        <v>0.035</v>
      </c>
      <c r="F52" s="57">
        <v>3.0</v>
      </c>
    </row>
    <row r="53">
      <c r="A53" s="70">
        <v>44635.0</v>
      </c>
      <c r="B53" s="57">
        <v>2367.0</v>
      </c>
      <c r="C53" s="57">
        <v>2367.0</v>
      </c>
      <c r="D53" s="57">
        <v>5.0</v>
      </c>
      <c r="E53" s="57">
        <v>0.011</v>
      </c>
      <c r="F53" s="57">
        <v>3.0</v>
      </c>
    </row>
    <row r="54">
      <c r="A54" s="70">
        <v>44635.0</v>
      </c>
      <c r="B54" s="57">
        <v>2369.0</v>
      </c>
      <c r="C54" s="57">
        <v>2369.0</v>
      </c>
      <c r="D54" s="57">
        <v>4.0</v>
      </c>
      <c r="E54" s="57">
        <v>0.136</v>
      </c>
      <c r="F54" s="57">
        <v>3.0</v>
      </c>
    </row>
    <row r="55">
      <c r="A55" s="70">
        <v>44635.0</v>
      </c>
      <c r="B55" s="57">
        <v>2367.0</v>
      </c>
      <c r="C55" s="57">
        <v>2367.0</v>
      </c>
      <c r="D55" s="57">
        <v>3.0</v>
      </c>
      <c r="E55" s="57">
        <v>0.094</v>
      </c>
      <c r="F55" s="57">
        <v>3.0</v>
      </c>
    </row>
    <row r="56">
      <c r="A56" s="70">
        <v>44635.0</v>
      </c>
      <c r="B56" s="57">
        <v>2346.0</v>
      </c>
      <c r="C56" s="57">
        <v>2346.0</v>
      </c>
      <c r="D56" s="57">
        <v>1.0</v>
      </c>
      <c r="E56" s="57">
        <v>0.183</v>
      </c>
      <c r="F56" s="57">
        <v>3.0</v>
      </c>
    </row>
    <row r="57">
      <c r="A57" s="70">
        <v>44635.0</v>
      </c>
      <c r="B57" s="57">
        <v>2367.0</v>
      </c>
      <c r="C57" s="57">
        <v>2367.0</v>
      </c>
      <c r="D57" s="57">
        <v>1.0</v>
      </c>
      <c r="E57" s="57">
        <v>0.018</v>
      </c>
      <c r="F57" s="57">
        <v>3.0</v>
      </c>
    </row>
    <row r="58">
      <c r="A58" s="70">
        <v>44635.0</v>
      </c>
      <c r="B58" s="57">
        <v>2346.0</v>
      </c>
      <c r="C58" s="57">
        <v>2346.0</v>
      </c>
      <c r="D58" s="57">
        <v>5.0</v>
      </c>
      <c r="E58" s="57">
        <v>0.02</v>
      </c>
      <c r="F58" s="57">
        <v>3.0</v>
      </c>
    </row>
    <row r="59">
      <c r="A59" s="70">
        <v>44635.0</v>
      </c>
      <c r="B59" s="57">
        <v>2367.0</v>
      </c>
      <c r="C59" s="57">
        <v>2367.0</v>
      </c>
      <c r="D59" s="57">
        <v>4.0</v>
      </c>
      <c r="E59" s="57">
        <v>0.019</v>
      </c>
      <c r="F59" s="57">
        <v>3.0</v>
      </c>
    </row>
    <row r="60">
      <c r="A60" s="70">
        <v>44635.0</v>
      </c>
      <c r="B60" s="57">
        <v>2369.0</v>
      </c>
      <c r="C60" s="57">
        <v>2369.0</v>
      </c>
      <c r="D60" s="57">
        <v>1.0</v>
      </c>
      <c r="E60" s="57">
        <v>0.272</v>
      </c>
      <c r="F60" s="57">
        <v>3.0</v>
      </c>
    </row>
    <row r="61">
      <c r="A61" s="70">
        <v>44647.0</v>
      </c>
      <c r="B61" s="57">
        <v>2343.6</v>
      </c>
      <c r="C61" s="57">
        <v>2343.0</v>
      </c>
      <c r="D61" s="57">
        <v>6.0</v>
      </c>
      <c r="E61" s="57">
        <v>0.515</v>
      </c>
      <c r="F61" s="57">
        <v>3.0</v>
      </c>
    </row>
    <row r="62">
      <c r="A62" s="70">
        <v>44647.0</v>
      </c>
      <c r="B62" s="57">
        <v>2365.7</v>
      </c>
      <c r="C62" s="57">
        <v>2365.0</v>
      </c>
      <c r="D62" s="57">
        <v>7.0</v>
      </c>
      <c r="E62" s="57">
        <v>0.481</v>
      </c>
    </row>
    <row r="63">
      <c r="A63" s="70">
        <v>44647.0</v>
      </c>
      <c r="B63" s="57">
        <v>2347.1</v>
      </c>
      <c r="C63" s="57">
        <v>2347.0</v>
      </c>
      <c r="D63" s="57">
        <v>1.0</v>
      </c>
      <c r="E63" s="57">
        <v>0.118</v>
      </c>
    </row>
    <row r="64">
      <c r="A64" s="70">
        <v>44647.0</v>
      </c>
      <c r="B64" s="57">
        <v>2343.3</v>
      </c>
      <c r="C64" s="57">
        <v>2343.0</v>
      </c>
      <c r="D64" s="57">
        <v>3.0</v>
      </c>
      <c r="E64" s="57">
        <v>0.729</v>
      </c>
    </row>
    <row r="65">
      <c r="A65" s="70">
        <v>44647.0</v>
      </c>
      <c r="B65" s="57">
        <v>2347.2</v>
      </c>
      <c r="C65" s="57">
        <v>2347.0</v>
      </c>
      <c r="D65" s="57">
        <v>2.0</v>
      </c>
      <c r="E65" s="57">
        <v>0.297</v>
      </c>
    </row>
    <row r="66">
      <c r="A66" s="70">
        <v>44647.0</v>
      </c>
      <c r="B66" s="57">
        <v>2367.5</v>
      </c>
      <c r="C66" s="57">
        <v>2367.0</v>
      </c>
      <c r="D66" s="57">
        <v>5.0</v>
      </c>
      <c r="E66" s="57">
        <v>0.14</v>
      </c>
    </row>
    <row r="67">
      <c r="A67" s="70">
        <v>44647.0</v>
      </c>
      <c r="B67" s="57">
        <v>2365.1</v>
      </c>
      <c r="C67" s="57">
        <v>2365.0</v>
      </c>
      <c r="D67" s="57">
        <v>1.0</v>
      </c>
      <c r="E67" s="57">
        <v>1.026</v>
      </c>
    </row>
    <row r="68">
      <c r="A68" s="70">
        <v>44647.0</v>
      </c>
      <c r="B68" s="57">
        <v>2369.1</v>
      </c>
      <c r="C68" s="57">
        <v>2369.0</v>
      </c>
      <c r="D68" s="57">
        <v>1.0</v>
      </c>
      <c r="E68" s="57">
        <v>1.155</v>
      </c>
    </row>
    <row r="69">
      <c r="A69" s="70">
        <v>44647.0</v>
      </c>
      <c r="B69" s="57">
        <v>2346.3</v>
      </c>
      <c r="C69" s="57">
        <v>2346.0</v>
      </c>
      <c r="D69" s="57">
        <v>3.0</v>
      </c>
      <c r="E69" s="57">
        <v>0.704</v>
      </c>
    </row>
    <row r="70">
      <c r="A70" s="70">
        <v>44647.0</v>
      </c>
      <c r="B70" s="57">
        <v>2343.5</v>
      </c>
      <c r="C70" s="57">
        <v>2343.0</v>
      </c>
      <c r="D70" s="57">
        <v>5.0</v>
      </c>
      <c r="E70" s="57">
        <v>0.378</v>
      </c>
    </row>
    <row r="71">
      <c r="A71" s="70">
        <v>44647.0</v>
      </c>
      <c r="B71" s="57">
        <v>2365.3</v>
      </c>
      <c r="C71" s="57">
        <v>2365.0</v>
      </c>
      <c r="D71" s="57">
        <v>3.0</v>
      </c>
      <c r="E71" s="57">
        <v>0.391</v>
      </c>
    </row>
    <row r="72">
      <c r="A72" s="70">
        <v>44647.0</v>
      </c>
      <c r="B72" s="57">
        <v>2346.4</v>
      </c>
      <c r="C72" s="57">
        <v>2346.0</v>
      </c>
      <c r="D72" s="57">
        <v>4.0</v>
      </c>
      <c r="E72" s="57">
        <v>0.167</v>
      </c>
    </row>
    <row r="73">
      <c r="A73" s="70">
        <v>44647.0</v>
      </c>
      <c r="B73" s="57">
        <v>2369.2</v>
      </c>
      <c r="C73" s="57">
        <v>2369.0</v>
      </c>
      <c r="D73" s="57">
        <v>2.0</v>
      </c>
      <c r="E73" s="57">
        <v>1.314</v>
      </c>
    </row>
    <row r="74">
      <c r="A74" s="70">
        <v>44647.0</v>
      </c>
      <c r="B74" s="57">
        <v>2347.5</v>
      </c>
      <c r="C74" s="57">
        <v>2347.0</v>
      </c>
      <c r="D74" s="57">
        <v>5.0</v>
      </c>
      <c r="E74" s="57">
        <v>0.323</v>
      </c>
    </row>
    <row r="75">
      <c r="A75" s="70">
        <v>44647.0</v>
      </c>
      <c r="B75" s="57">
        <v>2367.7</v>
      </c>
      <c r="C75" s="57">
        <v>2367.0</v>
      </c>
      <c r="D75" s="57">
        <v>7.0</v>
      </c>
      <c r="E75" s="57">
        <v>0.374</v>
      </c>
    </row>
    <row r="76">
      <c r="A76" s="70">
        <v>44647.0</v>
      </c>
      <c r="B76" s="57">
        <v>2369.8</v>
      </c>
      <c r="C76" s="57">
        <v>2369.0</v>
      </c>
      <c r="D76" s="57">
        <v>8.0</v>
      </c>
      <c r="E76" s="57">
        <v>0.22</v>
      </c>
    </row>
    <row r="77">
      <c r="A77" s="70">
        <v>44647.0</v>
      </c>
      <c r="B77" s="57">
        <v>2369.6</v>
      </c>
      <c r="C77" s="57">
        <v>2369.0</v>
      </c>
      <c r="D77" s="57">
        <v>6.0</v>
      </c>
      <c r="E77" s="57">
        <v>0.778</v>
      </c>
    </row>
    <row r="78">
      <c r="A78" s="70">
        <v>44647.0</v>
      </c>
      <c r="B78" s="57">
        <v>2369.7</v>
      </c>
      <c r="C78" s="57">
        <v>2369.0</v>
      </c>
      <c r="D78" s="57">
        <v>7.0</v>
      </c>
      <c r="E78" s="57">
        <v>0.481</v>
      </c>
    </row>
    <row r="79">
      <c r="A79" s="70">
        <v>44647.0</v>
      </c>
      <c r="B79" s="57">
        <v>2346.1</v>
      </c>
      <c r="C79" s="57">
        <v>2346.0</v>
      </c>
      <c r="D79" s="57">
        <v>1.0</v>
      </c>
      <c r="E79" s="57">
        <v>0.51</v>
      </c>
    </row>
    <row r="80">
      <c r="A80" s="70">
        <v>44647.0</v>
      </c>
      <c r="B80" s="57">
        <v>2367.6</v>
      </c>
      <c r="C80" s="57">
        <v>2367.0</v>
      </c>
      <c r="D80" s="57">
        <v>6.0</v>
      </c>
      <c r="E80" s="57">
        <v>0.118</v>
      </c>
    </row>
    <row r="81">
      <c r="A81" s="70">
        <v>44647.0</v>
      </c>
      <c r="B81" s="57">
        <v>2369.1</v>
      </c>
      <c r="C81" s="57">
        <v>2369.0</v>
      </c>
      <c r="D81" s="57">
        <v>1.0</v>
      </c>
      <c r="E81" s="57">
        <v>0.053</v>
      </c>
    </row>
    <row r="82">
      <c r="A82" s="70">
        <v>44647.0</v>
      </c>
      <c r="B82" s="57">
        <v>2347.4</v>
      </c>
      <c r="C82" s="57">
        <v>2347.0</v>
      </c>
      <c r="D82" s="57">
        <v>4.0</v>
      </c>
      <c r="E82" s="57">
        <v>0.127</v>
      </c>
    </row>
    <row r="83">
      <c r="A83" s="70">
        <v>44647.0</v>
      </c>
      <c r="B83" s="57">
        <v>2343.2</v>
      </c>
      <c r="C83" s="57">
        <v>2343.0</v>
      </c>
      <c r="D83" s="57">
        <v>2.0</v>
      </c>
      <c r="E83" s="57">
        <v>0.823</v>
      </c>
    </row>
    <row r="84">
      <c r="A84" s="70">
        <v>44647.0</v>
      </c>
      <c r="B84" s="57">
        <v>2369.5</v>
      </c>
      <c r="C84" s="57">
        <v>2369.0</v>
      </c>
      <c r="D84" s="57">
        <v>5.0</v>
      </c>
      <c r="E84" s="57">
        <v>0.389</v>
      </c>
    </row>
    <row r="85">
      <c r="A85" s="70">
        <v>44647.0</v>
      </c>
      <c r="B85" s="57">
        <v>2369.9</v>
      </c>
      <c r="C85" s="57">
        <v>2369.0</v>
      </c>
      <c r="D85" s="57">
        <v>9.0</v>
      </c>
      <c r="E85" s="57">
        <v>0.64</v>
      </c>
    </row>
    <row r="86">
      <c r="A86" s="70">
        <v>44647.0</v>
      </c>
      <c r="B86" s="57">
        <v>2365.6</v>
      </c>
      <c r="C86" s="57">
        <v>2365.0</v>
      </c>
      <c r="D86" s="57">
        <v>6.0</v>
      </c>
      <c r="E86" s="57">
        <v>0.387</v>
      </c>
    </row>
    <row r="87">
      <c r="A87" s="70">
        <v>44647.0</v>
      </c>
      <c r="B87" s="57">
        <v>2369.5</v>
      </c>
      <c r="C87" s="57">
        <v>2369.0</v>
      </c>
      <c r="D87" s="57">
        <v>5.0</v>
      </c>
      <c r="E87" s="57">
        <v>0.671</v>
      </c>
    </row>
    <row r="88">
      <c r="A88" s="70">
        <v>44647.0</v>
      </c>
      <c r="B88" s="57">
        <v>2365.5</v>
      </c>
      <c r="C88" s="57">
        <v>2365.0</v>
      </c>
      <c r="D88" s="57">
        <v>5.0</v>
      </c>
      <c r="E88" s="57">
        <v>0.376</v>
      </c>
    </row>
    <row r="89">
      <c r="A89" s="70">
        <v>44647.0</v>
      </c>
      <c r="B89" s="57">
        <v>2346.2</v>
      </c>
      <c r="C89" s="57">
        <v>2346.0</v>
      </c>
      <c r="D89" s="57">
        <v>2.0</v>
      </c>
      <c r="E89" s="57">
        <v>1.765</v>
      </c>
    </row>
    <row r="90">
      <c r="A90" s="70">
        <v>44647.0</v>
      </c>
      <c r="B90" s="57">
        <v>2343.4</v>
      </c>
      <c r="C90" s="57">
        <v>2343.0</v>
      </c>
      <c r="D90" s="57">
        <v>4.0</v>
      </c>
      <c r="E90" s="57">
        <v>0.406</v>
      </c>
    </row>
    <row r="91">
      <c r="A91" s="70">
        <v>44647.0</v>
      </c>
      <c r="B91" s="57">
        <v>2367.4</v>
      </c>
      <c r="C91" s="57">
        <v>2367.0</v>
      </c>
      <c r="D91" s="57">
        <v>4.0</v>
      </c>
      <c r="E91" s="57">
        <v>0.152</v>
      </c>
    </row>
    <row r="92">
      <c r="A92" s="70">
        <v>44647.0</v>
      </c>
      <c r="B92" s="57">
        <v>2346.7</v>
      </c>
      <c r="C92" s="57">
        <v>2346.0</v>
      </c>
      <c r="D92" s="57">
        <v>7.0</v>
      </c>
      <c r="E92" s="57">
        <v>0.294</v>
      </c>
    </row>
    <row r="93">
      <c r="A93" s="70">
        <v>44647.0</v>
      </c>
      <c r="B93" s="57">
        <v>2369.3</v>
      </c>
      <c r="C93" s="57">
        <v>2369.0</v>
      </c>
      <c r="D93" s="57">
        <v>3.0</v>
      </c>
      <c r="E93" s="57">
        <v>0.216</v>
      </c>
    </row>
    <row r="94">
      <c r="A94" s="70">
        <v>44647.0</v>
      </c>
      <c r="B94" s="57">
        <v>2367.3</v>
      </c>
      <c r="C94" s="57">
        <v>2367.0</v>
      </c>
      <c r="D94" s="57">
        <v>3.0</v>
      </c>
      <c r="E94" s="57">
        <v>0.633</v>
      </c>
    </row>
    <row r="95">
      <c r="A95" s="70">
        <v>44647.0</v>
      </c>
      <c r="B95" s="57">
        <v>2347.6</v>
      </c>
      <c r="C95" s="57">
        <v>2347.0</v>
      </c>
      <c r="D95" s="57">
        <v>6.0</v>
      </c>
      <c r="E95" s="57">
        <v>0.259</v>
      </c>
    </row>
    <row r="96">
      <c r="A96" s="70">
        <v>44647.0</v>
      </c>
      <c r="B96" s="57">
        <v>2343.1</v>
      </c>
      <c r="C96" s="57">
        <v>2343.0</v>
      </c>
      <c r="D96" s="57">
        <v>1.0</v>
      </c>
      <c r="E96" s="57">
        <v>0.741</v>
      </c>
    </row>
    <row r="97">
      <c r="A97" s="70">
        <v>44647.0</v>
      </c>
      <c r="B97" s="57">
        <v>2346.5</v>
      </c>
      <c r="C97" s="57">
        <v>2346.0</v>
      </c>
      <c r="D97" s="57">
        <v>5.0</v>
      </c>
      <c r="E97" s="57">
        <v>0.243</v>
      </c>
    </row>
    <row r="98">
      <c r="A98" s="70">
        <v>44647.0</v>
      </c>
      <c r="B98" s="57">
        <v>2365.2</v>
      </c>
      <c r="C98" s="57">
        <v>2365.0</v>
      </c>
      <c r="D98" s="57">
        <v>2.0</v>
      </c>
      <c r="E98" s="57">
        <v>0.548</v>
      </c>
    </row>
    <row r="99">
      <c r="A99" s="70">
        <v>44647.0</v>
      </c>
      <c r="B99" s="57">
        <v>2369.6</v>
      </c>
      <c r="C99" s="57">
        <v>2369.0</v>
      </c>
      <c r="D99" s="57">
        <v>6.0</v>
      </c>
      <c r="E99" s="57">
        <v>0.223</v>
      </c>
    </row>
    <row r="100">
      <c r="A100" s="70">
        <v>44647.0</v>
      </c>
      <c r="B100" s="57">
        <v>2365.8</v>
      </c>
      <c r="C100" s="57">
        <v>2365.0</v>
      </c>
      <c r="D100" s="57">
        <v>8.0</v>
      </c>
      <c r="E100" s="57">
        <v>0.291</v>
      </c>
    </row>
    <row r="101">
      <c r="A101" s="70">
        <v>44647.0</v>
      </c>
      <c r="B101" s="57">
        <v>2369.4</v>
      </c>
      <c r="C101" s="57">
        <v>2369.0</v>
      </c>
      <c r="D101" s="57">
        <v>4.0</v>
      </c>
      <c r="E101" s="57">
        <v>0.578</v>
      </c>
    </row>
    <row r="102">
      <c r="A102" s="70">
        <v>44647.0</v>
      </c>
      <c r="B102" s="57">
        <v>2347.3</v>
      </c>
      <c r="C102" s="57">
        <v>2347.0</v>
      </c>
      <c r="D102" s="57">
        <v>3.0</v>
      </c>
      <c r="E102" s="57">
        <v>0.127</v>
      </c>
    </row>
    <row r="103">
      <c r="A103" s="70">
        <v>44647.0</v>
      </c>
      <c r="B103" s="57">
        <v>2365.4</v>
      </c>
      <c r="C103" s="57">
        <v>2365.0</v>
      </c>
      <c r="D103" s="57">
        <v>4.0</v>
      </c>
      <c r="E103" s="57">
        <v>0.371</v>
      </c>
    </row>
    <row r="104">
      <c r="A104" s="70">
        <v>44647.0</v>
      </c>
      <c r="B104" s="57">
        <v>2346.6</v>
      </c>
      <c r="C104" s="57">
        <v>2346.0</v>
      </c>
      <c r="D104" s="57">
        <v>6.0</v>
      </c>
      <c r="E104" s="57">
        <v>0.689</v>
      </c>
    </row>
    <row r="105">
      <c r="A105" s="70">
        <v>44647.0</v>
      </c>
      <c r="B105" s="57">
        <v>2365.9</v>
      </c>
      <c r="C105" s="57">
        <v>2365.0</v>
      </c>
      <c r="D105" s="57">
        <v>9.0</v>
      </c>
      <c r="E105" s="57">
        <v>0.317</v>
      </c>
    </row>
    <row r="106">
      <c r="A106" s="70">
        <v>44663.0</v>
      </c>
      <c r="B106" s="57">
        <v>2369.3</v>
      </c>
      <c r="C106" s="57">
        <v>2369.0</v>
      </c>
      <c r="D106" s="57">
        <v>3.0</v>
      </c>
      <c r="E106" s="57">
        <v>0.46</v>
      </c>
    </row>
    <row r="107">
      <c r="A107" s="70">
        <v>44663.0</v>
      </c>
      <c r="B107" s="57">
        <v>2369.4</v>
      </c>
      <c r="C107" s="57">
        <v>2369.0</v>
      </c>
      <c r="D107" s="57">
        <v>4.0</v>
      </c>
      <c r="E107" s="57">
        <v>0.687</v>
      </c>
    </row>
    <row r="108">
      <c r="A108" s="70">
        <v>44663.0</v>
      </c>
      <c r="B108" s="57">
        <v>2347.5</v>
      </c>
      <c r="C108" s="57">
        <v>2347.0</v>
      </c>
      <c r="D108" s="57">
        <v>5.0</v>
      </c>
      <c r="E108" s="57">
        <v>0.2</v>
      </c>
    </row>
    <row r="109">
      <c r="A109" s="70">
        <v>44663.0</v>
      </c>
      <c r="B109" s="57">
        <v>2343.3</v>
      </c>
      <c r="C109" s="57">
        <v>2343.0</v>
      </c>
      <c r="D109" s="57">
        <v>3.0</v>
      </c>
      <c r="E109" s="57">
        <v>0.76</v>
      </c>
    </row>
    <row r="110">
      <c r="A110" s="70">
        <v>44663.0</v>
      </c>
      <c r="B110" s="57">
        <v>2343.4</v>
      </c>
      <c r="C110" s="57">
        <v>2343.0</v>
      </c>
      <c r="D110" s="57">
        <v>4.0</v>
      </c>
      <c r="E110" s="57">
        <v>0.628</v>
      </c>
    </row>
    <row r="111">
      <c r="A111" s="70">
        <v>44663.0</v>
      </c>
      <c r="B111" s="57">
        <v>2343.6</v>
      </c>
      <c r="C111" s="57">
        <v>2343.0</v>
      </c>
      <c r="D111" s="57">
        <v>6.0</v>
      </c>
      <c r="E111" s="57">
        <v>0.232</v>
      </c>
    </row>
    <row r="112">
      <c r="A112" s="70">
        <v>44663.0</v>
      </c>
      <c r="B112" s="57">
        <v>2369.2</v>
      </c>
      <c r="C112" s="57">
        <v>2369.0</v>
      </c>
      <c r="D112" s="57">
        <v>2.0</v>
      </c>
      <c r="E112" s="57">
        <v>0.873</v>
      </c>
    </row>
    <row r="113">
      <c r="A113" s="70">
        <v>44663.0</v>
      </c>
      <c r="B113" s="57">
        <v>2347.1</v>
      </c>
      <c r="C113" s="57">
        <v>2347.0</v>
      </c>
      <c r="D113" s="57">
        <v>1.0</v>
      </c>
      <c r="E113" s="57">
        <v>0.306</v>
      </c>
    </row>
    <row r="114">
      <c r="A114" s="70">
        <v>44663.0</v>
      </c>
      <c r="B114" s="57">
        <v>2343.5</v>
      </c>
      <c r="C114" s="57">
        <v>2343.0</v>
      </c>
      <c r="D114" s="57">
        <v>5.0</v>
      </c>
      <c r="E114" s="57">
        <v>0.524</v>
      </c>
    </row>
    <row r="115">
      <c r="A115" s="70">
        <v>44663.0</v>
      </c>
      <c r="B115" s="57">
        <v>2367.4</v>
      </c>
      <c r="C115" s="57">
        <v>2367.0</v>
      </c>
      <c r="D115" s="57">
        <v>4.0</v>
      </c>
      <c r="E115" s="57">
        <v>0.217</v>
      </c>
    </row>
    <row r="116">
      <c r="A116" s="70">
        <v>44663.0</v>
      </c>
      <c r="B116" s="57">
        <v>2365.3</v>
      </c>
      <c r="C116" s="57">
        <v>2365.0</v>
      </c>
      <c r="D116" s="57">
        <v>3.0</v>
      </c>
      <c r="E116" s="57">
        <v>0.123</v>
      </c>
    </row>
    <row r="117">
      <c r="A117" s="70">
        <v>44663.0</v>
      </c>
      <c r="B117" s="57">
        <v>2365.5</v>
      </c>
      <c r="C117" s="57">
        <v>2365.0</v>
      </c>
      <c r="D117" s="57">
        <v>5.0</v>
      </c>
      <c r="E117" s="57">
        <v>0.253</v>
      </c>
    </row>
    <row r="118">
      <c r="A118" s="70">
        <v>44663.0</v>
      </c>
      <c r="B118" s="57">
        <v>2347.3</v>
      </c>
      <c r="C118" s="57">
        <v>2347.0</v>
      </c>
      <c r="D118" s="57">
        <v>3.0</v>
      </c>
      <c r="E118" s="57">
        <v>0.178</v>
      </c>
    </row>
    <row r="119">
      <c r="A119" s="70">
        <v>44663.0</v>
      </c>
      <c r="B119" s="57">
        <v>2365.6</v>
      </c>
      <c r="C119" s="57">
        <v>2365.0</v>
      </c>
      <c r="D119" s="57">
        <v>6.0</v>
      </c>
      <c r="E119" s="57">
        <v>0.353</v>
      </c>
    </row>
    <row r="120">
      <c r="A120" s="70">
        <v>44663.0</v>
      </c>
      <c r="B120" s="57">
        <v>2346.5</v>
      </c>
      <c r="C120" s="57">
        <v>2346.0</v>
      </c>
      <c r="D120" s="57">
        <v>5.0</v>
      </c>
      <c r="E120" s="57">
        <v>0.253</v>
      </c>
    </row>
    <row r="121">
      <c r="A121" s="70">
        <v>44663.0</v>
      </c>
      <c r="B121" s="57">
        <v>2346.4</v>
      </c>
      <c r="C121" s="57">
        <v>2346.0</v>
      </c>
      <c r="D121" s="57">
        <v>4.0</v>
      </c>
      <c r="E121" s="57">
        <v>0.364</v>
      </c>
    </row>
    <row r="122">
      <c r="A122" s="70">
        <v>44663.0</v>
      </c>
      <c r="B122" s="57">
        <v>2365.2</v>
      </c>
      <c r="C122" s="57">
        <v>2365.0</v>
      </c>
      <c r="D122" s="57">
        <v>2.0</v>
      </c>
      <c r="E122" s="57">
        <v>0.438</v>
      </c>
    </row>
    <row r="123">
      <c r="A123" s="70">
        <v>44663.0</v>
      </c>
      <c r="B123" s="57">
        <v>2369.5</v>
      </c>
      <c r="C123" s="57">
        <v>2369.0</v>
      </c>
      <c r="D123" s="57">
        <v>5.0</v>
      </c>
      <c r="E123" s="57">
        <v>0.372</v>
      </c>
    </row>
    <row r="124">
      <c r="A124" s="70">
        <v>44663.0</v>
      </c>
      <c r="B124" s="57">
        <v>2367.2</v>
      </c>
      <c r="C124" s="57">
        <v>2367.0</v>
      </c>
      <c r="D124" s="57">
        <v>2.0</v>
      </c>
      <c r="E124" s="57">
        <v>0.239</v>
      </c>
    </row>
    <row r="125">
      <c r="A125" s="70">
        <v>44663.0</v>
      </c>
      <c r="B125" s="57">
        <v>2347.4</v>
      </c>
      <c r="C125" s="57">
        <v>2347.0</v>
      </c>
      <c r="D125" s="57">
        <v>4.0</v>
      </c>
      <c r="E125" s="57">
        <v>0.241</v>
      </c>
    </row>
    <row r="126">
      <c r="A126" s="70">
        <v>44663.0</v>
      </c>
      <c r="B126" s="57">
        <v>2346.2</v>
      </c>
      <c r="C126" s="57">
        <v>2346.0</v>
      </c>
      <c r="D126" s="57">
        <v>2.0</v>
      </c>
      <c r="E126" s="57">
        <v>0.514</v>
      </c>
    </row>
    <row r="127">
      <c r="A127" s="70">
        <v>44663.0</v>
      </c>
      <c r="B127" s="57">
        <v>2367.6</v>
      </c>
      <c r="C127" s="57">
        <v>2367.0</v>
      </c>
      <c r="D127" s="57">
        <v>6.0</v>
      </c>
      <c r="E127" s="57">
        <v>0.042</v>
      </c>
    </row>
    <row r="128">
      <c r="A128" s="70">
        <v>44663.0</v>
      </c>
      <c r="B128" s="57">
        <v>2346.3</v>
      </c>
      <c r="C128" s="57">
        <v>2346.0</v>
      </c>
      <c r="D128" s="57">
        <v>3.0</v>
      </c>
      <c r="E128" s="57">
        <v>0.322</v>
      </c>
    </row>
    <row r="129">
      <c r="A129" s="70">
        <v>44663.0</v>
      </c>
      <c r="B129" s="57">
        <v>2365.1</v>
      </c>
      <c r="C129" s="57">
        <v>2365.0</v>
      </c>
      <c r="D129" s="57">
        <v>1.0</v>
      </c>
      <c r="E129" s="57">
        <v>0.386</v>
      </c>
    </row>
    <row r="130">
      <c r="A130" s="70">
        <v>44663.0</v>
      </c>
      <c r="B130" s="57">
        <v>2343.1</v>
      </c>
      <c r="C130" s="57">
        <v>2343.0</v>
      </c>
      <c r="D130" s="57">
        <v>1.0</v>
      </c>
      <c r="E130" s="57">
        <v>0.914</v>
      </c>
    </row>
    <row r="131">
      <c r="A131" s="70">
        <v>44663.0</v>
      </c>
      <c r="B131" s="57">
        <v>2347.2</v>
      </c>
      <c r="C131" s="57">
        <v>2347.0</v>
      </c>
      <c r="D131" s="57">
        <v>2.0</v>
      </c>
      <c r="E131" s="57">
        <v>0.224</v>
      </c>
    </row>
    <row r="132">
      <c r="A132" s="70">
        <v>44663.0</v>
      </c>
      <c r="B132" s="57">
        <v>2367.4</v>
      </c>
      <c r="C132" s="57">
        <v>2367.0</v>
      </c>
      <c r="D132" s="57">
        <v>4.0</v>
      </c>
      <c r="E132" s="57">
        <v>0.166</v>
      </c>
    </row>
    <row r="133">
      <c r="A133" s="70">
        <v>44663.0</v>
      </c>
      <c r="B133" s="57">
        <v>2369.6</v>
      </c>
      <c r="C133" s="57">
        <v>2369.0</v>
      </c>
      <c r="D133" s="57">
        <v>6.0</v>
      </c>
      <c r="E133" s="57">
        <v>0.538</v>
      </c>
    </row>
    <row r="134">
      <c r="A134" s="70">
        <v>44663.0</v>
      </c>
      <c r="B134" s="57">
        <v>2367.1</v>
      </c>
      <c r="C134" s="57">
        <v>2367.0</v>
      </c>
      <c r="D134" s="57">
        <v>1.0</v>
      </c>
      <c r="E134" s="57">
        <v>0.34</v>
      </c>
    </row>
    <row r="135">
      <c r="A135" s="70">
        <v>44663.0</v>
      </c>
      <c r="B135" s="57">
        <v>2346.6</v>
      </c>
      <c r="C135" s="57">
        <v>2346.0</v>
      </c>
      <c r="D135" s="57">
        <v>6.0</v>
      </c>
      <c r="E135" s="57">
        <v>0.086</v>
      </c>
    </row>
    <row r="136">
      <c r="A136" s="70">
        <v>44663.0</v>
      </c>
      <c r="B136" s="57">
        <v>2365.4</v>
      </c>
      <c r="C136" s="57">
        <v>2365.0</v>
      </c>
      <c r="D136" s="57">
        <v>4.0</v>
      </c>
      <c r="E136" s="57">
        <v>0.261</v>
      </c>
    </row>
    <row r="137">
      <c r="A137" s="70">
        <v>44663.0</v>
      </c>
      <c r="B137" s="57">
        <v>2367.5</v>
      </c>
      <c r="C137" s="57">
        <v>2367.0</v>
      </c>
      <c r="D137" s="57">
        <v>5.0</v>
      </c>
      <c r="E137" s="57">
        <v>0.071</v>
      </c>
    </row>
    <row r="138">
      <c r="A138" s="70">
        <v>44663.0</v>
      </c>
      <c r="B138" s="57">
        <v>2347.6</v>
      </c>
      <c r="C138" s="57">
        <v>2347.0</v>
      </c>
      <c r="D138" s="57">
        <v>6.0</v>
      </c>
      <c r="E138" s="57">
        <v>0.106</v>
      </c>
    </row>
    <row r="139">
      <c r="A139" s="70">
        <v>44663.0</v>
      </c>
      <c r="B139" s="57">
        <v>2343.2</v>
      </c>
      <c r="C139" s="57">
        <v>2343.0</v>
      </c>
      <c r="D139" s="57">
        <v>2.0</v>
      </c>
      <c r="E139" s="57">
        <v>0.737</v>
      </c>
    </row>
    <row r="140">
      <c r="A140" s="70">
        <v>44663.0</v>
      </c>
      <c r="B140" s="57">
        <v>2369.1</v>
      </c>
      <c r="C140" s="57">
        <v>2369.0</v>
      </c>
      <c r="D140" s="57">
        <v>1.0</v>
      </c>
      <c r="E140" s="57">
        <v>0.444</v>
      </c>
    </row>
    <row r="141">
      <c r="A141" s="70">
        <v>44663.0</v>
      </c>
      <c r="B141" s="57">
        <v>2346.1</v>
      </c>
      <c r="C141" s="57">
        <v>2346.0</v>
      </c>
      <c r="D141" s="57">
        <v>1.0</v>
      </c>
      <c r="E141" s="57">
        <v>0.589</v>
      </c>
    </row>
    <row r="142">
      <c r="A142" s="70">
        <v>44676.0</v>
      </c>
      <c r="B142" s="57">
        <v>2343.2</v>
      </c>
      <c r="C142" s="57">
        <v>2343.0</v>
      </c>
      <c r="D142" s="57">
        <v>2.0</v>
      </c>
      <c r="E142" s="57">
        <v>1.118</v>
      </c>
    </row>
    <row r="143">
      <c r="A143" s="70">
        <v>44676.0</v>
      </c>
      <c r="B143" s="57">
        <v>2346.3</v>
      </c>
      <c r="C143" s="57">
        <v>2346.0</v>
      </c>
      <c r="D143" s="57">
        <v>3.0</v>
      </c>
      <c r="E143" s="57">
        <v>0.358</v>
      </c>
    </row>
    <row r="144">
      <c r="A144" s="70">
        <v>44676.0</v>
      </c>
      <c r="B144" s="57">
        <v>2346.1</v>
      </c>
      <c r="C144" s="57">
        <v>2346.0</v>
      </c>
      <c r="D144" s="57">
        <v>1.0</v>
      </c>
      <c r="E144" s="57">
        <v>0.356</v>
      </c>
    </row>
    <row r="145">
      <c r="A145" s="70">
        <v>44676.0</v>
      </c>
      <c r="B145" s="57">
        <v>2347.1</v>
      </c>
      <c r="C145" s="57">
        <v>2347.0</v>
      </c>
      <c r="D145" s="57">
        <v>1.0</v>
      </c>
      <c r="E145" s="57">
        <v>0.809</v>
      </c>
    </row>
    <row r="146">
      <c r="A146" s="70">
        <v>44676.0</v>
      </c>
      <c r="B146" s="57">
        <v>2346.2</v>
      </c>
      <c r="C146" s="57">
        <v>2346.0</v>
      </c>
      <c r="D146" s="57">
        <v>2.0</v>
      </c>
      <c r="E146" s="57">
        <v>0.29</v>
      </c>
    </row>
    <row r="147">
      <c r="A147" s="70">
        <v>44676.0</v>
      </c>
      <c r="B147" s="57">
        <v>2347.2</v>
      </c>
      <c r="C147" s="57">
        <v>2347.0</v>
      </c>
      <c r="D147" s="57">
        <v>2.0</v>
      </c>
      <c r="E147" s="57">
        <v>0.454</v>
      </c>
    </row>
    <row r="148">
      <c r="A148" s="70">
        <v>44676.0</v>
      </c>
      <c r="B148" s="57">
        <v>2343.1</v>
      </c>
      <c r="C148" s="57">
        <v>2343.0</v>
      </c>
      <c r="D148" s="57">
        <v>1.0</v>
      </c>
      <c r="E148" s="57">
        <v>0.556</v>
      </c>
    </row>
    <row r="149">
      <c r="A149" s="70">
        <v>44676.0</v>
      </c>
      <c r="B149" s="57">
        <v>2347.3</v>
      </c>
      <c r="C149" s="57">
        <v>2347.0</v>
      </c>
      <c r="D149" s="57">
        <v>3.0</v>
      </c>
      <c r="E149" s="57">
        <v>1.699</v>
      </c>
    </row>
    <row r="150">
      <c r="A150" s="70">
        <v>44676.0</v>
      </c>
      <c r="B150" s="57">
        <v>2367.3</v>
      </c>
      <c r="C150" s="57">
        <v>2367.0</v>
      </c>
      <c r="D150" s="57">
        <v>3.0</v>
      </c>
      <c r="E150" s="57">
        <v>0.332</v>
      </c>
    </row>
    <row r="151">
      <c r="A151" s="70">
        <v>44676.0</v>
      </c>
      <c r="B151" s="57">
        <v>2367.2</v>
      </c>
      <c r="C151" s="57">
        <v>2367.0</v>
      </c>
      <c r="D151" s="57">
        <v>2.0</v>
      </c>
      <c r="E151" s="57">
        <v>0.462</v>
      </c>
    </row>
    <row r="152">
      <c r="A152" s="70">
        <v>44676.0</v>
      </c>
      <c r="B152" s="57">
        <v>2367.1</v>
      </c>
      <c r="C152" s="57">
        <v>2367.0</v>
      </c>
      <c r="D152" s="57">
        <v>1.0</v>
      </c>
      <c r="E152" s="57">
        <v>0.291</v>
      </c>
    </row>
    <row r="153">
      <c r="A153" s="70">
        <v>44676.0</v>
      </c>
      <c r="B153" s="57">
        <v>2343.3</v>
      </c>
      <c r="C153" s="57">
        <v>2343.0</v>
      </c>
      <c r="D153" s="57">
        <v>3.0</v>
      </c>
      <c r="E153" s="57">
        <v>1.474</v>
      </c>
    </row>
    <row r="154">
      <c r="A154" s="70">
        <v>44676.0</v>
      </c>
      <c r="B154" s="57">
        <v>2365.7</v>
      </c>
      <c r="C154" s="57">
        <v>2365.0</v>
      </c>
      <c r="D154" s="57">
        <v>7.0</v>
      </c>
      <c r="E154" s="57">
        <v>0.8195</v>
      </c>
    </row>
    <row r="155">
      <c r="A155" s="70">
        <v>44676.0</v>
      </c>
      <c r="B155" s="57">
        <v>2365.1</v>
      </c>
      <c r="C155" s="57">
        <v>2365.0</v>
      </c>
      <c r="D155" s="57">
        <v>1.0</v>
      </c>
      <c r="E155" s="57">
        <v>0.2514</v>
      </c>
    </row>
    <row r="156">
      <c r="A156" s="70">
        <v>44676.0</v>
      </c>
      <c r="B156" s="57">
        <v>2369.5</v>
      </c>
      <c r="C156" s="57">
        <v>2369.0</v>
      </c>
      <c r="D156" s="57">
        <v>5.0</v>
      </c>
      <c r="E156" s="57">
        <v>0.6519</v>
      </c>
    </row>
    <row r="157">
      <c r="A157" s="70">
        <v>44676.0</v>
      </c>
      <c r="B157" s="57">
        <v>2343.4</v>
      </c>
      <c r="C157" s="57">
        <v>2343.0</v>
      </c>
      <c r="D157" s="57">
        <v>4.0</v>
      </c>
      <c r="E157" s="57">
        <v>0.8018</v>
      </c>
    </row>
    <row r="158">
      <c r="A158" s="70">
        <v>44676.0</v>
      </c>
      <c r="B158" s="57">
        <v>2347.5</v>
      </c>
      <c r="C158" s="57">
        <v>2347.0</v>
      </c>
      <c r="D158" s="57">
        <v>5.0</v>
      </c>
      <c r="E158" s="57">
        <v>0.3555</v>
      </c>
    </row>
    <row r="159">
      <c r="A159" s="70">
        <v>44676.0</v>
      </c>
      <c r="B159" s="57">
        <v>2365.3</v>
      </c>
      <c r="C159" s="57">
        <v>2365.0</v>
      </c>
      <c r="D159" s="57">
        <v>3.0</v>
      </c>
      <c r="E159" s="57">
        <v>0.7022</v>
      </c>
    </row>
    <row r="160">
      <c r="A160" s="70">
        <v>44676.0</v>
      </c>
      <c r="B160" s="57">
        <v>2367.5</v>
      </c>
      <c r="C160" s="57">
        <v>2367.0</v>
      </c>
      <c r="D160" s="57">
        <v>5.0</v>
      </c>
      <c r="E160" s="57">
        <v>0.4324</v>
      </c>
    </row>
    <row r="161">
      <c r="A161" s="70">
        <v>44676.0</v>
      </c>
      <c r="B161" s="57">
        <v>2347.6</v>
      </c>
      <c r="C161" s="57">
        <v>2347.0</v>
      </c>
      <c r="D161" s="57">
        <v>6.0</v>
      </c>
      <c r="E161" s="57">
        <v>0.4473</v>
      </c>
    </row>
    <row r="162">
      <c r="A162" s="70">
        <v>44676.0</v>
      </c>
      <c r="B162" s="57">
        <v>2365.4</v>
      </c>
      <c r="C162" s="57">
        <v>2365.0</v>
      </c>
      <c r="D162" s="57">
        <v>4.0</v>
      </c>
      <c r="E162" s="57">
        <v>0.682</v>
      </c>
    </row>
    <row r="163">
      <c r="A163" s="70">
        <v>44676.0</v>
      </c>
      <c r="B163" s="57">
        <v>2365.5</v>
      </c>
      <c r="C163" s="57">
        <v>2365.0</v>
      </c>
      <c r="D163" s="57">
        <v>5.0</v>
      </c>
      <c r="E163" s="57">
        <v>0.8389</v>
      </c>
    </row>
    <row r="164">
      <c r="A164" s="70">
        <v>44676.0</v>
      </c>
      <c r="B164" s="57">
        <v>2365.2</v>
      </c>
      <c r="C164" s="57">
        <v>2365.0</v>
      </c>
      <c r="D164" s="57">
        <v>2.0</v>
      </c>
      <c r="E164" s="57">
        <v>0.2054</v>
      </c>
    </row>
    <row r="165">
      <c r="A165" s="70">
        <v>44676.0</v>
      </c>
      <c r="B165" s="57">
        <v>2365.6</v>
      </c>
      <c r="C165" s="57">
        <v>2365.0</v>
      </c>
      <c r="D165" s="57">
        <v>6.0</v>
      </c>
      <c r="E165" s="57">
        <v>0.4199</v>
      </c>
    </row>
    <row r="166">
      <c r="A166" s="70">
        <v>44676.0</v>
      </c>
      <c r="B166" s="57">
        <v>2367.4</v>
      </c>
      <c r="C166" s="57">
        <v>2367.0</v>
      </c>
      <c r="D166" s="57">
        <v>4.0</v>
      </c>
      <c r="E166" s="57">
        <v>0.1944</v>
      </c>
    </row>
    <row r="167">
      <c r="A167" s="70">
        <v>44676.0</v>
      </c>
      <c r="B167" s="57">
        <v>2365.6</v>
      </c>
      <c r="C167" s="57">
        <v>2365.0</v>
      </c>
      <c r="D167" s="57">
        <v>6.0</v>
      </c>
      <c r="E167" s="57">
        <v>0.03</v>
      </c>
    </row>
    <row r="168">
      <c r="A168" s="70">
        <v>44676.0</v>
      </c>
      <c r="B168" s="57">
        <v>2347.4</v>
      </c>
      <c r="C168" s="57">
        <v>2347.0</v>
      </c>
      <c r="D168" s="57">
        <v>4.0</v>
      </c>
      <c r="E168" s="57">
        <v>0.7183</v>
      </c>
    </row>
    <row r="169">
      <c r="A169" s="70">
        <v>44676.0</v>
      </c>
      <c r="B169" s="57">
        <v>2369.6</v>
      </c>
      <c r="C169" s="57">
        <v>2369.0</v>
      </c>
      <c r="D169" s="57">
        <v>6.0</v>
      </c>
      <c r="E169" s="57">
        <v>0.6764</v>
      </c>
    </row>
    <row r="170">
      <c r="A170" s="70">
        <v>44676.0</v>
      </c>
      <c r="B170" s="57">
        <v>2365.6</v>
      </c>
      <c r="C170" s="57">
        <v>2365.0</v>
      </c>
      <c r="D170" s="57">
        <v>6.0</v>
      </c>
      <c r="E170" s="57">
        <v>0.2964</v>
      </c>
    </row>
    <row r="171">
      <c r="A171" s="70">
        <v>44676.0</v>
      </c>
      <c r="B171" s="57">
        <v>2346.4</v>
      </c>
      <c r="C171" s="57">
        <v>2346.0</v>
      </c>
      <c r="D171" s="57">
        <v>4.0</v>
      </c>
      <c r="E171" s="57">
        <v>0.2532</v>
      </c>
    </row>
    <row r="172">
      <c r="A172" s="70">
        <v>44676.0</v>
      </c>
      <c r="B172" s="57">
        <v>2369.1</v>
      </c>
      <c r="C172" s="57">
        <v>2369.0</v>
      </c>
      <c r="D172" s="57">
        <v>1.0</v>
      </c>
      <c r="E172" s="57">
        <v>0.6543</v>
      </c>
    </row>
    <row r="173">
      <c r="A173" s="70">
        <v>44676.0</v>
      </c>
      <c r="B173" s="57">
        <v>2343.6</v>
      </c>
      <c r="C173" s="57">
        <v>2343.0</v>
      </c>
      <c r="D173" s="57">
        <v>6.0</v>
      </c>
      <c r="E173" s="57">
        <v>1.2201</v>
      </c>
    </row>
    <row r="174">
      <c r="A174" s="70">
        <v>44676.0</v>
      </c>
      <c r="B174" s="57">
        <v>2343.5</v>
      </c>
      <c r="C174" s="57">
        <v>2343.0</v>
      </c>
      <c r="D174" s="57">
        <v>5.0</v>
      </c>
      <c r="E174" s="57">
        <v>1.0589</v>
      </c>
    </row>
    <row r="175">
      <c r="A175" s="70">
        <v>44676.0</v>
      </c>
      <c r="B175" s="57">
        <v>2369.2</v>
      </c>
      <c r="C175" s="57">
        <v>2369.0</v>
      </c>
      <c r="D175" s="57">
        <v>2.0</v>
      </c>
      <c r="E175" s="57">
        <v>0.9091</v>
      </c>
    </row>
    <row r="176">
      <c r="A176" s="70">
        <v>44676.0</v>
      </c>
      <c r="B176" s="57">
        <v>2369.4</v>
      </c>
      <c r="C176" s="57">
        <v>2369.0</v>
      </c>
      <c r="D176" s="57">
        <v>4.0</v>
      </c>
      <c r="E176" s="57">
        <v>0.271</v>
      </c>
    </row>
    <row r="177">
      <c r="A177" s="70">
        <v>44676.0</v>
      </c>
      <c r="B177" s="57">
        <v>2346.6</v>
      </c>
      <c r="C177" s="57">
        <v>2346.0</v>
      </c>
      <c r="D177" s="57">
        <v>6.0</v>
      </c>
      <c r="E177" s="57">
        <v>0.1378</v>
      </c>
    </row>
    <row r="178">
      <c r="A178" s="70">
        <v>44676.0</v>
      </c>
      <c r="B178" s="57">
        <v>2346.5</v>
      </c>
      <c r="C178" s="57">
        <v>2346.0</v>
      </c>
      <c r="D178" s="57">
        <v>5.0</v>
      </c>
      <c r="E178" s="57">
        <v>0.509</v>
      </c>
    </row>
    <row r="179">
      <c r="A179" s="70">
        <v>44676.0</v>
      </c>
      <c r="B179" s="57">
        <v>2369.3</v>
      </c>
      <c r="C179" s="57">
        <v>2369.0</v>
      </c>
      <c r="D179" s="57">
        <v>3.0</v>
      </c>
      <c r="E179" s="57">
        <v>0.1972</v>
      </c>
    </row>
    <row r="180">
      <c r="A180" s="70"/>
      <c r="C180" s="57"/>
      <c r="D180" s="57"/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8" t="s">
        <v>192</v>
      </c>
      <c r="B1" s="68" t="s">
        <v>194</v>
      </c>
      <c r="C1" s="68" t="s">
        <v>197</v>
      </c>
      <c r="D1" s="68" t="s">
        <v>198</v>
      </c>
      <c r="E1" s="68" t="s">
        <v>199</v>
      </c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sheetData>
    <row r="1">
      <c r="A1" s="72" t="s">
        <v>200</v>
      </c>
      <c r="B1" s="1"/>
      <c r="C1" s="1"/>
    </row>
    <row r="3">
      <c r="A3" s="12" t="s">
        <v>1</v>
      </c>
      <c r="B3" s="38" t="s">
        <v>201</v>
      </c>
      <c r="C3" s="12"/>
    </row>
    <row r="4">
      <c r="A4" s="12" t="s">
        <v>3</v>
      </c>
      <c r="B4" s="38" t="s">
        <v>202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203</v>
      </c>
      <c r="H6" s="30" t="s">
        <v>204</v>
      </c>
      <c r="I6" s="30" t="s">
        <v>205</v>
      </c>
      <c r="J6" s="30" t="s">
        <v>206</v>
      </c>
      <c r="K6" s="30" t="s">
        <v>207</v>
      </c>
      <c r="L6" s="30" t="s">
        <v>208</v>
      </c>
      <c r="M6" s="30" t="s">
        <v>209</v>
      </c>
      <c r="N6" s="30" t="s">
        <v>210</v>
      </c>
      <c r="O6" s="30" t="s">
        <v>211</v>
      </c>
      <c r="P6" s="30" t="s">
        <v>212</v>
      </c>
      <c r="Q6" s="30" t="s">
        <v>213</v>
      </c>
      <c r="R6" s="30" t="s">
        <v>214</v>
      </c>
      <c r="S6" s="30" t="s">
        <v>215</v>
      </c>
      <c r="T6" s="30" t="s">
        <v>216</v>
      </c>
      <c r="U6" s="30" t="s">
        <v>217</v>
      </c>
      <c r="V6" s="30" t="s">
        <v>218</v>
      </c>
      <c r="W6" s="30" t="s">
        <v>219</v>
      </c>
      <c r="X6" s="30" t="s">
        <v>220</v>
      </c>
      <c r="Y6" s="30" t="s">
        <v>221</v>
      </c>
      <c r="Z6" s="30" t="s">
        <v>222</v>
      </c>
      <c r="AA6" s="30" t="s">
        <v>223</v>
      </c>
      <c r="AB6" s="30" t="s">
        <v>224</v>
      </c>
      <c r="AC6" s="30" t="s">
        <v>225</v>
      </c>
      <c r="AD6" s="30" t="s">
        <v>226</v>
      </c>
      <c r="AE6" s="30" t="s">
        <v>227</v>
      </c>
      <c r="AF6" s="30" t="s">
        <v>228</v>
      </c>
      <c r="AG6" s="30" t="s">
        <v>229</v>
      </c>
      <c r="AH6" s="30" t="s">
        <v>230</v>
      </c>
      <c r="AI6" s="30" t="s">
        <v>231</v>
      </c>
      <c r="AJ6" s="30" t="s">
        <v>232</v>
      </c>
      <c r="AK6" s="30" t="s">
        <v>233</v>
      </c>
      <c r="AL6" s="30" t="s">
        <v>234</v>
      </c>
      <c r="AM6" s="30" t="s">
        <v>235</v>
      </c>
      <c r="AN6" s="30" t="s">
        <v>236</v>
      </c>
      <c r="AO6" s="30" t="s">
        <v>237</v>
      </c>
      <c r="AP6" s="30" t="s">
        <v>238</v>
      </c>
      <c r="AQ6" s="30" t="s">
        <v>239</v>
      </c>
      <c r="AR6" s="30" t="s">
        <v>240</v>
      </c>
      <c r="AS6" s="30" t="s">
        <v>241</v>
      </c>
      <c r="AT6" s="30" t="s">
        <v>242</v>
      </c>
      <c r="AU6" s="30" t="s">
        <v>243</v>
      </c>
      <c r="AV6" s="30" t="s">
        <v>244</v>
      </c>
      <c r="AW6" s="30" t="s">
        <v>245</v>
      </c>
      <c r="AX6" s="30" t="s">
        <v>246</v>
      </c>
      <c r="AY6" s="30" t="s">
        <v>247</v>
      </c>
      <c r="AZ6" s="30" t="s">
        <v>248</v>
      </c>
      <c r="BA6" s="30" t="s">
        <v>249</v>
      </c>
      <c r="BB6" s="30" t="s">
        <v>250</v>
      </c>
      <c r="BC6" s="30" t="s">
        <v>251</v>
      </c>
      <c r="BD6" s="30" t="s">
        <v>252</v>
      </c>
      <c r="BE6" s="30" t="s">
        <v>253</v>
      </c>
      <c r="BF6" s="29" t="s">
        <v>26</v>
      </c>
      <c r="BG6" s="9"/>
      <c r="BH6" s="9"/>
      <c r="BI6" s="9"/>
    </row>
    <row r="7">
      <c r="A7" s="12" t="s">
        <v>57</v>
      </c>
      <c r="B7" s="12" t="s">
        <v>58</v>
      </c>
      <c r="C7" s="12">
        <v>2352.0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</row>
    <row r="10">
      <c r="A10" s="12" t="s">
        <v>57</v>
      </c>
      <c r="B10" s="12" t="s">
        <v>64</v>
      </c>
      <c r="C10" s="12">
        <v>2355.0</v>
      </c>
      <c r="D10" s="57">
        <v>2.0</v>
      </c>
      <c r="E10" s="57">
        <v>1.0</v>
      </c>
      <c r="F10" s="70">
        <v>44610.0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  <c r="D12" s="57">
        <v>3.0</v>
      </c>
      <c r="E12" s="57">
        <v>0.0</v>
      </c>
      <c r="F12" s="70">
        <v>44610.0</v>
      </c>
    </row>
    <row r="13">
      <c r="A13" s="12" t="s">
        <v>57</v>
      </c>
      <c r="B13" s="12" t="s">
        <v>64</v>
      </c>
      <c r="C13" s="12">
        <v>2357.0</v>
      </c>
      <c r="D13" s="57">
        <v>2.0</v>
      </c>
      <c r="E13" s="57">
        <v>3.0</v>
      </c>
      <c r="F13" s="70">
        <v>44610.0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  <c r="D15" s="57">
        <v>1.0</v>
      </c>
      <c r="E15" s="57">
        <v>2.0</v>
      </c>
      <c r="F15" s="70">
        <v>44610.0</v>
      </c>
    </row>
    <row r="16">
      <c r="A16" s="12" t="s">
        <v>57</v>
      </c>
      <c r="B16" s="12" t="s">
        <v>64</v>
      </c>
      <c r="C16" s="12">
        <v>2359.0</v>
      </c>
      <c r="D16" s="57">
        <v>0.0</v>
      </c>
      <c r="E16" s="57">
        <v>2.0</v>
      </c>
      <c r="F16" s="70">
        <v>44610.0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  <c r="D18" s="57">
        <v>0.0</v>
      </c>
      <c r="E18" s="57">
        <v>5.0</v>
      </c>
      <c r="F18" s="70">
        <v>44610.0</v>
      </c>
    </row>
    <row r="19">
      <c r="A19" s="12" t="s">
        <v>57</v>
      </c>
      <c r="B19" s="12" t="s">
        <v>64</v>
      </c>
      <c r="C19" s="12">
        <v>2361.0</v>
      </c>
      <c r="D19" s="57">
        <v>3.0</v>
      </c>
      <c r="E19" s="57">
        <v>0.0</v>
      </c>
      <c r="F19" s="70">
        <v>44610.0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  <c r="D21" s="57">
        <v>3.0</v>
      </c>
      <c r="E21" s="70">
        <v>44687.0</v>
      </c>
      <c r="F21" s="70">
        <v>44610.0</v>
      </c>
    </row>
    <row r="22">
      <c r="A22" s="12" t="s">
        <v>57</v>
      </c>
      <c r="B22" s="12" t="s">
        <v>64</v>
      </c>
      <c r="C22" s="12">
        <v>2363.0</v>
      </c>
      <c r="D22" s="57">
        <v>3.0</v>
      </c>
      <c r="E22" s="57">
        <v>0.0</v>
      </c>
      <c r="F22" s="70">
        <v>44610.0</v>
      </c>
    </row>
    <row r="23">
      <c r="A23" s="12" t="s">
        <v>57</v>
      </c>
      <c r="B23" s="12" t="s">
        <v>64</v>
      </c>
      <c r="C23" s="12">
        <v>2364.0</v>
      </c>
      <c r="D23" s="57">
        <v>3.0</v>
      </c>
      <c r="E23" s="57">
        <v>0.0</v>
      </c>
      <c r="F23" s="70">
        <v>44610.0</v>
      </c>
    </row>
    <row r="24">
      <c r="A24" s="12" t="s">
        <v>57</v>
      </c>
      <c r="B24" s="12" t="s">
        <v>64</v>
      </c>
      <c r="C24" s="12">
        <v>2365.0</v>
      </c>
      <c r="D24" s="57">
        <v>3.0</v>
      </c>
      <c r="E24" s="57">
        <v>1.0</v>
      </c>
      <c r="F24" s="70">
        <v>44610.0</v>
      </c>
    </row>
    <row r="25">
      <c r="A25" s="12" t="s">
        <v>57</v>
      </c>
      <c r="B25" s="12" t="s">
        <v>64</v>
      </c>
      <c r="C25" s="12">
        <v>2366.0</v>
      </c>
      <c r="D25" s="57">
        <v>3.0</v>
      </c>
      <c r="E25" s="57">
        <v>0.0</v>
      </c>
      <c r="F25" s="70">
        <v>44610.0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D27" s="57">
        <v>2.0</v>
      </c>
      <c r="E27" s="57">
        <v>0.0</v>
      </c>
      <c r="F27" s="70">
        <v>44610.0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D30" s="57">
        <v>3.0</v>
      </c>
      <c r="E30" s="57">
        <v>0.0</v>
      </c>
      <c r="F30" s="70">
        <v>44610.0</v>
      </c>
    </row>
    <row r="31">
      <c r="A31" s="38" t="s">
        <v>70</v>
      </c>
      <c r="B31" s="38" t="s">
        <v>58</v>
      </c>
      <c r="C31" s="38">
        <v>2376.0</v>
      </c>
    </row>
    <row r="32">
      <c r="A32" s="38" t="s">
        <v>70</v>
      </c>
      <c r="B32" s="38" t="s">
        <v>58</v>
      </c>
      <c r="C32" s="38">
        <v>2377.0</v>
      </c>
    </row>
    <row r="33">
      <c r="A33" s="38" t="s">
        <v>70</v>
      </c>
      <c r="B33" s="38" t="s">
        <v>64</v>
      </c>
      <c r="C33" s="38">
        <v>2378.0</v>
      </c>
    </row>
    <row r="34">
      <c r="A34" s="38" t="s">
        <v>70</v>
      </c>
      <c r="B34" s="38" t="s">
        <v>64</v>
      </c>
      <c r="C34" s="38">
        <v>2379.0</v>
      </c>
    </row>
    <row r="35">
      <c r="A35" s="38" t="s">
        <v>70</v>
      </c>
      <c r="B35" s="38" t="s">
        <v>58</v>
      </c>
      <c r="C35" s="38">
        <v>2380.0</v>
      </c>
    </row>
    <row r="36">
      <c r="A36" s="12" t="s">
        <v>74</v>
      </c>
      <c r="B36" s="12" t="s">
        <v>64</v>
      </c>
      <c r="C36" s="12">
        <v>2337.0</v>
      </c>
      <c r="D36" s="57">
        <v>0.0</v>
      </c>
      <c r="E36" s="57">
        <v>0.0</v>
      </c>
      <c r="F36" s="70">
        <v>44610.0</v>
      </c>
    </row>
    <row r="37">
      <c r="A37" s="12" t="s">
        <v>74</v>
      </c>
      <c r="B37" s="12" t="s">
        <v>64</v>
      </c>
      <c r="C37" s="12">
        <v>2338.0</v>
      </c>
      <c r="D37" s="57">
        <v>0.0</v>
      </c>
      <c r="E37" s="57">
        <v>0.0</v>
      </c>
      <c r="F37" s="70">
        <v>44610.0</v>
      </c>
    </row>
    <row r="38">
      <c r="A38" s="12" t="s">
        <v>74</v>
      </c>
      <c r="B38" s="12" t="s">
        <v>64</v>
      </c>
      <c r="C38" s="12">
        <v>2339.0</v>
      </c>
      <c r="D38" s="57">
        <v>1.0</v>
      </c>
      <c r="E38" s="57">
        <v>0.0</v>
      </c>
      <c r="F38" s="70">
        <v>44610.0</v>
      </c>
    </row>
    <row r="39">
      <c r="A39" s="12" t="s">
        <v>74</v>
      </c>
      <c r="B39" s="12" t="s">
        <v>64</v>
      </c>
      <c r="C39" s="12">
        <v>2340.0</v>
      </c>
      <c r="D39" s="57">
        <v>0.0</v>
      </c>
      <c r="E39" s="57">
        <v>0.0</v>
      </c>
      <c r="F39" s="70">
        <v>44610.0</v>
      </c>
    </row>
    <row r="40">
      <c r="A40" s="12" t="s">
        <v>74</v>
      </c>
      <c r="B40" s="12" t="s">
        <v>64</v>
      </c>
      <c r="C40" s="12">
        <v>2341.0</v>
      </c>
      <c r="D40" s="57">
        <v>0.0</v>
      </c>
      <c r="E40" s="57">
        <v>0.0</v>
      </c>
      <c r="F40" s="70">
        <v>44610.0</v>
      </c>
    </row>
    <row r="41">
      <c r="A41" s="12" t="s">
        <v>74</v>
      </c>
      <c r="B41" s="12" t="s">
        <v>64</v>
      </c>
      <c r="C41" s="12">
        <v>2342.0</v>
      </c>
      <c r="D41" s="57">
        <v>0.0</v>
      </c>
      <c r="E41" s="57">
        <v>0.0</v>
      </c>
      <c r="F41" s="70">
        <v>44610.0</v>
      </c>
    </row>
    <row r="42">
      <c r="A42" s="12" t="s">
        <v>74</v>
      </c>
      <c r="B42" s="12" t="s">
        <v>64</v>
      </c>
      <c r="C42" s="12">
        <v>2343.0</v>
      </c>
      <c r="D42" s="57">
        <v>1.0</v>
      </c>
      <c r="E42" s="57">
        <v>0.0</v>
      </c>
      <c r="F42" s="70">
        <v>44610.0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</row>
    <row r="47">
      <c r="A47" s="12" t="s">
        <v>74</v>
      </c>
      <c r="B47" s="12" t="s">
        <v>64</v>
      </c>
      <c r="C47" s="12">
        <v>2346.0</v>
      </c>
      <c r="D47" s="57">
        <v>2.0</v>
      </c>
      <c r="E47" s="57">
        <v>0.0</v>
      </c>
      <c r="F47" s="70">
        <v>44610.0</v>
      </c>
    </row>
    <row r="48">
      <c r="A48" s="12" t="s">
        <v>74</v>
      </c>
      <c r="B48" s="12" t="s">
        <v>64</v>
      </c>
      <c r="C48" s="12">
        <v>2347.0</v>
      </c>
      <c r="D48" s="57">
        <v>2.0</v>
      </c>
      <c r="E48" s="57">
        <v>0.0</v>
      </c>
      <c r="F48" s="70">
        <v>44610.0</v>
      </c>
    </row>
    <row r="49">
      <c r="A49" s="12" t="s">
        <v>74</v>
      </c>
      <c r="B49" s="12" t="s">
        <v>64</v>
      </c>
      <c r="C49" s="12">
        <v>2348.0</v>
      </c>
      <c r="D49" s="57">
        <v>1.0</v>
      </c>
      <c r="E49" s="57">
        <v>0.0</v>
      </c>
      <c r="F49" s="70">
        <v>44610.0</v>
      </c>
    </row>
    <row r="50">
      <c r="A50" s="12" t="s">
        <v>74</v>
      </c>
      <c r="B50" s="12" t="s">
        <v>64</v>
      </c>
      <c r="C50" s="12">
        <v>2349.0</v>
      </c>
      <c r="D50" s="57">
        <v>1.0</v>
      </c>
      <c r="E50" s="57">
        <v>0.0</v>
      </c>
      <c r="F50" s="70">
        <v>44610.0</v>
      </c>
    </row>
    <row r="51">
      <c r="A51" s="12" t="s">
        <v>74</v>
      </c>
      <c r="B51" s="12" t="s">
        <v>64</v>
      </c>
      <c r="C51" s="12">
        <v>2350.0</v>
      </c>
      <c r="D51" s="57">
        <v>1.0</v>
      </c>
      <c r="E51" s="57">
        <v>0.0</v>
      </c>
      <c r="F51" s="70">
        <v>44610.0</v>
      </c>
    </row>
    <row r="52">
      <c r="A52" s="12" t="s">
        <v>74</v>
      </c>
      <c r="B52" s="12" t="s">
        <v>64</v>
      </c>
      <c r="C52" s="12">
        <v>2351.0</v>
      </c>
      <c r="D52" s="57">
        <v>1.0</v>
      </c>
      <c r="E52" s="57">
        <v>0.0</v>
      </c>
      <c r="F52" s="70">
        <v>44610.0</v>
      </c>
    </row>
    <row r="53">
      <c r="A53" s="38" t="s">
        <v>88</v>
      </c>
      <c r="B53" s="38" t="s">
        <v>64</v>
      </c>
      <c r="C53" s="38">
        <v>2375.0</v>
      </c>
    </row>
    <row r="54">
      <c r="A54" s="12" t="s">
        <v>90</v>
      </c>
      <c r="B54" s="12" t="s">
        <v>64</v>
      </c>
      <c r="C54" s="12">
        <v>2310.0</v>
      </c>
      <c r="D54" s="57">
        <v>1.0</v>
      </c>
      <c r="E54" s="57">
        <v>0.0</v>
      </c>
      <c r="F54" s="70">
        <v>44612.0</v>
      </c>
    </row>
    <row r="55">
      <c r="A55" s="12" t="s">
        <v>90</v>
      </c>
      <c r="B55" s="12" t="s">
        <v>64</v>
      </c>
      <c r="C55" s="12">
        <v>2311.0</v>
      </c>
      <c r="D55" s="57">
        <v>0.0</v>
      </c>
      <c r="E55" s="57">
        <v>0.0</v>
      </c>
      <c r="F55" s="70">
        <v>44612.0</v>
      </c>
    </row>
    <row r="56">
      <c r="A56" s="12" t="s">
        <v>90</v>
      </c>
      <c r="B56" s="12" t="s">
        <v>64</v>
      </c>
      <c r="C56" s="12">
        <v>2312.0</v>
      </c>
      <c r="D56" s="57">
        <v>0.0</v>
      </c>
      <c r="E56" s="57">
        <v>1.0</v>
      </c>
      <c r="F56" s="70">
        <v>44612.0</v>
      </c>
    </row>
    <row r="57">
      <c r="A57" s="12" t="s">
        <v>90</v>
      </c>
      <c r="B57" s="12" t="s">
        <v>64</v>
      </c>
      <c r="C57" s="12">
        <v>2313.0</v>
      </c>
      <c r="D57" s="57">
        <v>4.0</v>
      </c>
      <c r="E57" s="57">
        <v>0.0</v>
      </c>
      <c r="F57" s="70">
        <v>44612.0</v>
      </c>
    </row>
    <row r="58">
      <c r="A58" s="12" t="s">
        <v>90</v>
      </c>
      <c r="B58" s="12" t="s">
        <v>64</v>
      </c>
      <c r="C58" s="12">
        <v>2314.0</v>
      </c>
      <c r="D58" s="57">
        <v>1.0</v>
      </c>
      <c r="E58" s="57">
        <v>0.0</v>
      </c>
      <c r="F58" s="70">
        <v>44612.0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  <c r="D61" s="57">
        <v>2.0</v>
      </c>
      <c r="E61" s="57">
        <v>0.0</v>
      </c>
      <c r="F61" s="70">
        <v>44612.0</v>
      </c>
    </row>
    <row r="62">
      <c r="A62" s="12" t="s">
        <v>90</v>
      </c>
      <c r="B62" s="12" t="s">
        <v>64</v>
      </c>
      <c r="C62" s="12">
        <v>2318.0</v>
      </c>
      <c r="D62" s="57">
        <v>1.0</v>
      </c>
      <c r="E62" s="57">
        <v>0.0</v>
      </c>
      <c r="F62" s="70">
        <v>44612.0</v>
      </c>
    </row>
    <row r="63">
      <c r="A63" s="12" t="s">
        <v>90</v>
      </c>
      <c r="B63" s="12" t="s">
        <v>64</v>
      </c>
      <c r="C63" s="12">
        <v>2319.0</v>
      </c>
      <c r="D63" s="57">
        <v>2.0</v>
      </c>
      <c r="E63" s="57">
        <v>0.0</v>
      </c>
      <c r="F63" s="70">
        <v>44612.0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  <c r="D65" s="57">
        <v>1.0</v>
      </c>
      <c r="E65" s="57">
        <v>0.0</v>
      </c>
      <c r="F65" s="70">
        <v>44612.0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  <c r="D68" s="57">
        <v>0.0</v>
      </c>
      <c r="E68" s="57">
        <v>0.0</v>
      </c>
      <c r="F68" s="70">
        <v>44612.0</v>
      </c>
    </row>
    <row r="69">
      <c r="A69" s="12" t="s">
        <v>90</v>
      </c>
      <c r="B69" s="12" t="s">
        <v>64</v>
      </c>
      <c r="C69" s="12">
        <v>2325.0</v>
      </c>
      <c r="D69" s="57">
        <v>1.0</v>
      </c>
      <c r="E69" s="57">
        <v>0.0</v>
      </c>
      <c r="F69" s="70">
        <v>44612.0</v>
      </c>
    </row>
    <row r="70">
      <c r="A70" s="12" t="s">
        <v>90</v>
      </c>
      <c r="B70" s="12" t="s">
        <v>64</v>
      </c>
      <c r="C70" s="12">
        <v>2327.0</v>
      </c>
      <c r="D70" s="57">
        <v>0.0</v>
      </c>
      <c r="E70" s="57">
        <v>1.0</v>
      </c>
      <c r="F70" s="70">
        <v>44612.0</v>
      </c>
    </row>
    <row r="71">
      <c r="A71" s="12" t="s">
        <v>90</v>
      </c>
      <c r="B71" s="12" t="s">
        <v>64</v>
      </c>
      <c r="C71" s="12">
        <v>2326.0</v>
      </c>
      <c r="D71" s="57">
        <v>0.0</v>
      </c>
      <c r="E71" s="57">
        <v>1.0</v>
      </c>
      <c r="F71" s="70">
        <v>44612.0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  <c r="D73" s="57">
        <v>0.0</v>
      </c>
      <c r="E73" s="57">
        <v>0.0</v>
      </c>
      <c r="F73" s="70">
        <v>44612.0</v>
      </c>
    </row>
    <row r="74">
      <c r="A74" s="12" t="s">
        <v>90</v>
      </c>
      <c r="B74" s="12" t="s">
        <v>64</v>
      </c>
      <c r="C74" s="12">
        <v>2330.0</v>
      </c>
      <c r="D74" s="57">
        <v>3.0</v>
      </c>
      <c r="E74" s="57">
        <v>0.0</v>
      </c>
      <c r="F74" s="70">
        <v>44612.0</v>
      </c>
    </row>
    <row r="75">
      <c r="A75" s="12" t="s">
        <v>90</v>
      </c>
      <c r="B75" s="12" t="s">
        <v>58</v>
      </c>
      <c r="C75" s="12">
        <v>2331.0</v>
      </c>
    </row>
    <row r="76">
      <c r="A76" s="12" t="s">
        <v>90</v>
      </c>
      <c r="B76" s="12" t="s">
        <v>64</v>
      </c>
      <c r="C76" s="12">
        <v>2332.0</v>
      </c>
      <c r="D76" s="57">
        <v>1.0</v>
      </c>
      <c r="E76" s="57">
        <v>0.0</v>
      </c>
      <c r="F76" s="70">
        <v>44612.0</v>
      </c>
    </row>
    <row r="77">
      <c r="A77" s="12" t="s">
        <v>90</v>
      </c>
      <c r="B77" s="12" t="s">
        <v>64</v>
      </c>
      <c r="C77" s="12">
        <v>2333.0</v>
      </c>
      <c r="D77" s="57">
        <v>1.0</v>
      </c>
      <c r="E77" s="57">
        <v>0.0</v>
      </c>
      <c r="F77" s="70">
        <v>44612.0</v>
      </c>
    </row>
    <row r="78">
      <c r="A78" s="2" t="s">
        <v>90</v>
      </c>
      <c r="B78" s="3" t="s">
        <v>64</v>
      </c>
      <c r="C78" s="12">
        <v>2334.0</v>
      </c>
      <c r="D78" s="57">
        <v>1.0</v>
      </c>
      <c r="E78" s="57">
        <v>0.0</v>
      </c>
      <c r="F78" s="70">
        <v>44612.0</v>
      </c>
    </row>
    <row r="79">
      <c r="A79" s="12" t="s">
        <v>90</v>
      </c>
      <c r="B79" s="12" t="s">
        <v>64</v>
      </c>
      <c r="C79" s="12">
        <v>2336.0</v>
      </c>
      <c r="D79" s="57">
        <v>0.0</v>
      </c>
      <c r="E79" s="57">
        <v>0.0</v>
      </c>
      <c r="F79" s="70">
        <v>44612.0</v>
      </c>
    </row>
    <row r="80">
      <c r="A80" s="12" t="s">
        <v>90</v>
      </c>
      <c r="B80" s="12" t="s">
        <v>64</v>
      </c>
      <c r="C80" s="12">
        <v>2335.0</v>
      </c>
      <c r="D80" s="57">
        <v>0.0</v>
      </c>
      <c r="E80" s="57">
        <v>0.0</v>
      </c>
      <c r="F80" s="70">
        <v>44612.0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</row>
    <row r="83">
      <c r="A83" s="12" t="s">
        <v>101</v>
      </c>
      <c r="B83" s="12" t="s">
        <v>64</v>
      </c>
      <c r="C83" s="12">
        <v>2302.0</v>
      </c>
      <c r="D83" s="57">
        <v>0.0</v>
      </c>
      <c r="E83" s="57">
        <v>0.0</v>
      </c>
      <c r="F83" s="70">
        <v>44612.0</v>
      </c>
    </row>
    <row r="84">
      <c r="A84" s="12" t="s">
        <v>101</v>
      </c>
      <c r="B84" s="12" t="s">
        <v>64</v>
      </c>
      <c r="C84" s="12">
        <v>2303.0</v>
      </c>
      <c r="D84" s="57">
        <v>0.0</v>
      </c>
      <c r="E84" s="57">
        <v>0.0</v>
      </c>
      <c r="F84" s="70">
        <v>44612.0</v>
      </c>
    </row>
    <row r="85">
      <c r="A85" s="12" t="s">
        <v>101</v>
      </c>
      <c r="B85" s="12" t="s">
        <v>64</v>
      </c>
      <c r="C85" s="12">
        <v>2304.0</v>
      </c>
      <c r="D85" s="57">
        <v>0.0</v>
      </c>
      <c r="E85" s="57">
        <v>0.0</v>
      </c>
      <c r="F85" s="70">
        <v>44612.0</v>
      </c>
    </row>
    <row r="86">
      <c r="A86" s="12" t="s">
        <v>101</v>
      </c>
      <c r="B86" s="12" t="s">
        <v>64</v>
      </c>
      <c r="C86" s="12">
        <v>2305.0</v>
      </c>
      <c r="D86" s="57">
        <v>0.0</v>
      </c>
      <c r="E86" s="57">
        <v>1.0</v>
      </c>
      <c r="F86" s="70">
        <v>44612.0</v>
      </c>
    </row>
    <row r="87">
      <c r="A87" s="12" t="s">
        <v>101</v>
      </c>
      <c r="B87" s="12" t="s">
        <v>64</v>
      </c>
      <c r="C87" s="12">
        <v>2306.0</v>
      </c>
      <c r="D87" s="57">
        <v>1.0</v>
      </c>
      <c r="E87" s="57">
        <v>0.0</v>
      </c>
      <c r="F87" s="70">
        <v>44612.0</v>
      </c>
    </row>
    <row r="88">
      <c r="A88" s="12" t="s">
        <v>101</v>
      </c>
      <c r="B88" s="12" t="s">
        <v>64</v>
      </c>
      <c r="C88" s="12">
        <v>2307.0</v>
      </c>
      <c r="D88" s="57">
        <v>0.0</v>
      </c>
      <c r="E88" s="57">
        <v>0.0</v>
      </c>
      <c r="F88" s="70">
        <v>44612.0</v>
      </c>
    </row>
    <row r="89">
      <c r="A89" s="12" t="s">
        <v>101</v>
      </c>
      <c r="B89" s="12" t="s">
        <v>64</v>
      </c>
      <c r="C89" s="12">
        <v>2308.0</v>
      </c>
      <c r="D89" s="57">
        <v>3.0</v>
      </c>
      <c r="E89" s="57">
        <v>0.0</v>
      </c>
      <c r="F89" s="70">
        <v>44612.0</v>
      </c>
    </row>
    <row r="90">
      <c r="A90" s="12" t="s">
        <v>101</v>
      </c>
      <c r="B90" s="12" t="s">
        <v>64</v>
      </c>
      <c r="C90" s="12">
        <v>2309.0</v>
      </c>
      <c r="D90" s="57">
        <v>0.0</v>
      </c>
      <c r="E90" s="57">
        <v>0.0</v>
      </c>
      <c r="F90" s="70">
        <v>44612.0</v>
      </c>
    </row>
    <row r="91">
      <c r="A91" s="53" t="s">
        <v>106</v>
      </c>
      <c r="B91" s="54" t="s">
        <v>64</v>
      </c>
      <c r="C91" s="55">
        <v>2370.0</v>
      </c>
    </row>
    <row r="92">
      <c r="A92" s="53" t="s">
        <v>107</v>
      </c>
      <c r="B92" s="54" t="s">
        <v>64</v>
      </c>
      <c r="C92" s="55">
        <v>2371.0</v>
      </c>
    </row>
    <row r="93">
      <c r="A93" s="53" t="s">
        <v>108</v>
      </c>
      <c r="B93" s="54" t="s">
        <v>64</v>
      </c>
      <c r="C93" s="55">
        <v>2372.0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</row>
    <row r="111">
      <c r="A111" s="2" t="s">
        <v>117</v>
      </c>
      <c r="B111" s="54" t="s">
        <v>64</v>
      </c>
      <c r="C111" s="60">
        <v>2383.0</v>
      </c>
    </row>
    <row r="112">
      <c r="A112" s="2" t="s">
        <v>117</v>
      </c>
      <c r="B112" s="54" t="s">
        <v>64</v>
      </c>
      <c r="C112" s="57">
        <v>2384.0</v>
      </c>
    </row>
    <row r="113">
      <c r="A113" s="57" t="s">
        <v>136</v>
      </c>
      <c r="B113" s="54" t="s">
        <v>64</v>
      </c>
      <c r="C113" s="57">
        <v>2004.0</v>
      </c>
    </row>
    <row r="114">
      <c r="A114" s="57" t="s">
        <v>136</v>
      </c>
      <c r="B114" s="54" t="s">
        <v>64</v>
      </c>
      <c r="C114" s="57">
        <v>2005.0</v>
      </c>
    </row>
    <row r="115">
      <c r="A115" s="57" t="s">
        <v>136</v>
      </c>
      <c r="B115" s="54" t="s">
        <v>64</v>
      </c>
      <c r="C115" s="57">
        <v>2006.0</v>
      </c>
    </row>
    <row r="116">
      <c r="A116" s="57" t="s">
        <v>136</v>
      </c>
      <c r="B116" s="54" t="s">
        <v>64</v>
      </c>
      <c r="C116" s="57">
        <v>2007.0</v>
      </c>
    </row>
    <row r="117">
      <c r="A117" s="57" t="s">
        <v>254</v>
      </c>
      <c r="B117" s="54" t="s">
        <v>139</v>
      </c>
    </row>
    <row r="118">
      <c r="A118" s="57" t="s">
        <v>141</v>
      </c>
      <c r="B118" s="54" t="s">
        <v>139</v>
      </c>
    </row>
    <row r="119">
      <c r="A119" s="57" t="s">
        <v>136</v>
      </c>
      <c r="B119" s="54" t="s">
        <v>139</v>
      </c>
    </row>
    <row r="120">
      <c r="A120" s="57" t="s">
        <v>254</v>
      </c>
      <c r="B120" s="54" t="s">
        <v>144</v>
      </c>
    </row>
    <row r="121">
      <c r="A121" s="57" t="s">
        <v>141</v>
      </c>
      <c r="B121" s="54" t="s">
        <v>144</v>
      </c>
    </row>
    <row r="122">
      <c r="A122" s="57" t="s">
        <v>136</v>
      </c>
      <c r="B122" s="54" t="s">
        <v>144</v>
      </c>
    </row>
    <row r="123">
      <c r="A123" s="57" t="s">
        <v>255</v>
      </c>
      <c r="B123" s="54" t="s">
        <v>58</v>
      </c>
      <c r="C123" s="57">
        <v>2093.0</v>
      </c>
    </row>
    <row r="124">
      <c r="A124" s="57" t="s">
        <v>255</v>
      </c>
      <c r="B124" s="54" t="s">
        <v>58</v>
      </c>
      <c r="C124" s="57">
        <v>2092.0</v>
      </c>
    </row>
    <row r="125">
      <c r="A125" s="57" t="s">
        <v>255</v>
      </c>
      <c r="B125" s="54" t="s">
        <v>58</v>
      </c>
      <c r="C125" s="57">
        <v>2091.0</v>
      </c>
    </row>
    <row r="126">
      <c r="A126" s="57" t="s">
        <v>255</v>
      </c>
      <c r="B126" s="54" t="s">
        <v>149</v>
      </c>
      <c r="C126" s="57">
        <v>2090.0</v>
      </c>
    </row>
    <row r="127">
      <c r="A127" s="57" t="s">
        <v>255</v>
      </c>
      <c r="B127" s="54" t="s">
        <v>58</v>
      </c>
      <c r="C127" s="57">
        <v>2089.0</v>
      </c>
    </row>
    <row r="128">
      <c r="A128" s="57" t="s">
        <v>255</v>
      </c>
      <c r="B128" s="54" t="s">
        <v>64</v>
      </c>
      <c r="C128" s="57">
        <v>2088.0</v>
      </c>
    </row>
    <row r="129">
      <c r="A129" s="57" t="s">
        <v>255</v>
      </c>
      <c r="B129" s="54" t="s">
        <v>64</v>
      </c>
      <c r="C129" s="57">
        <v>2087.0</v>
      </c>
    </row>
    <row r="130">
      <c r="A130" s="57" t="s">
        <v>255</v>
      </c>
      <c r="B130" s="54" t="s">
        <v>64</v>
      </c>
      <c r="C130" s="57">
        <v>2086.0</v>
      </c>
    </row>
    <row r="131">
      <c r="A131" s="57" t="s">
        <v>255</v>
      </c>
      <c r="B131" s="54" t="s">
        <v>64</v>
      </c>
      <c r="C131" s="57">
        <v>2085.0</v>
      </c>
    </row>
    <row r="132">
      <c r="A132" s="57" t="s">
        <v>141</v>
      </c>
      <c r="B132" s="54" t="s">
        <v>64</v>
      </c>
      <c r="C132" s="57">
        <v>2020.0</v>
      </c>
    </row>
    <row r="133">
      <c r="A133" s="57" t="s">
        <v>141</v>
      </c>
      <c r="B133" s="54" t="s">
        <v>64</v>
      </c>
      <c r="C133" s="57">
        <v>2021.0</v>
      </c>
    </row>
    <row r="134">
      <c r="A134" s="57" t="s">
        <v>141</v>
      </c>
      <c r="B134" s="54" t="s">
        <v>58</v>
      </c>
      <c r="C134" s="57">
        <v>2022.0</v>
      </c>
    </row>
    <row r="135">
      <c r="A135" s="57" t="s">
        <v>141</v>
      </c>
      <c r="B135" s="54" t="s">
        <v>58</v>
      </c>
      <c r="C135" s="57">
        <v>2023.0</v>
      </c>
    </row>
    <row r="136">
      <c r="A136" s="57" t="s">
        <v>141</v>
      </c>
      <c r="B136" s="54" t="s">
        <v>64</v>
      </c>
      <c r="C136" s="57">
        <v>2024.0</v>
      </c>
    </row>
    <row r="137">
      <c r="A137" s="57" t="s">
        <v>141</v>
      </c>
      <c r="B137" s="54" t="s">
        <v>64</v>
      </c>
      <c r="C137" s="57">
        <v>2025.0</v>
      </c>
    </row>
    <row r="138">
      <c r="A138" s="57" t="s">
        <v>150</v>
      </c>
      <c r="B138" s="54" t="s">
        <v>64</v>
      </c>
      <c r="C138" s="57">
        <v>2026.0</v>
      </c>
    </row>
    <row r="139">
      <c r="A139" s="57" t="s">
        <v>150</v>
      </c>
      <c r="B139" s="54" t="s">
        <v>64</v>
      </c>
      <c r="C139" s="57">
        <v>2027.0</v>
      </c>
    </row>
    <row r="140">
      <c r="A140" s="57" t="s">
        <v>150</v>
      </c>
      <c r="B140" s="54"/>
      <c r="C140" s="57">
        <v>2028.0</v>
      </c>
    </row>
    <row r="141">
      <c r="A141" s="57" t="s">
        <v>150</v>
      </c>
      <c r="B141" s="54"/>
      <c r="C141" s="57">
        <v>2029.0</v>
      </c>
    </row>
    <row r="142">
      <c r="A142" s="57" t="s">
        <v>150</v>
      </c>
      <c r="B142" s="54"/>
      <c r="C142" s="57">
        <v>2030.0</v>
      </c>
    </row>
    <row r="143">
      <c r="A143" s="57" t="s">
        <v>150</v>
      </c>
      <c r="B143" s="54"/>
      <c r="C143" s="57">
        <v>2031.0</v>
      </c>
    </row>
    <row r="144">
      <c r="A144" s="57" t="s">
        <v>256</v>
      </c>
      <c r="B144" s="54" t="s">
        <v>64</v>
      </c>
      <c r="C144" s="57">
        <v>2012.0</v>
      </c>
    </row>
    <row r="145">
      <c r="A145" s="57" t="s">
        <v>256</v>
      </c>
      <c r="B145" s="54" t="s">
        <v>64</v>
      </c>
      <c r="C145" s="57">
        <v>2013.0</v>
      </c>
    </row>
    <row r="146">
      <c r="A146" s="57" t="s">
        <v>256</v>
      </c>
      <c r="B146" s="54" t="s">
        <v>64</v>
      </c>
      <c r="C146" s="57">
        <v>2014.0</v>
      </c>
    </row>
    <row r="147">
      <c r="A147" s="57" t="s">
        <v>256</v>
      </c>
      <c r="B147" s="54" t="s">
        <v>64</v>
      </c>
      <c r="C147" s="57">
        <v>2015.0</v>
      </c>
    </row>
    <row r="148">
      <c r="A148" s="57" t="s">
        <v>256</v>
      </c>
      <c r="B148" s="54" t="s">
        <v>64</v>
      </c>
      <c r="C148" s="57">
        <v>1478.0</v>
      </c>
    </row>
    <row r="149">
      <c r="B149" s="54"/>
      <c r="C149" s="57">
        <v>2011.0</v>
      </c>
    </row>
    <row r="150">
      <c r="A150" s="57" t="s">
        <v>257</v>
      </c>
      <c r="B150" s="54" t="s">
        <v>64</v>
      </c>
      <c r="C150" s="57">
        <v>2010.0</v>
      </c>
    </row>
    <row r="151">
      <c r="A151" s="57" t="s">
        <v>258</v>
      </c>
      <c r="B151" s="54" t="s">
        <v>64</v>
      </c>
      <c r="C151" s="57">
        <v>2009.0</v>
      </c>
    </row>
    <row r="152">
      <c r="B152" s="3"/>
      <c r="C152" s="57">
        <v>2008.0</v>
      </c>
    </row>
    <row r="153">
      <c r="B153" s="54" t="s">
        <v>64</v>
      </c>
      <c r="C153" s="57">
        <v>2032.0</v>
      </c>
    </row>
    <row r="154">
      <c r="B154" s="54" t="s">
        <v>64</v>
      </c>
      <c r="C154" s="57">
        <v>2385.0</v>
      </c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  <col customWidth="1" hidden="1" min="4" max="6" width="14.43"/>
    <col customWidth="1" min="7" max="7" width="9.71"/>
    <col customWidth="1" min="8" max="8" width="9.43"/>
    <col customWidth="1" min="9" max="9" width="8.29"/>
    <col customWidth="1" min="10" max="10" width="11.14"/>
    <col customWidth="1" min="11" max="11" width="10.29"/>
    <col customWidth="1" min="12" max="12" width="8.57"/>
    <col customWidth="1" min="13" max="13" width="10.86"/>
    <col customWidth="1" min="14" max="14" width="11.0"/>
    <col customWidth="1" min="15" max="15" width="7.86"/>
    <col customWidth="1" min="16" max="16" width="10.57"/>
    <col customWidth="1" min="17" max="17" width="11.14"/>
    <col customWidth="1" min="18" max="18" width="8.43"/>
    <col customWidth="1" min="19" max="19" width="11.14"/>
    <col customWidth="1" min="20" max="20" width="10.43"/>
    <col customWidth="1" min="21" max="21" width="8.0"/>
    <col customWidth="1" min="22" max="22" width="11.29"/>
    <col customWidth="1" min="23" max="23" width="10.86"/>
    <col customWidth="1" min="24" max="24" width="7.14"/>
    <col customWidth="1" min="25" max="25" width="7.0"/>
    <col customWidth="1" min="26" max="26" width="8.71"/>
    <col customWidth="1" min="27" max="27" width="7.43"/>
    <col customWidth="1" min="28" max="28" width="12.0"/>
    <col customWidth="1" min="29" max="29" width="10.86"/>
    <col customWidth="1" min="30" max="30" width="7.14"/>
    <col customWidth="1" min="31" max="31" width="11.43"/>
    <col customWidth="1" min="32" max="32" width="11.57"/>
    <col customWidth="1" min="33" max="33" width="7.43"/>
    <col customWidth="1" min="34" max="34" width="11.14"/>
    <col customWidth="1" min="35" max="35" width="10.71"/>
    <col customWidth="1" min="36" max="36" width="7.57"/>
    <col customWidth="1" min="37" max="37" width="11.57"/>
    <col customWidth="1" min="38" max="38" width="12.14"/>
    <col customWidth="1" min="39" max="39" width="6.71"/>
    <col customWidth="1" min="40" max="40" width="11.43"/>
    <col customWidth="1" min="41" max="41" width="11.29"/>
    <col customWidth="1" min="42" max="42" width="7.14"/>
    <col customWidth="1" min="43" max="43" width="11.86"/>
    <col customWidth="1" min="44" max="44" width="11.29"/>
    <col customWidth="1" min="45" max="45" width="6.57"/>
    <col customWidth="1" min="46" max="46" width="11.86"/>
    <col customWidth="1" min="47" max="47" width="11.29"/>
    <col customWidth="1" min="48" max="50" width="10.14"/>
    <col customWidth="1" min="51" max="51" width="20.71"/>
  </cols>
  <sheetData>
    <row r="1" ht="15.75" customHeight="1">
      <c r="A1" s="72" t="s">
        <v>200</v>
      </c>
      <c r="B1" s="1"/>
      <c r="C1" s="1"/>
      <c r="D1" s="3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8"/>
    </row>
    <row r="2" ht="8.25" customHeight="1">
      <c r="D2" s="3"/>
      <c r="G2" s="10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11"/>
    </row>
    <row r="3" ht="15.75" customHeight="1">
      <c r="A3" s="12" t="s">
        <v>1</v>
      </c>
      <c r="B3" s="38" t="s">
        <v>201</v>
      </c>
      <c r="C3" s="12"/>
      <c r="D3" s="3"/>
      <c r="G3" s="10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11"/>
    </row>
    <row r="4" ht="15.75" customHeight="1">
      <c r="A4" s="12" t="s">
        <v>3</v>
      </c>
      <c r="B4" s="73">
        <v>44620.0</v>
      </c>
      <c r="D4" s="3"/>
      <c r="G4" s="38" t="s">
        <v>259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11"/>
    </row>
    <row r="5" ht="21.75" customHeight="1">
      <c r="D5" s="3"/>
      <c r="G5" s="10" t="s">
        <v>5</v>
      </c>
      <c r="H5" s="9"/>
      <c r="I5" s="9" t="s">
        <v>6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11" t="s">
        <v>7</v>
      </c>
    </row>
    <row r="6" ht="15.75" customHeight="1">
      <c r="A6" s="17" t="s">
        <v>11</v>
      </c>
      <c r="B6" s="18" t="s">
        <v>12</v>
      </c>
      <c r="C6" s="18" t="s">
        <v>13</v>
      </c>
      <c r="D6" s="27" t="s">
        <v>24</v>
      </c>
      <c r="E6" s="27" t="s">
        <v>25</v>
      </c>
      <c r="F6" s="28" t="s">
        <v>26</v>
      </c>
      <c r="G6" s="29" t="s">
        <v>31</v>
      </c>
      <c r="H6" s="29" t="s">
        <v>32</v>
      </c>
      <c r="I6" s="30" t="s">
        <v>203</v>
      </c>
      <c r="J6" s="30" t="s">
        <v>204</v>
      </c>
      <c r="K6" s="30" t="s">
        <v>205</v>
      </c>
      <c r="L6" s="30" t="s">
        <v>206</v>
      </c>
      <c r="M6" s="30" t="s">
        <v>207</v>
      </c>
      <c r="N6" s="30" t="s">
        <v>208</v>
      </c>
      <c r="O6" s="30" t="s">
        <v>209</v>
      </c>
      <c r="P6" s="30" t="s">
        <v>210</v>
      </c>
      <c r="Q6" s="30" t="s">
        <v>211</v>
      </c>
      <c r="R6" s="30" t="s">
        <v>212</v>
      </c>
      <c r="S6" s="30" t="s">
        <v>213</v>
      </c>
      <c r="T6" s="30" t="s">
        <v>214</v>
      </c>
      <c r="U6" s="30" t="s">
        <v>215</v>
      </c>
      <c r="V6" s="30" t="s">
        <v>216</v>
      </c>
      <c r="W6" s="30" t="s">
        <v>217</v>
      </c>
      <c r="X6" s="30" t="s">
        <v>218</v>
      </c>
      <c r="Y6" s="30" t="s">
        <v>221</v>
      </c>
      <c r="Z6" s="30" t="s">
        <v>229</v>
      </c>
      <c r="AA6" s="30" t="s">
        <v>230</v>
      </c>
      <c r="AB6" s="30" t="s">
        <v>231</v>
      </c>
      <c r="AC6" s="30" t="s">
        <v>232</v>
      </c>
      <c r="AD6" s="30" t="s">
        <v>233</v>
      </c>
      <c r="AE6" s="30" t="s">
        <v>234</v>
      </c>
      <c r="AF6" s="30" t="s">
        <v>235</v>
      </c>
      <c r="AG6" s="30" t="s">
        <v>236</v>
      </c>
      <c r="AH6" s="30" t="s">
        <v>237</v>
      </c>
      <c r="AI6" s="30" t="s">
        <v>238</v>
      </c>
      <c r="AJ6" s="30" t="s">
        <v>239</v>
      </c>
      <c r="AK6" s="30" t="s">
        <v>240</v>
      </c>
      <c r="AL6" s="30" t="s">
        <v>241</v>
      </c>
      <c r="AM6" s="30" t="s">
        <v>242</v>
      </c>
      <c r="AN6" s="30" t="s">
        <v>243</v>
      </c>
      <c r="AO6" s="30" t="s">
        <v>244</v>
      </c>
      <c r="AP6" s="30" t="s">
        <v>245</v>
      </c>
      <c r="AQ6" s="30" t="s">
        <v>246</v>
      </c>
      <c r="AR6" s="30" t="s">
        <v>247</v>
      </c>
      <c r="AS6" s="30" t="s">
        <v>248</v>
      </c>
      <c r="AT6" s="30" t="s">
        <v>249</v>
      </c>
      <c r="AU6" s="30" t="s">
        <v>250</v>
      </c>
      <c r="AV6" s="30" t="s">
        <v>251</v>
      </c>
      <c r="AW6" s="30" t="s">
        <v>252</v>
      </c>
      <c r="AX6" s="30" t="s">
        <v>253</v>
      </c>
      <c r="AY6" s="29" t="s">
        <v>26</v>
      </c>
    </row>
    <row r="7" ht="17.25" customHeight="1">
      <c r="A7" s="12" t="s">
        <v>57</v>
      </c>
      <c r="B7" s="12" t="s">
        <v>58</v>
      </c>
      <c r="C7" s="12">
        <v>2352.0</v>
      </c>
      <c r="D7" s="32">
        <v>0.7</v>
      </c>
      <c r="E7" s="32">
        <v>0.5</v>
      </c>
      <c r="G7" s="10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5" t="str">
        <f t="shared" ref="Z7:Z112" si="1">average(I7,L7,O7,R7,U7,X7,Y7)</f>
        <v>#DIV/0!</v>
      </c>
      <c r="AA7" s="15">
        <v>2.47</v>
      </c>
      <c r="AB7" s="15">
        <v>0.134</v>
      </c>
      <c r="AC7" s="15">
        <v>0.089</v>
      </c>
      <c r="AD7" s="15">
        <v>2.5</v>
      </c>
      <c r="AE7" s="15">
        <v>0.118</v>
      </c>
      <c r="AF7" s="15">
        <v>0.072</v>
      </c>
      <c r="AG7" s="15">
        <v>1.96</v>
      </c>
      <c r="AH7" s="15">
        <v>0.106</v>
      </c>
      <c r="AI7" s="15">
        <v>0.065</v>
      </c>
      <c r="AJ7" s="15">
        <v>2.04</v>
      </c>
      <c r="AK7" s="15">
        <v>0.134</v>
      </c>
      <c r="AL7" s="15">
        <v>0.083</v>
      </c>
      <c r="AM7" s="15">
        <v>2.4</v>
      </c>
      <c r="AN7" s="15">
        <v>0.114</v>
      </c>
      <c r="AO7" s="15">
        <v>0.072</v>
      </c>
      <c r="AP7" s="9"/>
      <c r="AQ7" s="9"/>
      <c r="AR7" s="9"/>
      <c r="AS7" s="9"/>
      <c r="AT7" s="9"/>
      <c r="AU7" s="9"/>
      <c r="AV7" s="9"/>
      <c r="AW7" s="9"/>
      <c r="AX7" s="9">
        <f t="shared" ref="AX7:AX112" si="2">average(AA7,AD7,AG7,AJ7,AM7,AP7,AS7)</f>
        <v>2.274</v>
      </c>
      <c r="AY7" s="11"/>
    </row>
    <row r="8" ht="18.75" customHeight="1">
      <c r="A8" s="12" t="s">
        <v>57</v>
      </c>
      <c r="B8" s="12" t="s">
        <v>58</v>
      </c>
      <c r="C8" s="12">
        <v>2353.0</v>
      </c>
      <c r="D8" s="32">
        <v>0.6</v>
      </c>
      <c r="E8" s="32">
        <v>0.4</v>
      </c>
      <c r="G8" s="10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5" t="str">
        <f t="shared" si="1"/>
        <v>#DIV/0!</v>
      </c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 t="str">
        <f t="shared" si="2"/>
        <v>#DIV/0!</v>
      </c>
      <c r="AY8" s="11"/>
    </row>
    <row r="9" ht="17.25" customHeight="1">
      <c r="A9" s="12" t="s">
        <v>57</v>
      </c>
      <c r="B9" s="12" t="s">
        <v>58</v>
      </c>
      <c r="C9" s="34">
        <v>2354.0</v>
      </c>
      <c r="D9" s="32">
        <v>0.2</v>
      </c>
      <c r="E9" s="32">
        <v>0.4</v>
      </c>
      <c r="F9" s="9" t="s">
        <v>63</v>
      </c>
      <c r="G9" s="10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5" t="str">
        <f t="shared" si="1"/>
        <v>#DIV/0!</v>
      </c>
      <c r="AA9" s="15">
        <v>1.78</v>
      </c>
      <c r="AB9" s="15">
        <v>0.263</v>
      </c>
      <c r="AC9" s="15">
        <v>0.155</v>
      </c>
      <c r="AD9" s="15">
        <v>0.962</v>
      </c>
      <c r="AE9" s="15">
        <v>0.238</v>
      </c>
      <c r="AF9" s="15">
        <v>0.14</v>
      </c>
      <c r="AG9" s="15">
        <v>2.64</v>
      </c>
      <c r="AH9" s="15">
        <v>0.258</v>
      </c>
      <c r="AI9" s="15">
        <v>0.156</v>
      </c>
      <c r="AJ9" s="15">
        <v>1.92</v>
      </c>
      <c r="AK9" s="15">
        <v>0.189</v>
      </c>
      <c r="AL9" s="15">
        <v>0.115</v>
      </c>
      <c r="AM9" s="15">
        <v>1.54</v>
      </c>
      <c r="AN9" s="15">
        <v>0.27</v>
      </c>
      <c r="AO9" s="15">
        <v>0.165</v>
      </c>
      <c r="AP9" s="9"/>
      <c r="AQ9" s="9"/>
      <c r="AR9" s="9"/>
      <c r="AS9" s="9"/>
      <c r="AT9" s="9"/>
      <c r="AU9" s="9"/>
      <c r="AV9" s="9"/>
      <c r="AW9" s="9"/>
      <c r="AX9" s="9">
        <f t="shared" si="2"/>
        <v>1.7684</v>
      </c>
      <c r="AY9" s="11"/>
    </row>
    <row r="10" ht="17.25" customHeight="1">
      <c r="A10" s="12" t="s">
        <v>57</v>
      </c>
      <c r="B10" s="12" t="s">
        <v>64</v>
      </c>
      <c r="C10" s="12">
        <v>2355.0</v>
      </c>
      <c r="D10" s="32">
        <v>0.5</v>
      </c>
      <c r="E10" s="32">
        <v>0.6</v>
      </c>
      <c r="G10" s="14">
        <v>2.0</v>
      </c>
      <c r="H10" s="15">
        <v>2.0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15" t="str">
        <f t="shared" si="1"/>
        <v>#DIV/0!</v>
      </c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 t="str">
        <f t="shared" si="2"/>
        <v>#DIV/0!</v>
      </c>
      <c r="AY10" s="11"/>
    </row>
    <row r="11" ht="17.25" customHeight="1">
      <c r="A11" s="12" t="s">
        <v>57</v>
      </c>
      <c r="B11" s="12" t="s">
        <v>64</v>
      </c>
      <c r="C11" s="34" t="s">
        <v>65</v>
      </c>
      <c r="D11" s="32">
        <v>0.7</v>
      </c>
      <c r="E11" s="32">
        <v>0.1</v>
      </c>
      <c r="F11" s="9" t="s">
        <v>66</v>
      </c>
      <c r="G11" s="10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15" t="str">
        <f t="shared" si="1"/>
        <v>#DIV/0!</v>
      </c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 t="str">
        <f t="shared" si="2"/>
        <v>#DIV/0!</v>
      </c>
      <c r="AY11" s="11"/>
    </row>
    <row r="12" ht="17.25" customHeight="1">
      <c r="A12" s="12" t="s">
        <v>57</v>
      </c>
      <c r="B12" s="12" t="s">
        <v>64</v>
      </c>
      <c r="C12" s="12">
        <v>2356.0</v>
      </c>
      <c r="D12" s="32">
        <v>0.1</v>
      </c>
      <c r="E12" s="32">
        <v>0.05</v>
      </c>
      <c r="G12" s="14">
        <v>3.0</v>
      </c>
      <c r="H12" s="15">
        <v>2.0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15" t="str">
        <f t="shared" si="1"/>
        <v>#DIV/0!</v>
      </c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 t="str">
        <f t="shared" si="2"/>
        <v>#DIV/0!</v>
      </c>
      <c r="AY12" s="11"/>
    </row>
    <row r="13" ht="17.25" customHeight="1">
      <c r="A13" s="12" t="s">
        <v>57</v>
      </c>
      <c r="B13" s="12" t="s">
        <v>64</v>
      </c>
      <c r="C13" s="12">
        <v>2357.0</v>
      </c>
      <c r="D13" s="32">
        <v>0.2</v>
      </c>
      <c r="E13" s="32">
        <v>0.1</v>
      </c>
      <c r="F13" s="9" t="s">
        <v>67</v>
      </c>
      <c r="G13" s="14">
        <v>2.0</v>
      </c>
      <c r="H13" s="15">
        <v>4.0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15" t="str">
        <f t="shared" si="1"/>
        <v>#DIV/0!</v>
      </c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 t="str">
        <f t="shared" si="2"/>
        <v>#DIV/0!</v>
      </c>
      <c r="AY13" s="11"/>
    </row>
    <row r="14" ht="17.25" customHeight="1">
      <c r="A14" s="12" t="s">
        <v>57</v>
      </c>
      <c r="B14" s="12" t="s">
        <v>64</v>
      </c>
      <c r="C14" s="34" t="s">
        <v>65</v>
      </c>
      <c r="D14" s="32">
        <v>0.8</v>
      </c>
      <c r="E14" s="32">
        <v>0.3</v>
      </c>
      <c r="F14" s="9" t="s">
        <v>68</v>
      </c>
      <c r="G14" s="10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15" t="str">
        <f t="shared" si="1"/>
        <v>#DIV/0!</v>
      </c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 t="str">
        <f t="shared" si="2"/>
        <v>#DIV/0!</v>
      </c>
      <c r="AY14" s="11"/>
    </row>
    <row r="15" ht="17.25" customHeight="1">
      <c r="A15" s="12" t="s">
        <v>57</v>
      </c>
      <c r="B15" s="12" t="s">
        <v>64</v>
      </c>
      <c r="C15" s="12">
        <v>2358.0</v>
      </c>
      <c r="D15" s="32">
        <v>0.8</v>
      </c>
      <c r="E15" s="32">
        <v>0.3</v>
      </c>
      <c r="G15" s="14">
        <v>0.0</v>
      </c>
      <c r="H15" s="15">
        <v>3.0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15" t="str">
        <f t="shared" si="1"/>
        <v>#DIV/0!</v>
      </c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 t="str">
        <f t="shared" si="2"/>
        <v>#DIV/0!</v>
      </c>
      <c r="AY15" s="11"/>
    </row>
    <row r="16" ht="17.25" customHeight="1">
      <c r="A16" s="12" t="s">
        <v>57</v>
      </c>
      <c r="B16" s="12" t="s">
        <v>64</v>
      </c>
      <c r="C16" s="12">
        <v>2359.0</v>
      </c>
      <c r="D16" s="32">
        <v>0.8</v>
      </c>
      <c r="E16" s="32">
        <v>0.1</v>
      </c>
      <c r="F16" s="12"/>
      <c r="G16" s="14">
        <v>0.0</v>
      </c>
      <c r="H16" s="15">
        <v>3.0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15" t="str">
        <f t="shared" si="1"/>
        <v>#DIV/0!</v>
      </c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 t="str">
        <f t="shared" si="2"/>
        <v>#DIV/0!</v>
      </c>
      <c r="AY16" s="11"/>
    </row>
    <row r="17" ht="17.25" customHeight="1">
      <c r="A17" s="12" t="s">
        <v>57</v>
      </c>
      <c r="B17" s="12" t="s">
        <v>64</v>
      </c>
      <c r="C17" s="34" t="s">
        <v>65</v>
      </c>
      <c r="D17" s="32">
        <v>0.6</v>
      </c>
      <c r="E17" s="32">
        <v>0.1</v>
      </c>
      <c r="F17" s="9" t="s">
        <v>66</v>
      </c>
      <c r="G17" s="10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15" t="str">
        <f t="shared" si="1"/>
        <v>#DIV/0!</v>
      </c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 t="str">
        <f t="shared" si="2"/>
        <v>#DIV/0!</v>
      </c>
      <c r="AY17" s="11"/>
    </row>
    <row r="18" ht="17.25" customHeight="1">
      <c r="A18" s="12" t="s">
        <v>57</v>
      </c>
      <c r="B18" s="12" t="s">
        <v>64</v>
      </c>
      <c r="C18" s="12">
        <v>2360.0</v>
      </c>
      <c r="D18" s="32">
        <v>0.7</v>
      </c>
      <c r="E18" s="32">
        <v>0.4</v>
      </c>
      <c r="G18" s="14">
        <v>0.0</v>
      </c>
      <c r="H18" s="15">
        <v>5.0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15" t="str">
        <f t="shared" si="1"/>
        <v>#DIV/0!</v>
      </c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 t="str">
        <f t="shared" si="2"/>
        <v>#DIV/0!</v>
      </c>
      <c r="AY18" s="11"/>
    </row>
    <row r="19" ht="17.25" customHeight="1">
      <c r="A19" s="12" t="s">
        <v>57</v>
      </c>
      <c r="B19" s="12" t="s">
        <v>64</v>
      </c>
      <c r="C19" s="12">
        <v>2361.0</v>
      </c>
      <c r="D19" s="32">
        <v>0.8</v>
      </c>
      <c r="E19" s="32">
        <v>0.1</v>
      </c>
      <c r="F19" s="12"/>
      <c r="G19" s="14">
        <v>1.0</v>
      </c>
      <c r="H19" s="15">
        <v>2.0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15" t="str">
        <f t="shared" si="1"/>
        <v>#DIV/0!</v>
      </c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 t="str">
        <f t="shared" si="2"/>
        <v>#DIV/0!</v>
      </c>
      <c r="AY19" s="11"/>
    </row>
    <row r="20" ht="17.25" customHeight="1">
      <c r="A20" s="12" t="s">
        <v>57</v>
      </c>
      <c r="B20" s="12" t="s">
        <v>64</v>
      </c>
      <c r="C20" s="34" t="s">
        <v>65</v>
      </c>
      <c r="D20" s="32">
        <v>0.7</v>
      </c>
      <c r="E20" s="32">
        <v>0.4</v>
      </c>
      <c r="F20" s="9" t="s">
        <v>66</v>
      </c>
      <c r="G20" s="10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15" t="str">
        <f t="shared" si="1"/>
        <v>#DIV/0!</v>
      </c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 t="str">
        <f t="shared" si="2"/>
        <v>#DIV/0!</v>
      </c>
      <c r="AY20" s="11"/>
    </row>
    <row r="21" ht="17.25" customHeight="1">
      <c r="A21" s="12" t="s">
        <v>57</v>
      </c>
      <c r="B21" s="12" t="s">
        <v>64</v>
      </c>
      <c r="C21" s="12">
        <v>2362.0</v>
      </c>
      <c r="D21" s="32">
        <v>0.7</v>
      </c>
      <c r="E21" s="32">
        <v>0.3</v>
      </c>
      <c r="F21" s="9" t="s">
        <v>69</v>
      </c>
      <c r="G21" s="14">
        <v>1.0</v>
      </c>
      <c r="H21" s="15">
        <v>6.0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15" t="str">
        <f t="shared" si="1"/>
        <v>#DIV/0!</v>
      </c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 t="str">
        <f t="shared" si="2"/>
        <v>#DIV/0!</v>
      </c>
      <c r="AY21" s="11"/>
    </row>
    <row r="22" ht="17.25" customHeight="1">
      <c r="A22" s="12" t="s">
        <v>57</v>
      </c>
      <c r="B22" s="12" t="s">
        <v>64</v>
      </c>
      <c r="C22" s="12">
        <v>2363.0</v>
      </c>
      <c r="D22" s="32">
        <v>0.8</v>
      </c>
      <c r="E22" s="32">
        <v>0.3</v>
      </c>
      <c r="G22" s="14">
        <v>2.0</v>
      </c>
      <c r="H22" s="15">
        <v>2.0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15" t="str">
        <f t="shared" si="1"/>
        <v>#DIV/0!</v>
      </c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 t="str">
        <f t="shared" si="2"/>
        <v>#DIV/0!</v>
      </c>
      <c r="AY22" s="11"/>
    </row>
    <row r="23" ht="17.25" customHeight="1">
      <c r="A23" s="12" t="s">
        <v>57</v>
      </c>
      <c r="B23" s="12" t="s">
        <v>64</v>
      </c>
      <c r="C23" s="12">
        <v>2364.0</v>
      </c>
      <c r="D23" s="32">
        <v>0.6</v>
      </c>
      <c r="E23" s="32">
        <v>0.4</v>
      </c>
      <c r="G23" s="14">
        <v>2.0</v>
      </c>
      <c r="H23" s="15">
        <v>1.0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15" t="str">
        <f t="shared" si="1"/>
        <v>#DIV/0!</v>
      </c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 t="str">
        <f t="shared" si="2"/>
        <v>#DIV/0!</v>
      </c>
      <c r="AY23" s="11"/>
    </row>
    <row r="24" ht="17.25" customHeight="1">
      <c r="A24" s="12" t="s">
        <v>57</v>
      </c>
      <c r="B24" s="12" t="s">
        <v>64</v>
      </c>
      <c r="C24" s="12">
        <v>2365.0</v>
      </c>
      <c r="D24" s="32">
        <v>0.8</v>
      </c>
      <c r="E24" s="32">
        <v>0.3</v>
      </c>
      <c r="G24" s="14">
        <v>1.0</v>
      </c>
      <c r="H24" s="15">
        <v>3.0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15" t="str">
        <f t="shared" si="1"/>
        <v>#DIV/0!</v>
      </c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 t="str">
        <f t="shared" si="2"/>
        <v>#DIV/0!</v>
      </c>
      <c r="AY24" s="11"/>
    </row>
    <row r="25" ht="17.25" customHeight="1">
      <c r="A25" s="12" t="s">
        <v>57</v>
      </c>
      <c r="B25" s="12" t="s">
        <v>64</v>
      </c>
      <c r="C25" s="12">
        <v>2366.0</v>
      </c>
      <c r="D25" s="32">
        <v>0.7</v>
      </c>
      <c r="E25" s="32">
        <v>0.3</v>
      </c>
      <c r="G25" s="14">
        <v>1.0</v>
      </c>
      <c r="H25" s="15">
        <v>2.0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15" t="str">
        <f t="shared" si="1"/>
        <v>#DIV/0!</v>
      </c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 t="str">
        <f t="shared" si="2"/>
        <v>#DIV/0!</v>
      </c>
      <c r="AY25" s="11"/>
    </row>
    <row r="26" ht="17.25" customHeight="1">
      <c r="A26" s="12" t="s">
        <v>57</v>
      </c>
      <c r="B26" s="12" t="s">
        <v>64</v>
      </c>
      <c r="C26" s="34" t="s">
        <v>65</v>
      </c>
      <c r="D26" s="32">
        <v>0.7</v>
      </c>
      <c r="E26" s="32">
        <v>0.4</v>
      </c>
      <c r="F26" s="9" t="s">
        <v>66</v>
      </c>
      <c r="G26" s="10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15" t="str">
        <f t="shared" si="1"/>
        <v>#DIV/0!</v>
      </c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 t="str">
        <f t="shared" si="2"/>
        <v>#DIV/0!</v>
      </c>
      <c r="AY26" s="11"/>
    </row>
    <row r="27" ht="17.25" customHeight="1">
      <c r="A27" s="12" t="s">
        <v>57</v>
      </c>
      <c r="B27" s="12" t="s">
        <v>64</v>
      </c>
      <c r="C27" s="12">
        <v>2367.0</v>
      </c>
      <c r="D27" s="32">
        <v>0.5</v>
      </c>
      <c r="E27" s="32">
        <v>0.3</v>
      </c>
      <c r="G27" s="14">
        <v>1.0</v>
      </c>
      <c r="H27" s="15">
        <v>1.0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15" t="str">
        <f t="shared" si="1"/>
        <v>#DIV/0!</v>
      </c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 t="str">
        <f t="shared" si="2"/>
        <v>#DIV/0!</v>
      </c>
      <c r="AY27" s="11"/>
    </row>
    <row r="28" ht="17.25" customHeight="1">
      <c r="A28" s="12" t="s">
        <v>57</v>
      </c>
      <c r="B28" s="12" t="s">
        <v>64</v>
      </c>
      <c r="C28" s="34" t="s">
        <v>65</v>
      </c>
      <c r="D28" s="32">
        <v>0.7</v>
      </c>
      <c r="E28" s="32">
        <v>0.4</v>
      </c>
      <c r="F28" s="9" t="s">
        <v>66</v>
      </c>
      <c r="G28" s="10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15" t="str">
        <f t="shared" si="1"/>
        <v>#DIV/0!</v>
      </c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 t="str">
        <f t="shared" si="2"/>
        <v>#DIV/0!</v>
      </c>
      <c r="AY28" s="11"/>
    </row>
    <row r="29" ht="17.25" customHeight="1">
      <c r="A29" s="12" t="s">
        <v>57</v>
      </c>
      <c r="B29" s="12" t="s">
        <v>64</v>
      </c>
      <c r="C29" s="34" t="s">
        <v>65</v>
      </c>
      <c r="D29" s="32">
        <v>0.05</v>
      </c>
      <c r="E29" s="32">
        <v>0.1</v>
      </c>
      <c r="F29" s="9" t="s">
        <v>66</v>
      </c>
      <c r="G29" s="10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5" t="str">
        <f t="shared" si="1"/>
        <v>#DIV/0!</v>
      </c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 t="str">
        <f t="shared" si="2"/>
        <v>#DIV/0!</v>
      </c>
      <c r="AY29" s="11"/>
    </row>
    <row r="30" ht="17.25" customHeight="1">
      <c r="A30" s="12" t="s">
        <v>57</v>
      </c>
      <c r="B30" s="12" t="s">
        <v>64</v>
      </c>
      <c r="C30" s="12">
        <v>2369.0</v>
      </c>
      <c r="D30" s="32">
        <v>0.5</v>
      </c>
      <c r="E30" s="32">
        <v>0.3</v>
      </c>
      <c r="G30" s="14">
        <v>2.0</v>
      </c>
      <c r="H30" s="15">
        <v>0.0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5" t="str">
        <f t="shared" si="1"/>
        <v>#DIV/0!</v>
      </c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 t="str">
        <f t="shared" si="2"/>
        <v>#DIV/0!</v>
      </c>
      <c r="AY30" s="11"/>
    </row>
    <row r="31" ht="17.25" customHeight="1">
      <c r="A31" s="38" t="s">
        <v>70</v>
      </c>
      <c r="B31" s="38" t="s">
        <v>58</v>
      </c>
      <c r="C31" s="38">
        <v>2376.0</v>
      </c>
      <c r="D31" s="32"/>
      <c r="E31" s="32"/>
      <c r="G31" s="10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5" t="str">
        <f t="shared" si="1"/>
        <v>#DIV/0!</v>
      </c>
      <c r="AA31" s="15">
        <v>2.19</v>
      </c>
      <c r="AB31" s="15">
        <v>0.209</v>
      </c>
      <c r="AC31" s="15">
        <v>0.124</v>
      </c>
      <c r="AD31" s="15">
        <v>1.73</v>
      </c>
      <c r="AE31" s="15">
        <v>0.193</v>
      </c>
      <c r="AF31" s="15">
        <v>0.114</v>
      </c>
      <c r="AG31" s="9">
        <f>average(1.4,2)</f>
        <v>1.7</v>
      </c>
      <c r="AH31" s="15">
        <v>0.165</v>
      </c>
      <c r="AI31" s="15">
        <v>0.098</v>
      </c>
      <c r="AJ31" s="15">
        <v>1.65</v>
      </c>
      <c r="AK31" s="15">
        <v>0.156</v>
      </c>
      <c r="AL31" s="15">
        <v>0.091</v>
      </c>
      <c r="AM31" s="9">
        <f>average(1.71,1.45)</f>
        <v>1.58</v>
      </c>
      <c r="AN31" s="15">
        <v>0.312</v>
      </c>
      <c r="AO31" s="15">
        <v>0.184</v>
      </c>
      <c r="AP31" s="15">
        <v>1.3</v>
      </c>
      <c r="AQ31" s="9"/>
      <c r="AR31" s="9"/>
      <c r="AS31" s="9"/>
      <c r="AT31" s="9"/>
      <c r="AU31" s="9"/>
      <c r="AV31" s="9"/>
      <c r="AW31" s="9"/>
      <c r="AX31" s="9">
        <f t="shared" si="2"/>
        <v>1.691666667</v>
      </c>
      <c r="AY31" s="16" t="s">
        <v>71</v>
      </c>
    </row>
    <row r="32" ht="17.25" customHeight="1">
      <c r="A32" s="38" t="s">
        <v>70</v>
      </c>
      <c r="B32" s="38" t="s">
        <v>58</v>
      </c>
      <c r="C32" s="38">
        <v>2377.0</v>
      </c>
      <c r="D32" s="32"/>
      <c r="E32" s="32"/>
      <c r="G32" s="10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5" t="str">
        <f t="shared" si="1"/>
        <v>#DIV/0!</v>
      </c>
      <c r="AA32" s="15">
        <v>2.18</v>
      </c>
      <c r="AB32" s="15">
        <v>0.321</v>
      </c>
      <c r="AC32" s="15">
        <v>0.19</v>
      </c>
      <c r="AD32" s="15">
        <v>2.71</v>
      </c>
      <c r="AE32" s="15">
        <v>0.233</v>
      </c>
      <c r="AF32" s="15">
        <v>0.141</v>
      </c>
      <c r="AG32" s="15">
        <v>1.7</v>
      </c>
      <c r="AH32" s="15">
        <v>0.254</v>
      </c>
      <c r="AI32" s="15">
        <v>0.157</v>
      </c>
      <c r="AJ32" s="15">
        <v>1.64</v>
      </c>
      <c r="AK32" s="15">
        <v>0.294</v>
      </c>
      <c r="AL32" s="15">
        <v>0.168</v>
      </c>
      <c r="AM32" s="15">
        <v>2.51</v>
      </c>
      <c r="AN32" s="15">
        <v>0.176</v>
      </c>
      <c r="AO32" s="15">
        <v>0.105</v>
      </c>
      <c r="AP32" s="15">
        <v>2.1</v>
      </c>
      <c r="AQ32" s="9"/>
      <c r="AR32" s="9"/>
      <c r="AS32" s="9"/>
      <c r="AT32" s="9"/>
      <c r="AU32" s="9"/>
      <c r="AV32" s="9"/>
      <c r="AW32" s="9"/>
      <c r="AX32" s="9">
        <f t="shared" si="2"/>
        <v>2.14</v>
      </c>
      <c r="AY32" s="16" t="s">
        <v>72</v>
      </c>
    </row>
    <row r="33" ht="17.25" customHeight="1">
      <c r="A33" s="38" t="s">
        <v>70</v>
      </c>
      <c r="B33" s="38" t="s">
        <v>64</v>
      </c>
      <c r="C33" s="38">
        <v>2378.0</v>
      </c>
      <c r="D33" s="32"/>
      <c r="E33" s="32"/>
      <c r="G33" s="14">
        <v>0.0</v>
      </c>
      <c r="H33" s="15">
        <v>6.0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5" t="str">
        <f t="shared" si="1"/>
        <v>#DIV/0!</v>
      </c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 t="str">
        <f t="shared" si="2"/>
        <v>#DIV/0!</v>
      </c>
      <c r="AY33" s="16" t="s">
        <v>72</v>
      </c>
    </row>
    <row r="34" ht="17.25" customHeight="1">
      <c r="A34" s="38" t="s">
        <v>70</v>
      </c>
      <c r="B34" s="38" t="s">
        <v>64</v>
      </c>
      <c r="C34" s="38">
        <v>2379.0</v>
      </c>
      <c r="D34" s="32"/>
      <c r="E34" s="32"/>
      <c r="G34" s="14">
        <v>0.0</v>
      </c>
      <c r="H34" s="15">
        <v>7.0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5" t="str">
        <f t="shared" si="1"/>
        <v>#DIV/0!</v>
      </c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 t="str">
        <f t="shared" si="2"/>
        <v>#DIV/0!</v>
      </c>
      <c r="AY34" s="16" t="s">
        <v>72</v>
      </c>
    </row>
    <row r="35" ht="17.25" customHeight="1">
      <c r="A35" s="38" t="s">
        <v>70</v>
      </c>
      <c r="B35" s="38" t="s">
        <v>58</v>
      </c>
      <c r="C35" s="38">
        <v>2380.0</v>
      </c>
      <c r="D35" s="32"/>
      <c r="E35" s="32"/>
      <c r="G35" s="10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5" t="str">
        <f t="shared" si="1"/>
        <v>#DIV/0!</v>
      </c>
      <c r="AA35" s="15">
        <v>1.66</v>
      </c>
      <c r="AB35" s="15">
        <v>0.217</v>
      </c>
      <c r="AC35" s="15">
        <v>0.131</v>
      </c>
      <c r="AD35" s="15">
        <v>1.65</v>
      </c>
      <c r="AE35" s="15">
        <v>0.16</v>
      </c>
      <c r="AF35" s="15">
        <v>0.097</v>
      </c>
      <c r="AG35" s="15">
        <v>1.88</v>
      </c>
      <c r="AH35" s="15">
        <v>0.174</v>
      </c>
      <c r="AI35" s="15">
        <v>0.105</v>
      </c>
      <c r="AJ35" s="15">
        <v>2.27</v>
      </c>
      <c r="AK35" s="15">
        <v>0.221</v>
      </c>
      <c r="AL35" s="15">
        <v>0.131</v>
      </c>
      <c r="AM35" s="9"/>
      <c r="AN35" s="15">
        <v>0.236</v>
      </c>
      <c r="AO35" s="15">
        <v>0.145</v>
      </c>
      <c r="AP35" s="9"/>
      <c r="AQ35" s="9"/>
      <c r="AR35" s="9"/>
      <c r="AS35" s="9"/>
      <c r="AT35" s="9"/>
      <c r="AU35" s="9"/>
      <c r="AV35" s="9"/>
      <c r="AW35" s="9"/>
      <c r="AX35" s="9">
        <f t="shared" si="2"/>
        <v>1.865</v>
      </c>
      <c r="AY35" s="11"/>
    </row>
    <row r="36" ht="17.25" customHeight="1">
      <c r="A36" s="12" t="s">
        <v>74</v>
      </c>
      <c r="B36" s="12" t="s">
        <v>64</v>
      </c>
      <c r="C36" s="12">
        <v>2337.0</v>
      </c>
      <c r="D36" s="32">
        <v>0.5</v>
      </c>
      <c r="E36" s="32">
        <v>0.5</v>
      </c>
      <c r="G36" s="10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5" t="str">
        <f t="shared" si="1"/>
        <v>#DIV/0!</v>
      </c>
      <c r="AA36" s="9"/>
      <c r="AB36" s="15"/>
      <c r="AC36" s="15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 t="str">
        <f t="shared" si="2"/>
        <v>#DIV/0!</v>
      </c>
      <c r="AY36" s="11"/>
    </row>
    <row r="37" ht="17.25" customHeight="1">
      <c r="A37" s="12" t="s">
        <v>74</v>
      </c>
      <c r="B37" s="12" t="s">
        <v>64</v>
      </c>
      <c r="C37" s="12">
        <v>2338.0</v>
      </c>
      <c r="D37" s="32">
        <v>0.6</v>
      </c>
      <c r="E37" s="32">
        <v>0.3</v>
      </c>
      <c r="G37" s="10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5" t="str">
        <f t="shared" si="1"/>
        <v>#DIV/0!</v>
      </c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 t="str">
        <f t="shared" si="2"/>
        <v>#DIV/0!</v>
      </c>
      <c r="AY37" s="11"/>
    </row>
    <row r="38" ht="17.25" customHeight="1">
      <c r="A38" s="12" t="s">
        <v>74</v>
      </c>
      <c r="B38" s="12" t="s">
        <v>64</v>
      </c>
      <c r="C38" s="12">
        <v>2339.0</v>
      </c>
      <c r="D38" s="32">
        <v>0.3</v>
      </c>
      <c r="E38" s="32">
        <v>0.4</v>
      </c>
      <c r="G38" s="10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5" t="str">
        <f t="shared" si="1"/>
        <v>#DIV/0!</v>
      </c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 t="str">
        <f t="shared" si="2"/>
        <v>#DIV/0!</v>
      </c>
      <c r="AY38" s="11"/>
    </row>
    <row r="39" ht="17.25" customHeight="1">
      <c r="A39" s="12" t="s">
        <v>74</v>
      </c>
      <c r="B39" s="12" t="s">
        <v>64</v>
      </c>
      <c r="C39" s="12">
        <v>2340.0</v>
      </c>
      <c r="D39" s="32">
        <v>0.7</v>
      </c>
      <c r="E39" s="32">
        <v>0.3</v>
      </c>
      <c r="F39" s="12"/>
      <c r="G39" s="10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5" t="str">
        <f t="shared" si="1"/>
        <v>#DIV/0!</v>
      </c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 t="str">
        <f t="shared" si="2"/>
        <v>#DIV/0!</v>
      </c>
      <c r="AY39" s="11"/>
    </row>
    <row r="40" ht="17.25" customHeight="1">
      <c r="A40" s="12" t="s">
        <v>74</v>
      </c>
      <c r="B40" s="12" t="s">
        <v>64</v>
      </c>
      <c r="C40" s="12">
        <v>2341.0</v>
      </c>
      <c r="D40" s="32">
        <v>0.5</v>
      </c>
      <c r="E40" s="32">
        <v>0.4</v>
      </c>
      <c r="G40" s="10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5" t="str">
        <f t="shared" si="1"/>
        <v>#DIV/0!</v>
      </c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 t="str">
        <f t="shared" si="2"/>
        <v>#DIV/0!</v>
      </c>
      <c r="AY40" s="11"/>
    </row>
    <row r="41" ht="17.25" customHeight="1">
      <c r="A41" s="12" t="s">
        <v>74</v>
      </c>
      <c r="B41" s="12" t="s">
        <v>64</v>
      </c>
      <c r="C41" s="12">
        <v>2342.0</v>
      </c>
      <c r="D41" s="32">
        <v>0.5</v>
      </c>
      <c r="E41" s="32">
        <v>0.5</v>
      </c>
      <c r="F41" s="12" t="s">
        <v>76</v>
      </c>
      <c r="G41" s="10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5" t="str">
        <f t="shared" si="1"/>
        <v>#DIV/0!</v>
      </c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 t="str">
        <f t="shared" si="2"/>
        <v>#DIV/0!</v>
      </c>
      <c r="AY41" s="11"/>
    </row>
    <row r="42" ht="17.25" customHeight="1">
      <c r="A42" s="12" t="s">
        <v>74</v>
      </c>
      <c r="B42" s="12" t="s">
        <v>64</v>
      </c>
      <c r="C42" s="12">
        <v>2343.0</v>
      </c>
      <c r="D42" s="32">
        <v>0.5</v>
      </c>
      <c r="E42" s="32">
        <v>0.6</v>
      </c>
      <c r="G42" s="14">
        <v>1.0</v>
      </c>
      <c r="H42" s="15">
        <v>2.0</v>
      </c>
      <c r="I42" s="15">
        <v>1.2</v>
      </c>
      <c r="J42" s="15">
        <v>0.146</v>
      </c>
      <c r="K42" s="15">
        <v>0.078</v>
      </c>
      <c r="L42" s="15">
        <v>1.1</v>
      </c>
      <c r="M42" s="15">
        <v>0.076</v>
      </c>
      <c r="N42" s="15">
        <v>0.043</v>
      </c>
      <c r="O42" s="15">
        <v>1.1</v>
      </c>
      <c r="P42" s="15">
        <v>0.086</v>
      </c>
      <c r="Q42" s="15">
        <v>0.047</v>
      </c>
      <c r="R42" s="9"/>
      <c r="S42" s="15">
        <v>0.072</v>
      </c>
      <c r="T42" s="15">
        <v>0.04</v>
      </c>
      <c r="U42" s="9"/>
      <c r="V42" s="15">
        <v>0.115</v>
      </c>
      <c r="W42" s="15">
        <v>0.065</v>
      </c>
      <c r="X42" s="9"/>
      <c r="Y42" s="9"/>
      <c r="Z42" s="15">
        <f t="shared" si="1"/>
        <v>1.133333333</v>
      </c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 t="str">
        <f t="shared" si="2"/>
        <v>#DIV/0!</v>
      </c>
      <c r="AY42" s="16" t="s">
        <v>77</v>
      </c>
    </row>
    <row r="43" ht="17.25" customHeight="1">
      <c r="A43" s="41" t="s">
        <v>74</v>
      </c>
      <c r="B43" s="41" t="s">
        <v>64</v>
      </c>
      <c r="C43" s="41" t="s">
        <v>78</v>
      </c>
      <c r="D43" s="47">
        <v>0.3</v>
      </c>
      <c r="E43" s="47">
        <v>0.2</v>
      </c>
      <c r="F43" s="48" t="s">
        <v>79</v>
      </c>
      <c r="G43" s="10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5" t="str">
        <f t="shared" si="1"/>
        <v>#DIV/0!</v>
      </c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 t="str">
        <f t="shared" si="2"/>
        <v>#DIV/0!</v>
      </c>
      <c r="AY43" s="11"/>
    </row>
    <row r="44" ht="17.25" customHeight="1">
      <c r="A44" s="12" t="s">
        <v>74</v>
      </c>
      <c r="B44" s="12" t="s">
        <v>64</v>
      </c>
      <c r="C44" s="12">
        <v>2344.0</v>
      </c>
      <c r="D44" s="32">
        <v>0.4</v>
      </c>
      <c r="E44" s="32">
        <v>0.5</v>
      </c>
      <c r="G44" s="10"/>
      <c r="H44" s="9"/>
      <c r="I44" s="15">
        <v>1.47</v>
      </c>
      <c r="J44" s="15"/>
      <c r="K44" s="15"/>
      <c r="L44" s="15">
        <v>1.65</v>
      </c>
      <c r="M44" s="15"/>
      <c r="N44" s="15"/>
      <c r="O44" s="15">
        <v>1.47</v>
      </c>
      <c r="P44" s="15"/>
      <c r="Q44" s="15"/>
      <c r="R44" s="15">
        <v>1.14</v>
      </c>
      <c r="S44" s="15"/>
      <c r="T44" s="15"/>
      <c r="U44" s="15">
        <v>1.34</v>
      </c>
      <c r="V44" s="9"/>
      <c r="W44" s="9"/>
      <c r="X44" s="9"/>
      <c r="Y44" s="9"/>
      <c r="Z44" s="15">
        <f t="shared" si="1"/>
        <v>1.414</v>
      </c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 t="str">
        <f t="shared" si="2"/>
        <v>#DIV/0!</v>
      </c>
      <c r="AY44" s="11"/>
    </row>
    <row r="45" ht="17.25" customHeight="1">
      <c r="A45" s="41" t="s">
        <v>74</v>
      </c>
      <c r="B45" s="41" t="s">
        <v>58</v>
      </c>
      <c r="C45" s="41" t="s">
        <v>78</v>
      </c>
      <c r="D45" s="47">
        <v>0.7</v>
      </c>
      <c r="E45" s="47">
        <v>0.4</v>
      </c>
      <c r="F45" s="41" t="s">
        <v>80</v>
      </c>
      <c r="G45" s="10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15" t="str">
        <f t="shared" si="1"/>
        <v>#DIV/0!</v>
      </c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 t="str">
        <f t="shared" si="2"/>
        <v>#DIV/0!</v>
      </c>
      <c r="AY45" s="11"/>
    </row>
    <row r="46" ht="17.25" customHeight="1">
      <c r="A46" s="12" t="s">
        <v>74</v>
      </c>
      <c r="B46" s="12" t="s">
        <v>58</v>
      </c>
      <c r="C46" s="34">
        <v>2345.0</v>
      </c>
      <c r="D46" s="32">
        <v>0.2</v>
      </c>
      <c r="E46" s="32">
        <v>0.2</v>
      </c>
      <c r="F46" s="9" t="s">
        <v>81</v>
      </c>
      <c r="G46" s="10"/>
      <c r="H46" s="9"/>
      <c r="I46" s="15">
        <v>0.564</v>
      </c>
      <c r="J46" s="15"/>
      <c r="K46" s="15"/>
      <c r="L46" s="15">
        <v>0.62</v>
      </c>
      <c r="M46" s="15"/>
      <c r="N46" s="15"/>
      <c r="O46" s="15">
        <v>0.45</v>
      </c>
      <c r="P46" s="15"/>
      <c r="Q46" s="15"/>
      <c r="R46" s="15">
        <v>0.5</v>
      </c>
      <c r="S46" s="15"/>
      <c r="T46" s="15"/>
      <c r="U46" s="15"/>
      <c r="V46" s="15"/>
      <c r="W46" s="15"/>
      <c r="X46" s="15"/>
      <c r="Y46" s="9"/>
      <c r="Z46" s="15">
        <f t="shared" si="1"/>
        <v>0.5335</v>
      </c>
      <c r="AA46" s="15">
        <v>1.88</v>
      </c>
      <c r="AB46" s="15">
        <v>0.185</v>
      </c>
      <c r="AC46" s="15">
        <v>0.106</v>
      </c>
      <c r="AD46" s="15">
        <v>1.83</v>
      </c>
      <c r="AE46" s="15">
        <v>0.211</v>
      </c>
      <c r="AF46" s="15">
        <v>0.122</v>
      </c>
      <c r="AG46" s="15">
        <v>1.04</v>
      </c>
      <c r="AH46" s="15">
        <v>0.206</v>
      </c>
      <c r="AI46" s="15">
        <v>0.117</v>
      </c>
      <c r="AJ46" s="15">
        <v>1.77</v>
      </c>
      <c r="AK46" s="15">
        <v>0.201</v>
      </c>
      <c r="AL46" s="15">
        <v>0.118</v>
      </c>
      <c r="AM46" s="9"/>
      <c r="AN46" s="15">
        <v>0.206</v>
      </c>
      <c r="AO46" s="15">
        <v>0.119</v>
      </c>
      <c r="AP46" s="9"/>
      <c r="AQ46" s="9"/>
      <c r="AR46" s="9"/>
      <c r="AS46" s="9"/>
      <c r="AT46" s="9"/>
      <c r="AU46" s="9"/>
      <c r="AV46" s="9"/>
      <c r="AW46" s="9"/>
      <c r="AX46" s="9">
        <f t="shared" si="2"/>
        <v>1.63</v>
      </c>
      <c r="AY46" s="11"/>
    </row>
    <row r="47" ht="17.25" customHeight="1">
      <c r="A47" s="12" t="s">
        <v>74</v>
      </c>
      <c r="B47" s="12" t="s">
        <v>64</v>
      </c>
      <c r="C47" s="12">
        <v>2346.0</v>
      </c>
      <c r="D47" s="32">
        <v>0.7</v>
      </c>
      <c r="E47" s="32">
        <v>0.4</v>
      </c>
      <c r="G47" s="14">
        <v>3.0</v>
      </c>
      <c r="H47" s="15">
        <v>0.0</v>
      </c>
      <c r="I47" s="9">
        <f>average(0.96,1.3)</f>
        <v>1.13</v>
      </c>
      <c r="J47" s="9"/>
      <c r="K47" s="9"/>
      <c r="L47" s="9">
        <f>average(0.78,1.09)</f>
        <v>0.935</v>
      </c>
      <c r="M47" s="15"/>
      <c r="N47" s="15"/>
      <c r="O47" s="15">
        <v>1.03</v>
      </c>
      <c r="P47" s="15"/>
      <c r="Q47" s="15"/>
      <c r="R47" s="15">
        <v>0.94</v>
      </c>
      <c r="S47" s="9"/>
      <c r="T47" s="9"/>
      <c r="U47" s="9"/>
      <c r="V47" s="9"/>
      <c r="W47" s="9"/>
      <c r="X47" s="9"/>
      <c r="Y47" s="9"/>
      <c r="Z47" s="15">
        <f t="shared" si="1"/>
        <v>1.00875</v>
      </c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 t="str">
        <f t="shared" si="2"/>
        <v>#DIV/0!</v>
      </c>
      <c r="AY47" s="16" t="s">
        <v>82</v>
      </c>
    </row>
    <row r="48" ht="17.25" customHeight="1">
      <c r="A48" s="12" t="s">
        <v>74</v>
      </c>
      <c r="B48" s="12" t="s">
        <v>64</v>
      </c>
      <c r="C48" s="12">
        <v>2347.0</v>
      </c>
      <c r="D48" s="32">
        <v>0.8</v>
      </c>
      <c r="E48" s="32">
        <v>0.2</v>
      </c>
      <c r="G48" s="14">
        <v>2.0</v>
      </c>
      <c r="H48" s="15">
        <v>0.0</v>
      </c>
      <c r="I48" s="9">
        <f>average(1.12,1.8)</f>
        <v>1.46</v>
      </c>
      <c r="J48" s="9"/>
      <c r="K48" s="9"/>
      <c r="L48" s="9">
        <f>average(1.19,1.6)</f>
        <v>1.395</v>
      </c>
      <c r="M48" s="15"/>
      <c r="N48" s="15"/>
      <c r="O48" s="15">
        <v>3.1</v>
      </c>
      <c r="P48" s="9"/>
      <c r="Q48" s="9"/>
      <c r="R48" s="9">
        <f>average(1.03,1.9)</f>
        <v>1.465</v>
      </c>
      <c r="S48" s="9"/>
      <c r="T48" s="9"/>
      <c r="U48" s="9">
        <f>average(1.35,1.67)</f>
        <v>1.51</v>
      </c>
      <c r="V48" s="9"/>
      <c r="W48" s="9"/>
      <c r="X48" s="9"/>
      <c r="Y48" s="9"/>
      <c r="Z48" s="15">
        <f t="shared" si="1"/>
        <v>1.786</v>
      </c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 t="str">
        <f t="shared" si="2"/>
        <v>#DIV/0!</v>
      </c>
      <c r="AY48" s="16" t="s">
        <v>83</v>
      </c>
    </row>
    <row r="49" ht="17.25" customHeight="1">
      <c r="A49" s="12" t="s">
        <v>74</v>
      </c>
      <c r="B49" s="12" t="s">
        <v>64</v>
      </c>
      <c r="C49" s="12">
        <v>2348.0</v>
      </c>
      <c r="D49" s="32">
        <v>0.7</v>
      </c>
      <c r="E49" s="32">
        <v>0.2</v>
      </c>
      <c r="F49" s="9" t="s">
        <v>84</v>
      </c>
      <c r="G49" s="14">
        <v>1.0</v>
      </c>
      <c r="H49" s="15">
        <v>0.0</v>
      </c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15" t="str">
        <f t="shared" si="1"/>
        <v>#DIV/0!</v>
      </c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 t="str">
        <f t="shared" si="2"/>
        <v>#DIV/0!</v>
      </c>
      <c r="AY49" s="11"/>
    </row>
    <row r="50" ht="17.25" customHeight="1">
      <c r="A50" s="12" t="s">
        <v>74</v>
      </c>
      <c r="B50" s="12" t="s">
        <v>64</v>
      </c>
      <c r="C50" s="12">
        <v>2349.0</v>
      </c>
      <c r="D50" s="32">
        <v>0.7</v>
      </c>
      <c r="E50" s="32">
        <v>0.2</v>
      </c>
      <c r="G50" s="14">
        <v>1.0</v>
      </c>
      <c r="H50" s="15">
        <v>0.0</v>
      </c>
      <c r="I50" s="15">
        <v>1.64</v>
      </c>
      <c r="J50" s="15"/>
      <c r="K50" s="15"/>
      <c r="L50" s="15">
        <v>1.6</v>
      </c>
      <c r="M50" s="15"/>
      <c r="N50" s="15"/>
      <c r="O50" s="15">
        <v>2.2</v>
      </c>
      <c r="P50" s="15"/>
      <c r="Q50" s="15"/>
      <c r="R50" s="15">
        <v>1.85</v>
      </c>
      <c r="S50" s="15"/>
      <c r="T50" s="15"/>
      <c r="U50" s="15">
        <v>2.16</v>
      </c>
      <c r="V50" s="9"/>
      <c r="W50" s="9"/>
      <c r="X50" s="9"/>
      <c r="Y50" s="9"/>
      <c r="Z50" s="15">
        <f t="shared" si="1"/>
        <v>1.89</v>
      </c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 t="str">
        <f t="shared" si="2"/>
        <v>#DIV/0!</v>
      </c>
      <c r="AY50" s="16" t="s">
        <v>85</v>
      </c>
    </row>
    <row r="51" ht="17.25" customHeight="1">
      <c r="A51" s="12" t="s">
        <v>74</v>
      </c>
      <c r="B51" s="12" t="s">
        <v>64</v>
      </c>
      <c r="C51" s="12">
        <v>2350.0</v>
      </c>
      <c r="D51" s="32">
        <v>0.2</v>
      </c>
      <c r="E51" s="12" t="s">
        <v>87</v>
      </c>
      <c r="F51" s="12"/>
      <c r="G51" s="14">
        <v>1.0</v>
      </c>
      <c r="H51" s="15">
        <v>0.0</v>
      </c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15" t="str">
        <f t="shared" si="1"/>
        <v>#DIV/0!</v>
      </c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 t="str">
        <f t="shared" si="2"/>
        <v>#DIV/0!</v>
      </c>
      <c r="AY51" s="11"/>
    </row>
    <row r="52" ht="17.25" customHeight="1">
      <c r="A52" s="12" t="s">
        <v>74</v>
      </c>
      <c r="B52" s="12" t="s">
        <v>64</v>
      </c>
      <c r="C52" s="12">
        <v>2351.0</v>
      </c>
      <c r="D52" s="32">
        <v>0.05</v>
      </c>
      <c r="E52" s="12" t="s">
        <v>87</v>
      </c>
      <c r="F52" s="12"/>
      <c r="G52" s="14">
        <v>1.0</v>
      </c>
      <c r="H52" s="15">
        <v>0.0</v>
      </c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15" t="str">
        <f t="shared" si="1"/>
        <v>#DIV/0!</v>
      </c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 t="str">
        <f t="shared" si="2"/>
        <v>#DIV/0!</v>
      </c>
      <c r="AY52" s="11"/>
    </row>
    <row r="53" ht="15.75" customHeight="1">
      <c r="A53" s="38" t="s">
        <v>88</v>
      </c>
      <c r="B53" s="38" t="s">
        <v>64</v>
      </c>
      <c r="C53" s="38">
        <v>2375.0</v>
      </c>
      <c r="D53" s="32"/>
      <c r="E53" s="32"/>
      <c r="G53" s="14">
        <v>1.0</v>
      </c>
      <c r="H53" s="15">
        <v>0.0</v>
      </c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15" t="str">
        <f t="shared" si="1"/>
        <v>#DIV/0!</v>
      </c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 t="str">
        <f t="shared" si="2"/>
        <v>#DIV/0!</v>
      </c>
      <c r="AY53" s="16" t="s">
        <v>89</v>
      </c>
    </row>
    <row r="54" ht="15.75" customHeight="1">
      <c r="A54" s="12" t="s">
        <v>90</v>
      </c>
      <c r="B54" s="12" t="s">
        <v>64</v>
      </c>
      <c r="C54" s="12">
        <v>2310.0</v>
      </c>
      <c r="D54" s="32">
        <v>0.5</v>
      </c>
      <c r="E54" s="32">
        <v>0.5</v>
      </c>
      <c r="G54" s="14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15" t="str">
        <f t="shared" si="1"/>
        <v>#DIV/0!</v>
      </c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 t="str">
        <f t="shared" si="2"/>
        <v>#DIV/0!</v>
      </c>
      <c r="AY54" s="11"/>
    </row>
    <row r="55" ht="17.25" customHeight="1">
      <c r="A55" s="12" t="s">
        <v>90</v>
      </c>
      <c r="B55" s="12" t="s">
        <v>64</v>
      </c>
      <c r="C55" s="12">
        <v>2311.0</v>
      </c>
      <c r="D55" s="32">
        <v>0.7</v>
      </c>
      <c r="E55" s="32">
        <v>0.5</v>
      </c>
      <c r="G55" s="10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15" t="str">
        <f t="shared" si="1"/>
        <v>#DIV/0!</v>
      </c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 t="str">
        <f t="shared" si="2"/>
        <v>#DIV/0!</v>
      </c>
      <c r="AY55" s="11"/>
    </row>
    <row r="56" ht="17.25" customHeight="1">
      <c r="A56" s="12" t="s">
        <v>90</v>
      </c>
      <c r="B56" s="12" t="s">
        <v>64</v>
      </c>
      <c r="C56" s="12">
        <v>2312.0</v>
      </c>
      <c r="D56" s="32">
        <v>0.8</v>
      </c>
      <c r="E56" s="32">
        <v>0.5</v>
      </c>
      <c r="G56" s="10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15" t="str">
        <f t="shared" si="1"/>
        <v>#DIV/0!</v>
      </c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 t="str">
        <f t="shared" si="2"/>
        <v>#DIV/0!</v>
      </c>
      <c r="AY56" s="11"/>
    </row>
    <row r="57" ht="17.25" customHeight="1">
      <c r="A57" s="12" t="s">
        <v>90</v>
      </c>
      <c r="B57" s="12" t="s">
        <v>64</v>
      </c>
      <c r="C57" s="12">
        <v>2313.0</v>
      </c>
      <c r="D57" s="32">
        <v>0.6</v>
      </c>
      <c r="E57" s="32">
        <v>0.4</v>
      </c>
      <c r="G57" s="10"/>
      <c r="H57" s="9"/>
      <c r="I57" s="15">
        <v>1.14</v>
      </c>
      <c r="J57" s="15">
        <v>0.14</v>
      </c>
      <c r="K57" s="15">
        <v>0.075</v>
      </c>
      <c r="L57" s="9">
        <f>average(1.02,1.55)</f>
        <v>1.285</v>
      </c>
      <c r="M57" s="15">
        <v>0.144</v>
      </c>
      <c r="N57" s="15">
        <v>0.083</v>
      </c>
      <c r="O57" s="9">
        <f>average(1.57,1.44)</f>
        <v>1.505</v>
      </c>
      <c r="P57" s="15">
        <v>0.096</v>
      </c>
      <c r="Q57" s="15">
        <v>0.059</v>
      </c>
      <c r="R57" s="15">
        <v>1.12</v>
      </c>
      <c r="S57" s="15">
        <v>0.127</v>
      </c>
      <c r="T57" s="15">
        <v>0.07</v>
      </c>
      <c r="U57" s="9"/>
      <c r="V57" s="9"/>
      <c r="W57" s="9"/>
      <c r="X57" s="9"/>
      <c r="Y57" s="9"/>
      <c r="Z57" s="15">
        <f t="shared" si="1"/>
        <v>1.2625</v>
      </c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 t="str">
        <f t="shared" si="2"/>
        <v>#DIV/0!</v>
      </c>
      <c r="AY57" s="11"/>
    </row>
    <row r="58" ht="17.25" customHeight="1">
      <c r="A58" s="12" t="s">
        <v>90</v>
      </c>
      <c r="B58" s="12" t="s">
        <v>64</v>
      </c>
      <c r="C58" s="12">
        <v>2314.0</v>
      </c>
      <c r="D58" s="32">
        <v>0.9</v>
      </c>
      <c r="E58" s="32">
        <v>0.5</v>
      </c>
      <c r="G58" s="10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15" t="str">
        <f t="shared" si="1"/>
        <v>#DIV/0!</v>
      </c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 t="str">
        <f t="shared" si="2"/>
        <v>#DIV/0!</v>
      </c>
      <c r="AY58" s="11"/>
    </row>
    <row r="59" ht="17.25" customHeight="1">
      <c r="A59" s="12" t="s">
        <v>90</v>
      </c>
      <c r="B59" s="12" t="s">
        <v>58</v>
      </c>
      <c r="C59" s="12">
        <v>2315.0</v>
      </c>
      <c r="D59" s="32">
        <v>0.2</v>
      </c>
      <c r="E59" s="32">
        <v>0.6</v>
      </c>
      <c r="G59" s="10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15" t="str">
        <f t="shared" si="1"/>
        <v>#DIV/0!</v>
      </c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 t="str">
        <f t="shared" si="2"/>
        <v>#DIV/0!</v>
      </c>
      <c r="AY59" s="11"/>
    </row>
    <row r="60" ht="17.25" customHeight="1">
      <c r="A60" s="12" t="s">
        <v>90</v>
      </c>
      <c r="B60" s="12" t="s">
        <v>64</v>
      </c>
      <c r="C60" s="12">
        <v>2316.0</v>
      </c>
      <c r="D60" s="32">
        <v>0.6</v>
      </c>
      <c r="E60" s="32">
        <v>0.6</v>
      </c>
      <c r="G60" s="10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15" t="str">
        <f t="shared" si="1"/>
        <v>#DIV/0!</v>
      </c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 t="str">
        <f t="shared" si="2"/>
        <v>#DIV/0!</v>
      </c>
      <c r="AY60" s="11"/>
    </row>
    <row r="61" ht="17.25" customHeight="1">
      <c r="A61" s="12" t="s">
        <v>90</v>
      </c>
      <c r="B61" s="12" t="s">
        <v>64</v>
      </c>
      <c r="C61" s="12">
        <v>2317.0</v>
      </c>
      <c r="D61" s="32">
        <v>0.7</v>
      </c>
      <c r="E61" s="32">
        <v>0.5</v>
      </c>
      <c r="G61" s="10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15" t="str">
        <f t="shared" si="1"/>
        <v>#DIV/0!</v>
      </c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 t="str">
        <f t="shared" si="2"/>
        <v>#DIV/0!</v>
      </c>
      <c r="AY61" s="11"/>
    </row>
    <row r="62" ht="17.25" customHeight="1">
      <c r="A62" s="12" t="s">
        <v>90</v>
      </c>
      <c r="B62" s="12" t="s">
        <v>64</v>
      </c>
      <c r="C62" s="12">
        <v>2318.0</v>
      </c>
      <c r="D62" s="32">
        <v>0.6</v>
      </c>
      <c r="E62" s="32">
        <v>0.6</v>
      </c>
      <c r="G62" s="10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15" t="str">
        <f t="shared" si="1"/>
        <v>#DIV/0!</v>
      </c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 t="str">
        <f t="shared" si="2"/>
        <v>#DIV/0!</v>
      </c>
      <c r="AY62" s="11"/>
    </row>
    <row r="63" ht="17.25" customHeight="1">
      <c r="A63" s="12" t="s">
        <v>90</v>
      </c>
      <c r="B63" s="12" t="s">
        <v>64</v>
      </c>
      <c r="C63" s="12">
        <v>2319.0</v>
      </c>
      <c r="D63" s="32">
        <v>0.7</v>
      </c>
      <c r="E63" s="32">
        <v>0.5</v>
      </c>
      <c r="G63" s="10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15" t="str">
        <f t="shared" si="1"/>
        <v>#DIV/0!</v>
      </c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 t="str">
        <f t="shared" si="2"/>
        <v>#DIV/0!</v>
      </c>
      <c r="AY63" s="11"/>
    </row>
    <row r="64" ht="17.25" customHeight="1">
      <c r="A64" s="12" t="s">
        <v>90</v>
      </c>
      <c r="B64" s="12" t="s">
        <v>58</v>
      </c>
      <c r="C64" s="12">
        <v>2320.0</v>
      </c>
      <c r="D64" s="32">
        <v>0.1</v>
      </c>
      <c r="E64" s="32">
        <v>0.1</v>
      </c>
      <c r="G64" s="10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15" t="str">
        <f t="shared" si="1"/>
        <v>#DIV/0!</v>
      </c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 t="str">
        <f t="shared" si="2"/>
        <v>#DIV/0!</v>
      </c>
      <c r="AY64" s="11"/>
    </row>
    <row r="65" ht="17.25" customHeight="1">
      <c r="A65" s="12" t="s">
        <v>90</v>
      </c>
      <c r="B65" s="12" t="s">
        <v>64</v>
      </c>
      <c r="C65" s="12">
        <v>2321.0</v>
      </c>
      <c r="D65" s="32">
        <v>0.6</v>
      </c>
      <c r="E65" s="32">
        <v>0.5</v>
      </c>
      <c r="G65" s="10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15" t="str">
        <f t="shared" si="1"/>
        <v>#DIV/0!</v>
      </c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 t="str">
        <f t="shared" si="2"/>
        <v>#DIV/0!</v>
      </c>
      <c r="AY65" s="11"/>
    </row>
    <row r="66" ht="17.25" customHeight="1">
      <c r="A66" s="12" t="s">
        <v>90</v>
      </c>
      <c r="B66" s="12" t="s">
        <v>58</v>
      </c>
      <c r="C66" s="12">
        <v>2322.0</v>
      </c>
      <c r="D66" s="32">
        <v>0.05</v>
      </c>
      <c r="E66" s="32">
        <v>0.05</v>
      </c>
      <c r="G66" s="10"/>
      <c r="H66" s="9"/>
      <c r="I66" s="15">
        <v>0.62</v>
      </c>
      <c r="J66" s="15"/>
      <c r="K66" s="15"/>
      <c r="L66" s="15">
        <v>0.63</v>
      </c>
      <c r="M66" s="15"/>
      <c r="N66" s="15"/>
      <c r="O66" s="15">
        <v>0.63</v>
      </c>
      <c r="P66" s="9"/>
      <c r="Q66" s="9"/>
      <c r="R66" s="9"/>
      <c r="S66" s="9"/>
      <c r="T66" s="9"/>
      <c r="U66" s="9"/>
      <c r="V66" s="9"/>
      <c r="W66" s="9"/>
      <c r="X66" s="9"/>
      <c r="Y66" s="9"/>
      <c r="Z66" s="15">
        <f t="shared" si="1"/>
        <v>0.6266666667</v>
      </c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 t="str">
        <f t="shared" si="2"/>
        <v>#DIV/0!</v>
      </c>
      <c r="AY66" s="11"/>
    </row>
    <row r="67" ht="17.25" customHeight="1">
      <c r="A67" s="12" t="s">
        <v>90</v>
      </c>
      <c r="B67" s="12" t="s">
        <v>58</v>
      </c>
      <c r="C67" s="12">
        <v>2323.0</v>
      </c>
      <c r="D67" s="32">
        <v>0.2</v>
      </c>
      <c r="E67" s="32">
        <v>0.6</v>
      </c>
      <c r="G67" s="10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15" t="str">
        <f t="shared" si="1"/>
        <v>#DIV/0!</v>
      </c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 t="str">
        <f t="shared" si="2"/>
        <v>#DIV/0!</v>
      </c>
      <c r="AY67" s="11"/>
    </row>
    <row r="68" ht="17.25" customHeight="1">
      <c r="A68" s="12" t="s">
        <v>90</v>
      </c>
      <c r="B68" s="12" t="s">
        <v>64</v>
      </c>
      <c r="C68" s="12">
        <v>2324.0</v>
      </c>
      <c r="D68" s="32">
        <v>0.6</v>
      </c>
      <c r="E68" s="32">
        <v>0.4</v>
      </c>
      <c r="G68" s="10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15" t="str">
        <f t="shared" si="1"/>
        <v>#DIV/0!</v>
      </c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 t="str">
        <f t="shared" si="2"/>
        <v>#DIV/0!</v>
      </c>
      <c r="AY68" s="11"/>
    </row>
    <row r="69" ht="17.25" customHeight="1">
      <c r="A69" s="12" t="s">
        <v>90</v>
      </c>
      <c r="B69" s="12" t="s">
        <v>64</v>
      </c>
      <c r="C69" s="12">
        <v>2325.0</v>
      </c>
      <c r="D69" s="32">
        <v>0.6</v>
      </c>
      <c r="E69" s="32">
        <v>0.5</v>
      </c>
      <c r="F69" s="12" t="s">
        <v>91</v>
      </c>
      <c r="G69" s="10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15" t="str">
        <f t="shared" si="1"/>
        <v>#DIV/0!</v>
      </c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 t="str">
        <f t="shared" si="2"/>
        <v>#DIV/0!</v>
      </c>
      <c r="AY69" s="11"/>
    </row>
    <row r="70" ht="17.25" customHeight="1">
      <c r="A70" s="12" t="s">
        <v>90</v>
      </c>
      <c r="B70" s="12" t="s">
        <v>64</v>
      </c>
      <c r="C70" s="12">
        <v>2327.0</v>
      </c>
      <c r="D70" s="32">
        <v>0.6</v>
      </c>
      <c r="E70" s="32">
        <v>0.6</v>
      </c>
      <c r="F70" s="12" t="s">
        <v>92</v>
      </c>
      <c r="G70" s="10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15" t="str">
        <f t="shared" si="1"/>
        <v>#DIV/0!</v>
      </c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 t="str">
        <f t="shared" si="2"/>
        <v>#DIV/0!</v>
      </c>
      <c r="AY70" s="11"/>
    </row>
    <row r="71" ht="17.25" customHeight="1">
      <c r="A71" s="12" t="s">
        <v>90</v>
      </c>
      <c r="B71" s="12" t="s">
        <v>64</v>
      </c>
      <c r="C71" s="12">
        <v>2326.0</v>
      </c>
      <c r="D71" s="32">
        <v>0.2</v>
      </c>
      <c r="E71" s="32">
        <v>0.1</v>
      </c>
      <c r="F71" s="12" t="s">
        <v>93</v>
      </c>
      <c r="G71" s="10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15" t="str">
        <f t="shared" si="1"/>
        <v>#DIV/0!</v>
      </c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 t="str">
        <f t="shared" si="2"/>
        <v>#DIV/0!</v>
      </c>
      <c r="AY71" s="11"/>
    </row>
    <row r="72" ht="17.25" customHeight="1">
      <c r="A72" s="12" t="s">
        <v>90</v>
      </c>
      <c r="B72" s="12" t="s">
        <v>58</v>
      </c>
      <c r="C72" s="12">
        <v>2328.0</v>
      </c>
      <c r="D72" s="32"/>
      <c r="E72" s="32"/>
      <c r="F72" s="12" t="s">
        <v>94</v>
      </c>
      <c r="G72" s="10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15" t="str">
        <f t="shared" si="1"/>
        <v>#DIV/0!</v>
      </c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 t="str">
        <f t="shared" si="2"/>
        <v>#DIV/0!</v>
      </c>
      <c r="AY72" s="11"/>
    </row>
    <row r="73" ht="17.25" customHeight="1">
      <c r="A73" s="12" t="s">
        <v>90</v>
      </c>
      <c r="B73" s="12" t="s">
        <v>64</v>
      </c>
      <c r="C73" s="12">
        <v>2329.0</v>
      </c>
      <c r="D73" s="32">
        <v>0.4</v>
      </c>
      <c r="E73" s="32">
        <v>0.2</v>
      </c>
      <c r="G73" s="10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15" t="str">
        <f t="shared" si="1"/>
        <v>#DIV/0!</v>
      </c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 t="str">
        <f t="shared" si="2"/>
        <v>#DIV/0!</v>
      </c>
      <c r="AY73" s="11"/>
    </row>
    <row r="74" ht="17.25" customHeight="1">
      <c r="A74" s="12" t="s">
        <v>90</v>
      </c>
      <c r="B74" s="12" t="s">
        <v>64</v>
      </c>
      <c r="C74" s="12">
        <v>2330.0</v>
      </c>
      <c r="D74" s="32"/>
      <c r="E74" s="32"/>
      <c r="F74" s="12" t="s">
        <v>95</v>
      </c>
      <c r="G74" s="10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15" t="str">
        <f t="shared" si="1"/>
        <v>#DIV/0!</v>
      </c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 t="str">
        <f t="shared" si="2"/>
        <v>#DIV/0!</v>
      </c>
      <c r="AY74" s="11"/>
    </row>
    <row r="75" ht="15.75" customHeight="1">
      <c r="A75" s="12" t="s">
        <v>90</v>
      </c>
      <c r="B75" s="12" t="s">
        <v>58</v>
      </c>
      <c r="C75" s="12">
        <v>2331.0</v>
      </c>
      <c r="D75" s="32">
        <v>0.1</v>
      </c>
      <c r="E75" s="32">
        <v>0.5</v>
      </c>
      <c r="G75" s="10"/>
      <c r="H75" s="9"/>
      <c r="I75" s="15">
        <v>0.45</v>
      </c>
      <c r="J75" s="15"/>
      <c r="K75" s="15"/>
      <c r="L75" s="15">
        <v>0.48</v>
      </c>
      <c r="M75" s="15"/>
      <c r="N75" s="15"/>
      <c r="O75" s="15">
        <v>0.56</v>
      </c>
      <c r="P75" s="9"/>
      <c r="Q75" s="9"/>
      <c r="R75" s="9"/>
      <c r="S75" s="9"/>
      <c r="T75" s="9"/>
      <c r="U75" s="9"/>
      <c r="V75" s="9"/>
      <c r="W75" s="9"/>
      <c r="X75" s="9"/>
      <c r="Y75" s="9"/>
      <c r="Z75" s="15">
        <f t="shared" si="1"/>
        <v>0.4966666667</v>
      </c>
      <c r="AA75" s="15">
        <v>2.51</v>
      </c>
      <c r="AB75" s="15">
        <v>0.14</v>
      </c>
      <c r="AC75" s="15">
        <v>0.082</v>
      </c>
      <c r="AD75" s="15">
        <v>2.3</v>
      </c>
      <c r="AE75" s="15">
        <v>0.127</v>
      </c>
      <c r="AF75" s="15">
        <v>0.076</v>
      </c>
      <c r="AG75" s="15">
        <v>2.7</v>
      </c>
      <c r="AH75" s="15">
        <v>0.168</v>
      </c>
      <c r="AI75" s="15">
        <v>0.1</v>
      </c>
      <c r="AJ75" s="15">
        <v>2.83</v>
      </c>
      <c r="AK75" s="15">
        <v>0.166</v>
      </c>
      <c r="AL75" s="15">
        <v>0.096</v>
      </c>
      <c r="AM75" s="15">
        <v>2.72</v>
      </c>
      <c r="AN75" s="15">
        <v>0.113</v>
      </c>
      <c r="AO75" s="15">
        <v>0.064</v>
      </c>
      <c r="AP75" s="9"/>
      <c r="AQ75" s="9"/>
      <c r="AR75" s="9"/>
      <c r="AS75" s="9"/>
      <c r="AT75" s="9"/>
      <c r="AU75" s="9"/>
      <c r="AV75" s="9"/>
      <c r="AW75" s="9"/>
      <c r="AX75" s="9">
        <f t="shared" si="2"/>
        <v>2.612</v>
      </c>
      <c r="AY75" s="11"/>
    </row>
    <row r="76" ht="15.75" customHeight="1">
      <c r="A76" s="12" t="s">
        <v>90</v>
      </c>
      <c r="B76" s="12" t="s">
        <v>64</v>
      </c>
      <c r="C76" s="12">
        <v>2332.0</v>
      </c>
      <c r="D76" s="32">
        <v>0.7</v>
      </c>
      <c r="E76" s="32">
        <v>0.4</v>
      </c>
      <c r="F76" s="12" t="s">
        <v>96</v>
      </c>
      <c r="G76" s="14">
        <v>1.0</v>
      </c>
      <c r="H76" s="15">
        <v>1.0</v>
      </c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15" t="str">
        <f t="shared" si="1"/>
        <v>#DIV/0!</v>
      </c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 t="str">
        <f t="shared" si="2"/>
        <v>#DIV/0!</v>
      </c>
      <c r="AY76" s="11"/>
    </row>
    <row r="77" ht="15.75" customHeight="1">
      <c r="A77" s="12" t="s">
        <v>90</v>
      </c>
      <c r="B77" s="12" t="s">
        <v>64</v>
      </c>
      <c r="C77" s="12">
        <v>2333.0</v>
      </c>
      <c r="D77" s="32">
        <v>0.7</v>
      </c>
      <c r="E77" s="32">
        <v>0.6</v>
      </c>
      <c r="G77" s="14">
        <v>1.0</v>
      </c>
      <c r="H77" s="15">
        <v>0.0</v>
      </c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15" t="str">
        <f t="shared" si="1"/>
        <v>#DIV/0!</v>
      </c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 t="str">
        <f t="shared" si="2"/>
        <v>#DIV/0!</v>
      </c>
      <c r="AY77" s="11"/>
    </row>
    <row r="78" ht="15.75" customHeight="1">
      <c r="A78" s="2" t="s">
        <v>90</v>
      </c>
      <c r="B78" s="3" t="s">
        <v>64</v>
      </c>
      <c r="C78" s="12">
        <v>2334.0</v>
      </c>
      <c r="D78" s="32">
        <v>0.5</v>
      </c>
      <c r="E78" s="32">
        <v>0.5</v>
      </c>
      <c r="F78" s="9" t="s">
        <v>97</v>
      </c>
      <c r="G78" s="14">
        <v>1.0</v>
      </c>
      <c r="H78" s="15">
        <v>0.0</v>
      </c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15" t="str">
        <f t="shared" si="1"/>
        <v>#DIV/0!</v>
      </c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 t="str">
        <f t="shared" si="2"/>
        <v>#DIV/0!</v>
      </c>
      <c r="AY78" s="11"/>
    </row>
    <row r="79" ht="15.75" customHeight="1">
      <c r="A79" s="12" t="s">
        <v>90</v>
      </c>
      <c r="B79" s="12" t="s">
        <v>64</v>
      </c>
      <c r="C79" s="12">
        <v>2336.0</v>
      </c>
      <c r="D79" s="32">
        <v>0.5</v>
      </c>
      <c r="E79" s="32">
        <v>0.5</v>
      </c>
      <c r="F79" s="9" t="s">
        <v>98</v>
      </c>
      <c r="G79" s="14">
        <v>0.0</v>
      </c>
      <c r="H79" s="15">
        <v>0.0</v>
      </c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15" t="str">
        <f t="shared" si="1"/>
        <v>#DIV/0!</v>
      </c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 t="str">
        <f t="shared" si="2"/>
        <v>#DIV/0!</v>
      </c>
      <c r="AY79" s="11"/>
    </row>
    <row r="80" ht="15.75" customHeight="1">
      <c r="A80" s="12" t="s">
        <v>90</v>
      </c>
      <c r="B80" s="12" t="s">
        <v>64</v>
      </c>
      <c r="C80" s="12">
        <v>2335.0</v>
      </c>
      <c r="D80" s="32">
        <v>0.4</v>
      </c>
      <c r="E80" s="32">
        <v>0.5</v>
      </c>
      <c r="F80" s="9" t="s">
        <v>99</v>
      </c>
      <c r="G80" s="14">
        <v>1.0</v>
      </c>
      <c r="H80" s="15">
        <v>0.0</v>
      </c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15" t="str">
        <f t="shared" si="1"/>
        <v>#DIV/0!</v>
      </c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 t="str">
        <f t="shared" si="2"/>
        <v>#DIV/0!</v>
      </c>
      <c r="AY80" s="11"/>
    </row>
    <row r="81" ht="15.75" customHeight="1">
      <c r="A81" s="38" t="s">
        <v>100</v>
      </c>
      <c r="B81" s="38" t="s">
        <v>64</v>
      </c>
      <c r="C81" s="38">
        <v>2374.0</v>
      </c>
      <c r="D81" s="32"/>
      <c r="E81" s="32"/>
      <c r="F81" s="12"/>
      <c r="G81" s="14">
        <v>2.0</v>
      </c>
      <c r="H81" s="15">
        <v>2.0</v>
      </c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15" t="str">
        <f t="shared" si="1"/>
        <v>#DIV/0!</v>
      </c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 t="str">
        <f t="shared" si="2"/>
        <v>#DIV/0!</v>
      </c>
      <c r="AY81" s="11"/>
    </row>
    <row r="82" ht="15.75" customHeight="1">
      <c r="A82" s="12" t="s">
        <v>101</v>
      </c>
      <c r="B82" s="12" t="s">
        <v>58</v>
      </c>
      <c r="C82" s="34">
        <v>2301.0</v>
      </c>
      <c r="D82" s="32">
        <v>0.05</v>
      </c>
      <c r="E82" s="32">
        <v>0.05</v>
      </c>
      <c r="F82" s="12" t="s">
        <v>102</v>
      </c>
      <c r="G82" s="10"/>
      <c r="H82" s="9"/>
      <c r="I82" s="15">
        <v>1.12</v>
      </c>
      <c r="J82" s="15"/>
      <c r="K82" s="15"/>
      <c r="L82" s="15">
        <v>0.74</v>
      </c>
      <c r="M82" s="15"/>
      <c r="N82" s="15"/>
      <c r="O82" s="15">
        <v>1.23</v>
      </c>
      <c r="P82" s="15"/>
      <c r="Q82" s="15"/>
      <c r="R82" s="15">
        <v>0.81</v>
      </c>
      <c r="S82" s="9"/>
      <c r="T82" s="9"/>
      <c r="U82" s="9"/>
      <c r="V82" s="9"/>
      <c r="W82" s="9"/>
      <c r="X82" s="9"/>
      <c r="Y82" s="9"/>
      <c r="Z82" s="15">
        <f t="shared" si="1"/>
        <v>0.975</v>
      </c>
      <c r="AA82" s="15">
        <v>1.7</v>
      </c>
      <c r="AB82" s="15">
        <v>0.292</v>
      </c>
      <c r="AC82" s="15">
        <v>0.173</v>
      </c>
      <c r="AD82" s="15">
        <v>1.42</v>
      </c>
      <c r="AE82" s="15">
        <v>0.327</v>
      </c>
      <c r="AF82" s="15">
        <v>0.185</v>
      </c>
      <c r="AG82" s="15">
        <v>1.7</v>
      </c>
      <c r="AH82" s="15">
        <v>0.38</v>
      </c>
      <c r="AI82" s="15">
        <v>0.227</v>
      </c>
      <c r="AJ82" s="15">
        <v>2.25</v>
      </c>
      <c r="AK82" s="15">
        <v>0.289</v>
      </c>
      <c r="AL82" s="15">
        <v>0.164</v>
      </c>
      <c r="AM82" s="15">
        <v>1.96</v>
      </c>
      <c r="AN82" s="15">
        <v>0.294</v>
      </c>
      <c r="AO82" s="15">
        <v>0.168</v>
      </c>
      <c r="AP82" s="9"/>
      <c r="AQ82" s="9"/>
      <c r="AR82" s="9"/>
      <c r="AS82" s="9"/>
      <c r="AT82" s="9"/>
      <c r="AU82" s="9"/>
      <c r="AV82" s="9"/>
      <c r="AW82" s="9"/>
      <c r="AX82" s="9">
        <f t="shared" si="2"/>
        <v>1.806</v>
      </c>
      <c r="AY82" s="11"/>
    </row>
    <row r="83" ht="15.75" customHeight="1">
      <c r="A83" s="12" t="s">
        <v>101</v>
      </c>
      <c r="B83" s="12" t="s">
        <v>64</v>
      </c>
      <c r="C83" s="12">
        <v>2302.0</v>
      </c>
      <c r="D83" s="32">
        <v>0.4</v>
      </c>
      <c r="E83" s="32">
        <v>0.5</v>
      </c>
      <c r="G83" s="14">
        <v>0.0</v>
      </c>
      <c r="H83" s="15">
        <v>1.0</v>
      </c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15" t="str">
        <f t="shared" si="1"/>
        <v>#DIV/0!</v>
      </c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 t="str">
        <f t="shared" si="2"/>
        <v>#DIV/0!</v>
      </c>
      <c r="AY83" s="11"/>
    </row>
    <row r="84" ht="15.75" customHeight="1">
      <c r="A84" s="12" t="s">
        <v>101</v>
      </c>
      <c r="B84" s="12" t="s">
        <v>64</v>
      </c>
      <c r="C84" s="12">
        <v>2303.0</v>
      </c>
      <c r="D84" s="32">
        <v>0.7</v>
      </c>
      <c r="E84" s="32">
        <v>0.6</v>
      </c>
      <c r="G84" s="14">
        <v>0.0</v>
      </c>
      <c r="H84" s="15">
        <v>0.0</v>
      </c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15" t="str">
        <f t="shared" si="1"/>
        <v>#DIV/0!</v>
      </c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 t="str">
        <f t="shared" si="2"/>
        <v>#DIV/0!</v>
      </c>
      <c r="AY84" s="11"/>
    </row>
    <row r="85" ht="17.25" customHeight="1">
      <c r="A85" s="12" t="s">
        <v>101</v>
      </c>
      <c r="B85" s="12" t="s">
        <v>64</v>
      </c>
      <c r="C85" s="12">
        <v>2304.0</v>
      </c>
      <c r="D85" s="32">
        <v>0.4</v>
      </c>
      <c r="E85" s="32">
        <v>0.4</v>
      </c>
      <c r="G85" s="14">
        <v>0.0</v>
      </c>
      <c r="H85" s="15">
        <v>0.0</v>
      </c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15" t="str">
        <f t="shared" si="1"/>
        <v>#DIV/0!</v>
      </c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 t="str">
        <f t="shared" si="2"/>
        <v>#DIV/0!</v>
      </c>
      <c r="AY85" s="11"/>
    </row>
    <row r="86" ht="17.25" customHeight="1">
      <c r="A86" s="12" t="s">
        <v>101</v>
      </c>
      <c r="B86" s="12" t="s">
        <v>64</v>
      </c>
      <c r="C86" s="12">
        <v>2305.0</v>
      </c>
      <c r="D86" s="32">
        <v>0.5</v>
      </c>
      <c r="E86" s="32">
        <v>0.4</v>
      </c>
      <c r="F86" s="9" t="s">
        <v>103</v>
      </c>
      <c r="G86" s="14">
        <v>0.0</v>
      </c>
      <c r="H86" s="15">
        <v>1.0</v>
      </c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15" t="str">
        <f t="shared" si="1"/>
        <v>#DIV/0!</v>
      </c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 t="str">
        <f t="shared" si="2"/>
        <v>#DIV/0!</v>
      </c>
      <c r="AY86" s="11"/>
    </row>
    <row r="87" ht="17.25" customHeight="1">
      <c r="A87" s="12" t="s">
        <v>101</v>
      </c>
      <c r="B87" s="12" t="s">
        <v>64</v>
      </c>
      <c r="C87" s="12">
        <v>2306.0</v>
      </c>
      <c r="D87" s="32">
        <v>0.5</v>
      </c>
      <c r="E87" s="32">
        <v>0.4</v>
      </c>
      <c r="F87" s="12" t="s">
        <v>104</v>
      </c>
      <c r="G87" s="14">
        <v>1.0</v>
      </c>
      <c r="H87" s="15">
        <v>0.0</v>
      </c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15" t="str">
        <f t="shared" si="1"/>
        <v>#DIV/0!</v>
      </c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 t="str">
        <f t="shared" si="2"/>
        <v>#DIV/0!</v>
      </c>
      <c r="AY87" s="11"/>
    </row>
    <row r="88" ht="17.25" customHeight="1">
      <c r="A88" s="12" t="s">
        <v>101</v>
      </c>
      <c r="B88" s="12" t="s">
        <v>64</v>
      </c>
      <c r="C88" s="12">
        <v>2307.0</v>
      </c>
      <c r="D88" s="32">
        <v>0.6</v>
      </c>
      <c r="E88" s="32">
        <v>0.5</v>
      </c>
      <c r="G88" s="14">
        <v>0.0</v>
      </c>
      <c r="H88" s="15">
        <v>0.0</v>
      </c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15" t="str">
        <f t="shared" si="1"/>
        <v>#DIV/0!</v>
      </c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 t="str">
        <f t="shared" si="2"/>
        <v>#DIV/0!</v>
      </c>
      <c r="AY88" s="11"/>
    </row>
    <row r="89" ht="17.25" customHeight="1">
      <c r="A89" s="12" t="s">
        <v>101</v>
      </c>
      <c r="B89" s="12" t="s">
        <v>64</v>
      </c>
      <c r="C89" s="12">
        <v>2308.0</v>
      </c>
      <c r="D89" s="32">
        <v>0.7</v>
      </c>
      <c r="E89" s="32">
        <v>0.7</v>
      </c>
      <c r="G89" s="14">
        <v>3.0</v>
      </c>
      <c r="H89" s="15">
        <v>0.0</v>
      </c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15" t="str">
        <f t="shared" si="1"/>
        <v>#DIV/0!</v>
      </c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 t="str">
        <f t="shared" si="2"/>
        <v>#DIV/0!</v>
      </c>
      <c r="AY89" s="11"/>
    </row>
    <row r="90" ht="17.25" customHeight="1">
      <c r="A90" s="12" t="s">
        <v>101</v>
      </c>
      <c r="B90" s="12" t="s">
        <v>64</v>
      </c>
      <c r="C90" s="12">
        <v>2309.0</v>
      </c>
      <c r="D90" s="32">
        <v>0.7</v>
      </c>
      <c r="E90" s="32">
        <v>0.5</v>
      </c>
      <c r="G90" s="14">
        <v>0.0</v>
      </c>
      <c r="H90" s="15">
        <v>0.0</v>
      </c>
      <c r="I90" s="15">
        <v>1.05</v>
      </c>
      <c r="J90" s="15"/>
      <c r="K90" s="15"/>
      <c r="L90" s="15">
        <v>1.21</v>
      </c>
      <c r="M90" s="15"/>
      <c r="N90" s="15"/>
      <c r="O90" s="15">
        <v>1.46</v>
      </c>
      <c r="P90" s="15"/>
      <c r="Q90" s="15"/>
      <c r="R90" s="15">
        <v>1.92</v>
      </c>
      <c r="S90" s="15"/>
      <c r="T90" s="15"/>
      <c r="U90" s="15">
        <v>2.1</v>
      </c>
      <c r="V90" s="9"/>
      <c r="W90" s="9"/>
      <c r="X90" s="9"/>
      <c r="Y90" s="9"/>
      <c r="Z90" s="15">
        <f t="shared" si="1"/>
        <v>1.548</v>
      </c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 t="str">
        <f t="shared" si="2"/>
        <v>#DIV/0!</v>
      </c>
      <c r="AY90" s="16" t="s">
        <v>105</v>
      </c>
    </row>
    <row r="91" ht="15.75" customHeight="1">
      <c r="A91" s="53" t="s">
        <v>106</v>
      </c>
      <c r="B91" s="54" t="s">
        <v>64</v>
      </c>
      <c r="C91" s="55">
        <v>2370.0</v>
      </c>
      <c r="D91" s="32"/>
      <c r="E91" s="32"/>
      <c r="G91" s="14">
        <v>1.0</v>
      </c>
      <c r="H91" s="15">
        <v>0.0</v>
      </c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15" t="str">
        <f t="shared" si="1"/>
        <v>#DIV/0!</v>
      </c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 t="str">
        <f t="shared" si="2"/>
        <v>#DIV/0!</v>
      </c>
      <c r="AY91" s="16" t="s">
        <v>105</v>
      </c>
    </row>
    <row r="92" ht="15.75" customHeight="1">
      <c r="A92" s="53" t="s">
        <v>107</v>
      </c>
      <c r="B92" s="54" t="s">
        <v>64</v>
      </c>
      <c r="C92" s="55">
        <v>2371.0</v>
      </c>
      <c r="D92" s="32"/>
      <c r="E92" s="32"/>
      <c r="G92" s="14">
        <v>0.0</v>
      </c>
      <c r="H92" s="15">
        <v>0.0</v>
      </c>
      <c r="I92" s="15">
        <v>1.26</v>
      </c>
      <c r="J92" s="15"/>
      <c r="K92" s="15"/>
      <c r="L92" s="15">
        <v>2.2</v>
      </c>
      <c r="M92" s="15"/>
      <c r="N92" s="15"/>
      <c r="O92" s="15">
        <v>1.89</v>
      </c>
      <c r="P92" s="15"/>
      <c r="Q92" s="15"/>
      <c r="R92" s="15">
        <v>1.09</v>
      </c>
      <c r="S92" s="15"/>
      <c r="T92" s="15"/>
      <c r="U92" s="15">
        <v>1.77</v>
      </c>
      <c r="V92" s="9"/>
      <c r="W92" s="9"/>
      <c r="X92" s="9"/>
      <c r="Y92" s="9"/>
      <c r="Z92" s="15">
        <f t="shared" si="1"/>
        <v>1.642</v>
      </c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 t="str">
        <f t="shared" si="2"/>
        <v>#DIV/0!</v>
      </c>
      <c r="AY92" s="16" t="s">
        <v>105</v>
      </c>
    </row>
    <row r="93" ht="15.75" customHeight="1">
      <c r="A93" s="53" t="s">
        <v>108</v>
      </c>
      <c r="B93" s="54" t="s">
        <v>64</v>
      </c>
      <c r="C93" s="55">
        <v>2372.0</v>
      </c>
      <c r="D93" s="32"/>
      <c r="E93" s="32"/>
      <c r="G93" s="14">
        <v>1.0</v>
      </c>
      <c r="H93" s="15">
        <v>0.0</v>
      </c>
      <c r="I93" s="15">
        <v>1.31</v>
      </c>
      <c r="J93" s="15"/>
      <c r="K93" s="15"/>
      <c r="L93" s="15">
        <v>1.37</v>
      </c>
      <c r="M93" s="15"/>
      <c r="N93" s="15"/>
      <c r="O93" s="15">
        <v>1.57</v>
      </c>
      <c r="P93" s="15"/>
      <c r="Q93" s="15"/>
      <c r="R93" s="15">
        <v>1.18</v>
      </c>
      <c r="S93" s="15"/>
      <c r="T93" s="15"/>
      <c r="U93" s="15">
        <v>1.08</v>
      </c>
      <c r="V93" s="9"/>
      <c r="W93" s="9"/>
      <c r="X93" s="9"/>
      <c r="Y93" s="9"/>
      <c r="Z93" s="15">
        <f t="shared" si="1"/>
        <v>1.302</v>
      </c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 t="str">
        <f t="shared" si="2"/>
        <v>#DIV/0!</v>
      </c>
      <c r="AY93" s="16" t="s">
        <v>109</v>
      </c>
    </row>
    <row r="94" ht="15.75" customHeight="1">
      <c r="A94" s="53" t="s">
        <v>110</v>
      </c>
      <c r="B94" s="54" t="s">
        <v>64</v>
      </c>
      <c r="C94" s="55">
        <v>2373.0</v>
      </c>
      <c r="D94" s="32"/>
      <c r="E94" s="32"/>
      <c r="G94" s="14">
        <v>0.0</v>
      </c>
      <c r="H94" s="15">
        <v>1.0</v>
      </c>
      <c r="I94" s="15">
        <v>1.24</v>
      </c>
      <c r="J94" s="15"/>
      <c r="K94" s="15"/>
      <c r="L94" s="15">
        <v>1.35</v>
      </c>
      <c r="M94" s="15"/>
      <c r="N94" s="15"/>
      <c r="O94" s="15">
        <v>1.46</v>
      </c>
      <c r="P94" s="15"/>
      <c r="Q94" s="15"/>
      <c r="R94" s="15">
        <v>1.56</v>
      </c>
      <c r="S94" s="15"/>
      <c r="T94" s="15"/>
      <c r="U94" s="15">
        <v>1.25</v>
      </c>
      <c r="V94" s="15"/>
      <c r="W94" s="15"/>
      <c r="X94" s="15">
        <v>1.0</v>
      </c>
      <c r="Y94" s="9"/>
      <c r="Z94" s="15">
        <f t="shared" si="1"/>
        <v>1.31</v>
      </c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 t="str">
        <f t="shared" si="2"/>
        <v>#DIV/0!</v>
      </c>
      <c r="AY94" s="16" t="s">
        <v>111</v>
      </c>
    </row>
    <row r="95" ht="15.75" customHeight="1">
      <c r="A95" s="2" t="s">
        <v>112</v>
      </c>
      <c r="B95" s="3" t="s">
        <v>64</v>
      </c>
      <c r="C95" s="3"/>
      <c r="D95" s="32">
        <v>0.3</v>
      </c>
      <c r="E95" s="32">
        <v>0.4</v>
      </c>
      <c r="G95" s="10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15" t="str">
        <f t="shared" si="1"/>
        <v>#DIV/0!</v>
      </c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 t="str">
        <f t="shared" si="2"/>
        <v>#DIV/0!</v>
      </c>
      <c r="AY95" s="11"/>
    </row>
    <row r="96" ht="15.75" customHeight="1">
      <c r="A96" s="2" t="s">
        <v>112</v>
      </c>
      <c r="B96" s="3" t="s">
        <v>64</v>
      </c>
      <c r="C96" s="3"/>
      <c r="D96" s="32">
        <v>0.2</v>
      </c>
      <c r="E96" s="32">
        <v>0.25</v>
      </c>
      <c r="G96" s="10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15" t="str">
        <f t="shared" si="1"/>
        <v>#DIV/0!</v>
      </c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 t="str">
        <f t="shared" si="2"/>
        <v>#DIV/0!</v>
      </c>
      <c r="AY96" s="11"/>
    </row>
    <row r="97" ht="15.75" customHeight="1">
      <c r="A97" s="2" t="s">
        <v>112</v>
      </c>
      <c r="B97" s="3" t="s">
        <v>64</v>
      </c>
      <c r="C97" s="3"/>
      <c r="D97" s="32">
        <v>0.3</v>
      </c>
      <c r="E97" s="32">
        <v>0.25</v>
      </c>
      <c r="G97" s="10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15" t="str">
        <f t="shared" si="1"/>
        <v>#DIV/0!</v>
      </c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 t="str">
        <f t="shared" si="2"/>
        <v>#DIV/0!</v>
      </c>
      <c r="AY97" s="11"/>
    </row>
    <row r="98" ht="15.75" customHeight="1">
      <c r="A98" s="2" t="s">
        <v>112</v>
      </c>
      <c r="B98" s="3" t="s">
        <v>64</v>
      </c>
      <c r="C98" s="3"/>
      <c r="D98" s="32">
        <v>0.75</v>
      </c>
      <c r="E98" s="32">
        <v>0.6</v>
      </c>
      <c r="G98" s="10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15" t="str">
        <f t="shared" si="1"/>
        <v>#DIV/0!</v>
      </c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 t="str">
        <f t="shared" si="2"/>
        <v>#DIV/0!</v>
      </c>
      <c r="AY98" s="11"/>
    </row>
    <row r="99" ht="15.75" customHeight="1">
      <c r="A99" s="2" t="s">
        <v>112</v>
      </c>
      <c r="B99" s="3" t="s">
        <v>64</v>
      </c>
      <c r="C99" s="3"/>
      <c r="D99" s="32">
        <v>0.7</v>
      </c>
      <c r="E99" s="32">
        <v>0.5</v>
      </c>
      <c r="G99" s="10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15" t="str">
        <f t="shared" si="1"/>
        <v>#DIV/0!</v>
      </c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 t="str">
        <f t="shared" si="2"/>
        <v>#DIV/0!</v>
      </c>
      <c r="AY99" s="11"/>
    </row>
    <row r="100" ht="15.75" customHeight="1">
      <c r="A100" s="2" t="s">
        <v>113</v>
      </c>
      <c r="B100" s="3" t="s">
        <v>64</v>
      </c>
      <c r="C100" s="3"/>
      <c r="D100" s="32">
        <v>0.5</v>
      </c>
      <c r="E100" s="32">
        <v>0.2</v>
      </c>
      <c r="G100" s="10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15" t="str">
        <f t="shared" si="1"/>
        <v>#DIV/0!</v>
      </c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 t="str">
        <f t="shared" si="2"/>
        <v>#DIV/0!</v>
      </c>
      <c r="AY100" s="11"/>
    </row>
    <row r="101" ht="15.75" customHeight="1">
      <c r="A101" s="2" t="s">
        <v>113</v>
      </c>
      <c r="B101" s="3" t="s">
        <v>64</v>
      </c>
      <c r="C101" s="3"/>
      <c r="D101" s="32">
        <v>0.2</v>
      </c>
      <c r="E101" s="32">
        <v>0.2</v>
      </c>
      <c r="G101" s="10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15" t="str">
        <f t="shared" si="1"/>
        <v>#DIV/0!</v>
      </c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 t="str">
        <f t="shared" si="2"/>
        <v>#DIV/0!</v>
      </c>
      <c r="AY101" s="11"/>
    </row>
    <row r="102" ht="15.75" customHeight="1">
      <c r="A102" s="2" t="s">
        <v>113</v>
      </c>
      <c r="B102" s="3" t="s">
        <v>64</v>
      </c>
      <c r="C102" s="3"/>
      <c r="D102" s="32">
        <v>0.3</v>
      </c>
      <c r="E102" s="32">
        <v>0.35</v>
      </c>
      <c r="G102" s="10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15" t="str">
        <f t="shared" si="1"/>
        <v>#DIV/0!</v>
      </c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 t="str">
        <f t="shared" si="2"/>
        <v>#DIV/0!</v>
      </c>
      <c r="AY102" s="11"/>
    </row>
    <row r="103" ht="15.75" customHeight="1">
      <c r="A103" s="2" t="s">
        <v>113</v>
      </c>
      <c r="B103" s="3" t="s">
        <v>64</v>
      </c>
      <c r="C103" s="3"/>
      <c r="D103" s="32">
        <v>0.15</v>
      </c>
      <c r="E103" s="32">
        <v>0.25</v>
      </c>
      <c r="G103" s="10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15" t="str">
        <f t="shared" si="1"/>
        <v>#DIV/0!</v>
      </c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 t="str">
        <f t="shared" si="2"/>
        <v>#DIV/0!</v>
      </c>
      <c r="AY103" s="11"/>
    </row>
    <row r="104" ht="15.75" customHeight="1">
      <c r="A104" s="2" t="s">
        <v>113</v>
      </c>
      <c r="B104" s="3" t="s">
        <v>64</v>
      </c>
      <c r="C104" s="3"/>
      <c r="D104" s="32">
        <v>0.1</v>
      </c>
      <c r="E104" s="32">
        <v>0.4</v>
      </c>
      <c r="G104" s="10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15" t="str">
        <f t="shared" si="1"/>
        <v>#DIV/0!</v>
      </c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 t="str">
        <f t="shared" si="2"/>
        <v>#DIV/0!</v>
      </c>
      <c r="AY104" s="11"/>
    </row>
    <row r="105" ht="15.75" customHeight="1">
      <c r="A105" s="12" t="s">
        <v>114</v>
      </c>
      <c r="B105" s="12" t="s">
        <v>58</v>
      </c>
      <c r="C105" s="12"/>
      <c r="D105" s="32">
        <v>0.05</v>
      </c>
      <c r="E105" s="32">
        <v>0.05</v>
      </c>
      <c r="G105" s="10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15" t="str">
        <f t="shared" si="1"/>
        <v>#DIV/0!</v>
      </c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 t="str">
        <f t="shared" si="2"/>
        <v>#DIV/0!</v>
      </c>
      <c r="AY105" s="11"/>
    </row>
    <row r="106" ht="15.75" customHeight="1">
      <c r="A106" s="12" t="s">
        <v>114</v>
      </c>
      <c r="B106" s="12" t="s">
        <v>58</v>
      </c>
      <c r="C106" s="12"/>
      <c r="D106" s="32">
        <v>0.2</v>
      </c>
      <c r="E106" s="32">
        <v>0.05</v>
      </c>
      <c r="F106" s="12" t="s">
        <v>116</v>
      </c>
      <c r="G106" s="10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15" t="str">
        <f t="shared" si="1"/>
        <v>#DIV/0!</v>
      </c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 t="str">
        <f t="shared" si="2"/>
        <v>#DIV/0!</v>
      </c>
      <c r="AY106" s="11"/>
    </row>
    <row r="107" ht="15.75" customHeight="1">
      <c r="A107" s="2" t="s">
        <v>117</v>
      </c>
      <c r="B107" s="3" t="s">
        <v>64</v>
      </c>
      <c r="C107" s="58">
        <v>2381.0</v>
      </c>
      <c r="D107" s="32"/>
      <c r="E107" s="32"/>
      <c r="F107" s="33" t="s">
        <v>118</v>
      </c>
      <c r="G107" s="14">
        <v>0.0</v>
      </c>
      <c r="H107" s="15">
        <v>3.0</v>
      </c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15" t="str">
        <f t="shared" si="1"/>
        <v>#DIV/0!</v>
      </c>
      <c r="AA107" s="9"/>
      <c r="AB107" s="9"/>
      <c r="AC107" s="15">
        <v>0.083</v>
      </c>
      <c r="AD107" s="9"/>
      <c r="AE107" s="9"/>
      <c r="AF107" s="15">
        <v>0.044</v>
      </c>
      <c r="AG107" s="9"/>
      <c r="AH107" s="9"/>
      <c r="AI107" s="15">
        <v>0.037</v>
      </c>
      <c r="AJ107" s="9"/>
      <c r="AK107" s="9"/>
      <c r="AL107" s="15">
        <v>0.163</v>
      </c>
      <c r="AM107" s="9"/>
      <c r="AN107" s="9"/>
      <c r="AO107" s="15">
        <v>0.042</v>
      </c>
      <c r="AP107" s="9"/>
      <c r="AQ107" s="9"/>
      <c r="AR107" s="15">
        <v>0.043</v>
      </c>
      <c r="AS107" s="9"/>
      <c r="AT107" s="9"/>
      <c r="AU107" s="15">
        <v>0.108</v>
      </c>
      <c r="AV107" s="15">
        <v>0.448</v>
      </c>
      <c r="AW107" s="15">
        <v>0.145</v>
      </c>
      <c r="AX107" s="9" t="str">
        <f t="shared" si="2"/>
        <v>#DIV/0!</v>
      </c>
      <c r="AY107" s="16" t="s">
        <v>119</v>
      </c>
    </row>
    <row r="108" ht="15.75" customHeight="1">
      <c r="A108" s="2" t="s">
        <v>117</v>
      </c>
      <c r="B108" s="3" t="s">
        <v>64</v>
      </c>
      <c r="C108" s="58"/>
      <c r="D108" s="32"/>
      <c r="E108" s="32"/>
      <c r="F108" s="33" t="s">
        <v>120</v>
      </c>
      <c r="G108" s="10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15" t="str">
        <f t="shared" si="1"/>
        <v>#DIV/0!</v>
      </c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 t="str">
        <f t="shared" si="2"/>
        <v>#DIV/0!</v>
      </c>
      <c r="AY108" s="11"/>
    </row>
    <row r="109" ht="15.75" customHeight="1">
      <c r="A109" s="2" t="s">
        <v>117</v>
      </c>
      <c r="B109" s="3" t="s">
        <v>64</v>
      </c>
      <c r="C109" s="58"/>
      <c r="D109" s="32"/>
      <c r="E109" s="32"/>
      <c r="F109" s="33" t="s">
        <v>121</v>
      </c>
      <c r="G109" s="10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15" t="str">
        <f t="shared" si="1"/>
        <v>#DIV/0!</v>
      </c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 t="str">
        <f t="shared" si="2"/>
        <v>#DIV/0!</v>
      </c>
      <c r="AY109" s="11"/>
    </row>
    <row r="110" ht="15.75" customHeight="1">
      <c r="A110" s="2" t="s">
        <v>117</v>
      </c>
      <c r="B110" s="3" t="s">
        <v>64</v>
      </c>
      <c r="C110" s="58">
        <v>2382.0</v>
      </c>
      <c r="D110" s="32"/>
      <c r="E110" s="32"/>
      <c r="F110" s="33" t="s">
        <v>122</v>
      </c>
      <c r="G110" s="14">
        <v>0.0</v>
      </c>
      <c r="H110" s="15">
        <v>6.0</v>
      </c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15" t="str">
        <f t="shared" si="1"/>
        <v>#DIV/0!</v>
      </c>
      <c r="AA110" s="9"/>
      <c r="AB110" s="9"/>
      <c r="AC110" s="15">
        <v>0.059</v>
      </c>
      <c r="AD110" s="9"/>
      <c r="AE110" s="9"/>
      <c r="AF110" s="15">
        <v>0.044</v>
      </c>
      <c r="AG110" s="9"/>
      <c r="AH110" s="9"/>
      <c r="AI110" s="15">
        <v>0.075</v>
      </c>
      <c r="AJ110" s="9"/>
      <c r="AK110" s="9"/>
      <c r="AL110" s="15">
        <v>0.054</v>
      </c>
      <c r="AM110" s="9"/>
      <c r="AN110" s="9"/>
      <c r="AO110" s="9"/>
      <c r="AP110" s="9"/>
      <c r="AQ110" s="9"/>
      <c r="AR110" s="9"/>
      <c r="AS110" s="9"/>
      <c r="AT110" s="9"/>
      <c r="AU110" s="15">
        <v>1.03</v>
      </c>
      <c r="AV110" s="15">
        <v>0.305</v>
      </c>
      <c r="AW110" s="9"/>
      <c r="AX110" s="9" t="str">
        <f t="shared" si="2"/>
        <v>#DIV/0!</v>
      </c>
      <c r="AY110" s="16" t="s">
        <v>123</v>
      </c>
    </row>
    <row r="111" ht="15.75" customHeight="1">
      <c r="A111" s="57" t="s">
        <v>125</v>
      </c>
      <c r="B111" s="54" t="s">
        <v>64</v>
      </c>
      <c r="C111" s="60">
        <v>2383.0</v>
      </c>
      <c r="D111" s="3"/>
      <c r="E111" s="32"/>
      <c r="F111" s="32"/>
      <c r="G111" s="14">
        <v>0.0</v>
      </c>
      <c r="H111" s="15">
        <v>7.0</v>
      </c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15" t="str">
        <f t="shared" si="1"/>
        <v>#DIV/0!</v>
      </c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 t="str">
        <f t="shared" si="2"/>
        <v>#DIV/0!</v>
      </c>
      <c r="AY111" s="11"/>
    </row>
    <row r="112" ht="15.75" customHeight="1">
      <c r="A112" s="57" t="s">
        <v>126</v>
      </c>
      <c r="B112" s="54" t="s">
        <v>64</v>
      </c>
      <c r="C112" s="57">
        <v>2384.0</v>
      </c>
      <c r="D112" s="3"/>
      <c r="E112" s="32"/>
      <c r="F112" s="32"/>
      <c r="G112" s="10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15" t="str">
        <f t="shared" si="1"/>
        <v>#DIV/0!</v>
      </c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 t="str">
        <f t="shared" si="2"/>
        <v>#DIV/0!</v>
      </c>
      <c r="AY112" s="11"/>
    </row>
    <row r="113" ht="15.75" customHeight="1">
      <c r="B113" s="3"/>
      <c r="D113" s="3"/>
      <c r="G113" s="10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11"/>
    </row>
    <row r="114" ht="15.75" customHeight="1">
      <c r="B114" s="3"/>
      <c r="D114" s="3"/>
      <c r="G114" s="10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11"/>
    </row>
    <row r="115" ht="15.75" customHeight="1">
      <c r="B115" s="3"/>
      <c r="D115" s="3"/>
      <c r="G115" s="10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11"/>
    </row>
    <row r="116" ht="15.75" customHeight="1">
      <c r="B116" s="3"/>
      <c r="D116" s="3"/>
      <c r="G116" s="10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11"/>
    </row>
    <row r="117" ht="15.75" customHeight="1">
      <c r="B117" s="3"/>
      <c r="D117" s="3"/>
      <c r="G117" s="10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11"/>
    </row>
    <row r="118" ht="15.75" customHeight="1">
      <c r="B118" s="3"/>
      <c r="D118" s="3"/>
      <c r="G118" s="10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11"/>
    </row>
    <row r="119" ht="15.75" customHeight="1">
      <c r="B119" s="3"/>
      <c r="D119" s="3"/>
      <c r="G119" s="10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11"/>
    </row>
    <row r="120" ht="15.75" customHeight="1">
      <c r="B120" s="3"/>
      <c r="D120" s="3"/>
      <c r="G120" s="10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11"/>
    </row>
    <row r="121" ht="15.75" customHeight="1">
      <c r="B121" s="3"/>
      <c r="D121" s="3"/>
      <c r="G121" s="10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11"/>
    </row>
    <row r="122" ht="15.75" customHeight="1">
      <c r="B122" s="3"/>
      <c r="D122" s="3"/>
      <c r="G122" s="10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11"/>
    </row>
    <row r="123" ht="15.75" customHeight="1">
      <c r="B123" s="3"/>
      <c r="D123" s="3"/>
      <c r="G123" s="10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11"/>
    </row>
    <row r="124" ht="15.75" customHeight="1">
      <c r="B124" s="3"/>
      <c r="D124" s="3"/>
      <c r="G124" s="10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11"/>
    </row>
    <row r="125" ht="15.75" customHeight="1">
      <c r="B125" s="3"/>
      <c r="D125" s="3"/>
      <c r="G125" s="10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11"/>
    </row>
    <row r="126" ht="15.75" customHeight="1">
      <c r="B126" s="3"/>
      <c r="D126" s="3"/>
      <c r="G126" s="10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11"/>
    </row>
    <row r="127" ht="15.75" customHeight="1">
      <c r="B127" s="3"/>
      <c r="D127" s="3"/>
      <c r="G127" s="10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11"/>
    </row>
    <row r="128" ht="15.75" customHeight="1">
      <c r="B128" s="3"/>
      <c r="D128" s="3"/>
      <c r="G128" s="10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11"/>
    </row>
    <row r="129" ht="15.75" customHeight="1">
      <c r="B129" s="3"/>
      <c r="D129" s="3"/>
      <c r="G129" s="10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11"/>
    </row>
    <row r="130" ht="15.75" customHeight="1">
      <c r="B130" s="3"/>
      <c r="D130" s="3"/>
      <c r="G130" s="10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11"/>
    </row>
    <row r="131" ht="15.75" customHeight="1">
      <c r="B131" s="3"/>
      <c r="D131" s="3"/>
      <c r="G131" s="10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11"/>
    </row>
    <row r="132" ht="15.75" customHeight="1">
      <c r="B132" s="3"/>
      <c r="D132" s="3"/>
      <c r="G132" s="10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11"/>
    </row>
    <row r="133" ht="15.75" customHeight="1">
      <c r="B133" s="3"/>
      <c r="D133" s="3"/>
      <c r="G133" s="10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11"/>
    </row>
    <row r="134" ht="15.75" customHeight="1">
      <c r="B134" s="3"/>
      <c r="D134" s="3"/>
      <c r="G134" s="10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11"/>
    </row>
    <row r="135" ht="15.75" customHeight="1">
      <c r="B135" s="3"/>
      <c r="D135" s="3"/>
      <c r="G135" s="10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11"/>
    </row>
    <row r="136" ht="15.75" customHeight="1">
      <c r="B136" s="3"/>
      <c r="D136" s="3"/>
      <c r="G136" s="10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11"/>
    </row>
    <row r="137" ht="15.75" customHeight="1">
      <c r="B137" s="3"/>
      <c r="D137" s="3"/>
      <c r="G137" s="10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11"/>
    </row>
    <row r="138" ht="15.75" customHeight="1">
      <c r="B138" s="3"/>
      <c r="D138" s="3"/>
      <c r="G138" s="10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11"/>
    </row>
    <row r="139" ht="15.75" customHeight="1">
      <c r="B139" s="3"/>
      <c r="D139" s="3"/>
      <c r="G139" s="10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11"/>
    </row>
    <row r="140" ht="15.75" customHeight="1">
      <c r="B140" s="3"/>
      <c r="D140" s="3"/>
      <c r="G140" s="10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11"/>
    </row>
    <row r="141" ht="15.75" customHeight="1">
      <c r="B141" s="3"/>
      <c r="D141" s="3"/>
      <c r="G141" s="10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11"/>
    </row>
    <row r="142" ht="15.75" customHeight="1">
      <c r="B142" s="3"/>
      <c r="D142" s="3"/>
      <c r="G142" s="10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11"/>
    </row>
    <row r="143" ht="15.75" customHeight="1">
      <c r="B143" s="3"/>
      <c r="D143" s="3"/>
      <c r="G143" s="10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11"/>
    </row>
    <row r="144" ht="15.75" customHeight="1">
      <c r="B144" s="3"/>
      <c r="D144" s="3"/>
      <c r="G144" s="10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11"/>
    </row>
    <row r="145" ht="15.75" customHeight="1">
      <c r="B145" s="3"/>
      <c r="D145" s="3"/>
      <c r="G145" s="10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11"/>
    </row>
    <row r="146" ht="15.75" customHeight="1">
      <c r="B146" s="3"/>
      <c r="D146" s="3"/>
      <c r="G146" s="10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11"/>
    </row>
    <row r="147" ht="15.75" customHeight="1">
      <c r="B147" s="3"/>
      <c r="D147" s="3"/>
      <c r="G147" s="10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11"/>
    </row>
    <row r="148" ht="15.75" customHeight="1">
      <c r="B148" s="3"/>
      <c r="D148" s="3"/>
      <c r="G148" s="10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11"/>
    </row>
    <row r="149" ht="15.75" customHeight="1">
      <c r="B149" s="3"/>
      <c r="D149" s="3"/>
      <c r="G149" s="10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11"/>
    </row>
    <row r="150" ht="15.75" customHeight="1">
      <c r="B150" s="3"/>
      <c r="D150" s="3"/>
      <c r="G150" s="10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11"/>
    </row>
    <row r="151" ht="15.75" customHeight="1">
      <c r="B151" s="3"/>
      <c r="D151" s="3"/>
      <c r="G151" s="10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11"/>
    </row>
    <row r="152" ht="15.75" customHeight="1">
      <c r="B152" s="3"/>
      <c r="D152" s="3"/>
      <c r="G152" s="10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11"/>
    </row>
    <row r="153" ht="15.75" customHeight="1">
      <c r="B153" s="3"/>
      <c r="D153" s="3"/>
      <c r="G153" s="10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11"/>
    </row>
    <row r="154" ht="15.75" customHeight="1">
      <c r="B154" s="3"/>
      <c r="D154" s="3"/>
      <c r="G154" s="10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11"/>
    </row>
    <row r="155" ht="15.75" customHeight="1">
      <c r="B155" s="3"/>
      <c r="D155" s="3"/>
      <c r="G155" s="10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11"/>
    </row>
    <row r="156" ht="15.75" customHeight="1">
      <c r="B156" s="3"/>
      <c r="D156" s="3"/>
      <c r="G156" s="10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11"/>
    </row>
    <row r="157" ht="15.75" customHeight="1">
      <c r="B157" s="3"/>
      <c r="D157" s="3"/>
      <c r="G157" s="10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11"/>
    </row>
    <row r="158" ht="15.75" customHeight="1">
      <c r="B158" s="3"/>
      <c r="D158" s="3"/>
      <c r="G158" s="10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11"/>
    </row>
    <row r="159" ht="15.75" customHeight="1">
      <c r="B159" s="3"/>
      <c r="D159" s="3"/>
      <c r="G159" s="10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11"/>
    </row>
    <row r="160" ht="15.75" customHeight="1">
      <c r="B160" s="3"/>
      <c r="D160" s="3"/>
      <c r="G160" s="10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11"/>
    </row>
    <row r="161" ht="15.75" customHeight="1">
      <c r="B161" s="3"/>
      <c r="D161" s="3"/>
      <c r="G161" s="10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11"/>
    </row>
    <row r="162" ht="15.75" customHeight="1">
      <c r="B162" s="3"/>
      <c r="D162" s="3"/>
      <c r="G162" s="10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11"/>
    </row>
    <row r="163" ht="15.75" customHeight="1">
      <c r="B163" s="3"/>
      <c r="D163" s="3"/>
      <c r="G163" s="10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11"/>
    </row>
    <row r="164" ht="15.75" customHeight="1">
      <c r="B164" s="3"/>
      <c r="D164" s="3"/>
      <c r="G164" s="10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11"/>
    </row>
    <row r="165" ht="15.75" customHeight="1">
      <c r="B165" s="3"/>
      <c r="D165" s="3"/>
      <c r="G165" s="10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11"/>
    </row>
    <row r="166" ht="15.75" customHeight="1">
      <c r="B166" s="3"/>
      <c r="D166" s="3"/>
      <c r="G166" s="10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11"/>
    </row>
    <row r="167" ht="15.75" customHeight="1">
      <c r="B167" s="3"/>
      <c r="D167" s="3"/>
      <c r="G167" s="10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11"/>
    </row>
    <row r="168" ht="15.75" customHeight="1">
      <c r="B168" s="3"/>
      <c r="D168" s="3"/>
      <c r="G168" s="10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11"/>
    </row>
    <row r="169" ht="15.75" customHeight="1">
      <c r="B169" s="3"/>
      <c r="D169" s="3"/>
      <c r="G169" s="10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11"/>
    </row>
    <row r="170" ht="15.75" customHeight="1">
      <c r="B170" s="3"/>
      <c r="D170" s="3"/>
      <c r="G170" s="10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11"/>
    </row>
    <row r="171" ht="15.75" customHeight="1">
      <c r="B171" s="3"/>
      <c r="D171" s="3"/>
      <c r="G171" s="10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11"/>
    </row>
    <row r="172" ht="15.75" customHeight="1">
      <c r="B172" s="3"/>
      <c r="D172" s="3"/>
      <c r="G172" s="10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11"/>
    </row>
    <row r="173" ht="15.75" customHeight="1">
      <c r="B173" s="3"/>
      <c r="D173" s="3"/>
      <c r="G173" s="10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11"/>
    </row>
    <row r="174" ht="15.75" customHeight="1">
      <c r="B174" s="3"/>
      <c r="D174" s="3"/>
      <c r="G174" s="10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11"/>
    </row>
    <row r="175" ht="15.75" customHeight="1">
      <c r="B175" s="3"/>
      <c r="D175" s="3"/>
      <c r="G175" s="10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11"/>
    </row>
    <row r="176" ht="15.75" customHeight="1">
      <c r="B176" s="3"/>
      <c r="D176" s="3"/>
      <c r="G176" s="10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11"/>
    </row>
    <row r="177" ht="15.75" customHeight="1">
      <c r="B177" s="3"/>
      <c r="D177" s="3"/>
      <c r="G177" s="10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11"/>
    </row>
    <row r="178" ht="15.75" customHeight="1">
      <c r="B178" s="3"/>
      <c r="D178" s="3"/>
      <c r="G178" s="10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11"/>
    </row>
    <row r="179" ht="15.75" customHeight="1">
      <c r="B179" s="3"/>
      <c r="D179" s="3"/>
      <c r="G179" s="10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11"/>
    </row>
    <row r="180" ht="15.75" customHeight="1">
      <c r="B180" s="3"/>
      <c r="D180" s="3"/>
      <c r="G180" s="10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11"/>
    </row>
    <row r="181" ht="15.75" customHeight="1">
      <c r="B181" s="3"/>
      <c r="D181" s="3"/>
      <c r="G181" s="10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11"/>
    </row>
    <row r="182" ht="15.75" customHeight="1">
      <c r="B182" s="3"/>
      <c r="D182" s="3"/>
      <c r="G182" s="10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11"/>
    </row>
    <row r="183" ht="15.75" customHeight="1">
      <c r="B183" s="3"/>
      <c r="D183" s="3"/>
      <c r="G183" s="10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11"/>
    </row>
    <row r="184" ht="15.75" customHeight="1">
      <c r="B184" s="3"/>
      <c r="D184" s="3"/>
      <c r="G184" s="10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11"/>
    </row>
    <row r="185" ht="15.75" customHeight="1">
      <c r="B185" s="3"/>
      <c r="D185" s="3"/>
      <c r="G185" s="10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11"/>
    </row>
    <row r="186" ht="15.75" customHeight="1">
      <c r="B186" s="3"/>
      <c r="D186" s="3"/>
      <c r="G186" s="10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11"/>
    </row>
    <row r="187" ht="15.75" customHeight="1">
      <c r="B187" s="3"/>
      <c r="D187" s="3"/>
      <c r="G187" s="10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11"/>
    </row>
    <row r="188" ht="15.75" customHeight="1">
      <c r="B188" s="3"/>
      <c r="D188" s="3"/>
      <c r="G188" s="10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11"/>
    </row>
    <row r="189" ht="15.75" customHeight="1">
      <c r="B189" s="3"/>
      <c r="D189" s="3"/>
      <c r="G189" s="10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11"/>
    </row>
    <row r="190" ht="15.75" customHeight="1">
      <c r="B190" s="3"/>
      <c r="D190" s="3"/>
      <c r="G190" s="10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11"/>
    </row>
    <row r="191" ht="15.75" customHeight="1">
      <c r="B191" s="3"/>
      <c r="D191" s="3"/>
      <c r="G191" s="10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11"/>
    </row>
    <row r="192" ht="15.75" customHeight="1">
      <c r="B192" s="3"/>
      <c r="D192" s="3"/>
      <c r="G192" s="10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11"/>
    </row>
    <row r="193" ht="15.75" customHeight="1">
      <c r="B193" s="3"/>
      <c r="D193" s="3"/>
      <c r="G193" s="10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11"/>
    </row>
    <row r="194" ht="15.75" customHeight="1">
      <c r="B194" s="3"/>
      <c r="D194" s="3"/>
      <c r="G194" s="10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11"/>
    </row>
    <row r="195" ht="15.75" customHeight="1">
      <c r="B195" s="3"/>
      <c r="D195" s="3"/>
      <c r="G195" s="10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11"/>
    </row>
    <row r="196" ht="15.75" customHeight="1">
      <c r="B196" s="3"/>
      <c r="D196" s="3"/>
      <c r="G196" s="10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11"/>
    </row>
    <row r="197" ht="15.75" customHeight="1">
      <c r="B197" s="3"/>
      <c r="D197" s="3"/>
      <c r="G197" s="10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11"/>
    </row>
    <row r="198" ht="15.75" customHeight="1">
      <c r="B198" s="3"/>
      <c r="D198" s="3"/>
      <c r="G198" s="10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11"/>
    </row>
    <row r="199" ht="15.75" customHeight="1">
      <c r="B199" s="3"/>
      <c r="D199" s="3"/>
      <c r="G199" s="10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11"/>
    </row>
    <row r="200" ht="15.75" customHeight="1">
      <c r="B200" s="3"/>
      <c r="D200" s="3"/>
      <c r="G200" s="10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11"/>
    </row>
    <row r="201" ht="15.75" customHeight="1">
      <c r="B201" s="3"/>
      <c r="D201" s="3"/>
      <c r="G201" s="10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11"/>
    </row>
    <row r="202" ht="15.75" customHeight="1">
      <c r="B202" s="3"/>
      <c r="D202" s="3"/>
      <c r="G202" s="10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11"/>
    </row>
    <row r="203" ht="15.75" customHeight="1">
      <c r="B203" s="3"/>
      <c r="D203" s="3"/>
      <c r="G203" s="10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11"/>
    </row>
    <row r="204" ht="15.75" customHeight="1">
      <c r="B204" s="3"/>
      <c r="D204" s="3"/>
      <c r="G204" s="10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11"/>
    </row>
    <row r="205" ht="15.75" customHeight="1">
      <c r="B205" s="3"/>
      <c r="D205" s="3"/>
      <c r="G205" s="10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11"/>
    </row>
    <row r="206" ht="15.75" customHeight="1">
      <c r="B206" s="3"/>
      <c r="D206" s="3"/>
      <c r="G206" s="10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11"/>
    </row>
    <row r="207" ht="15.75" customHeight="1">
      <c r="B207" s="3"/>
      <c r="D207" s="3"/>
      <c r="G207" s="10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11"/>
    </row>
    <row r="208" ht="15.75" customHeight="1">
      <c r="B208" s="3"/>
      <c r="D208" s="3"/>
      <c r="G208" s="10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11"/>
    </row>
    <row r="209" ht="15.75" customHeight="1">
      <c r="B209" s="3"/>
      <c r="D209" s="3"/>
      <c r="G209" s="10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11"/>
    </row>
    <row r="210" ht="15.75" customHeight="1">
      <c r="B210" s="3"/>
      <c r="D210" s="3"/>
      <c r="G210" s="10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11"/>
    </row>
    <row r="211" ht="15.75" customHeight="1">
      <c r="B211" s="3"/>
      <c r="D211" s="3"/>
      <c r="G211" s="10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11"/>
    </row>
    <row r="212" ht="15.75" customHeight="1">
      <c r="B212" s="3"/>
      <c r="D212" s="3"/>
      <c r="G212" s="10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11"/>
    </row>
    <row r="213" ht="15.75" customHeight="1">
      <c r="B213" s="3"/>
      <c r="D213" s="3"/>
      <c r="G213" s="10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11"/>
    </row>
    <row r="214" ht="15.75" customHeight="1">
      <c r="B214" s="3"/>
      <c r="D214" s="3"/>
      <c r="G214" s="10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11"/>
    </row>
    <row r="215" ht="15.75" customHeight="1">
      <c r="B215" s="3"/>
      <c r="D215" s="3"/>
      <c r="G215" s="10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11"/>
    </row>
    <row r="216" ht="15.75" customHeight="1">
      <c r="B216" s="3"/>
      <c r="D216" s="3"/>
      <c r="G216" s="10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11"/>
    </row>
    <row r="217" ht="15.75" customHeight="1">
      <c r="B217" s="3"/>
      <c r="D217" s="3"/>
      <c r="G217" s="10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11"/>
    </row>
    <row r="218" ht="15.75" customHeight="1">
      <c r="B218" s="3"/>
      <c r="D218" s="3"/>
      <c r="G218" s="10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11"/>
    </row>
    <row r="219" ht="15.75" customHeight="1">
      <c r="B219" s="3"/>
      <c r="D219" s="3"/>
      <c r="G219" s="10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11"/>
    </row>
    <row r="220" ht="15.75" customHeight="1">
      <c r="B220" s="3"/>
      <c r="D220" s="3"/>
      <c r="G220" s="10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11"/>
    </row>
    <row r="221" ht="15.75" customHeight="1">
      <c r="B221" s="3"/>
      <c r="D221" s="3"/>
      <c r="G221" s="10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11"/>
    </row>
    <row r="222" ht="15.75" customHeight="1">
      <c r="B222" s="3"/>
      <c r="D222" s="3"/>
      <c r="G222" s="10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11"/>
    </row>
    <row r="223" ht="15.75" customHeight="1">
      <c r="B223" s="3"/>
      <c r="D223" s="3"/>
      <c r="G223" s="10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11"/>
    </row>
    <row r="224" ht="15.75" customHeight="1">
      <c r="B224" s="3"/>
      <c r="D224" s="3"/>
      <c r="G224" s="10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11"/>
    </row>
    <row r="225" ht="15.75" customHeight="1">
      <c r="B225" s="3"/>
      <c r="D225" s="3"/>
      <c r="G225" s="10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11"/>
    </row>
    <row r="226" ht="15.75" customHeight="1">
      <c r="B226" s="3"/>
      <c r="D226" s="3"/>
      <c r="G226" s="10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11"/>
    </row>
    <row r="227" ht="15.75" customHeight="1">
      <c r="B227" s="3"/>
      <c r="D227" s="3"/>
      <c r="G227" s="10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11"/>
    </row>
    <row r="228" ht="15.75" customHeight="1">
      <c r="B228" s="3"/>
      <c r="D228" s="3"/>
      <c r="G228" s="10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11"/>
    </row>
    <row r="229" ht="15.75" customHeight="1">
      <c r="B229" s="3"/>
      <c r="D229" s="3"/>
      <c r="G229" s="10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11"/>
    </row>
    <row r="230" ht="15.75" customHeight="1">
      <c r="B230" s="3"/>
      <c r="D230" s="3"/>
      <c r="G230" s="10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11"/>
    </row>
    <row r="231" ht="15.75" customHeight="1">
      <c r="B231" s="3"/>
      <c r="D231" s="3"/>
      <c r="G231" s="10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11"/>
    </row>
    <row r="232" ht="15.75" customHeight="1">
      <c r="B232" s="3"/>
      <c r="D232" s="3"/>
      <c r="G232" s="10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11"/>
    </row>
    <row r="233" ht="15.75" customHeight="1">
      <c r="B233" s="3"/>
      <c r="D233" s="3"/>
      <c r="G233" s="10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11"/>
    </row>
    <row r="234" ht="15.75" customHeight="1">
      <c r="B234" s="3"/>
      <c r="D234" s="3"/>
      <c r="G234" s="10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11"/>
    </row>
    <row r="235" ht="15.75" customHeight="1">
      <c r="B235" s="3"/>
      <c r="D235" s="3"/>
      <c r="G235" s="10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11"/>
    </row>
    <row r="236" ht="15.75" customHeight="1">
      <c r="B236" s="3"/>
      <c r="D236" s="3"/>
      <c r="G236" s="10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11"/>
    </row>
    <row r="237" ht="15.75" customHeight="1">
      <c r="B237" s="3"/>
      <c r="D237" s="3"/>
      <c r="G237" s="10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11"/>
    </row>
    <row r="238" ht="15.75" customHeight="1">
      <c r="B238" s="3"/>
      <c r="D238" s="3"/>
      <c r="G238" s="10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11"/>
    </row>
    <row r="239" ht="15.75" customHeight="1">
      <c r="B239" s="3"/>
      <c r="D239" s="3"/>
      <c r="G239" s="10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11"/>
    </row>
    <row r="240" ht="15.75" customHeight="1">
      <c r="B240" s="3"/>
      <c r="D240" s="3"/>
      <c r="G240" s="10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11"/>
    </row>
    <row r="241" ht="15.75" customHeight="1">
      <c r="B241" s="3"/>
      <c r="D241" s="3"/>
      <c r="G241" s="10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11"/>
    </row>
    <row r="242" ht="15.75" customHeight="1">
      <c r="B242" s="3"/>
      <c r="D242" s="3"/>
      <c r="G242" s="10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11"/>
    </row>
    <row r="243" ht="15.75" customHeight="1">
      <c r="B243" s="3"/>
      <c r="D243" s="3"/>
      <c r="G243" s="10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11"/>
    </row>
    <row r="244" ht="15.75" customHeight="1">
      <c r="B244" s="3"/>
      <c r="D244" s="3"/>
      <c r="G244" s="10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11"/>
    </row>
    <row r="245" ht="15.75" customHeight="1">
      <c r="B245" s="3"/>
      <c r="D245" s="3"/>
      <c r="G245" s="10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11"/>
    </row>
    <row r="246" ht="15.75" customHeight="1">
      <c r="B246" s="3"/>
      <c r="D246" s="3"/>
      <c r="G246" s="10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11"/>
    </row>
    <row r="247" ht="15.75" customHeight="1">
      <c r="B247" s="3"/>
      <c r="D247" s="3"/>
      <c r="G247" s="10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11"/>
    </row>
    <row r="248" ht="15.75" customHeight="1">
      <c r="B248" s="3"/>
      <c r="D248" s="3"/>
      <c r="G248" s="10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11"/>
    </row>
    <row r="249" ht="15.75" customHeight="1">
      <c r="B249" s="3"/>
      <c r="D249" s="3"/>
      <c r="G249" s="10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11"/>
    </row>
    <row r="250" ht="15.75" customHeight="1">
      <c r="B250" s="3"/>
      <c r="D250" s="3"/>
      <c r="G250" s="10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11"/>
    </row>
    <row r="251" ht="15.75" customHeight="1">
      <c r="B251" s="3"/>
      <c r="D251" s="3"/>
      <c r="G251" s="10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11"/>
    </row>
    <row r="252" ht="15.75" customHeight="1">
      <c r="B252" s="3"/>
      <c r="D252" s="3"/>
      <c r="G252" s="10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11"/>
    </row>
    <row r="253" ht="15.75" customHeight="1">
      <c r="B253" s="3"/>
      <c r="D253" s="3"/>
      <c r="G253" s="10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11"/>
    </row>
    <row r="254" ht="15.75" customHeight="1">
      <c r="B254" s="3"/>
      <c r="D254" s="3"/>
      <c r="G254" s="10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11"/>
    </row>
    <row r="255" ht="15.75" customHeight="1">
      <c r="B255" s="3"/>
      <c r="D255" s="3"/>
      <c r="G255" s="10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11"/>
    </row>
    <row r="256" ht="15.75" customHeight="1">
      <c r="B256" s="3"/>
      <c r="D256" s="3"/>
      <c r="G256" s="10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11"/>
    </row>
    <row r="257" ht="15.75" customHeight="1">
      <c r="B257" s="3"/>
      <c r="D257" s="3"/>
      <c r="G257" s="10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11"/>
    </row>
    <row r="258" ht="15.75" customHeight="1">
      <c r="B258" s="3"/>
      <c r="D258" s="3"/>
      <c r="G258" s="10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11"/>
    </row>
    <row r="259" ht="15.75" customHeight="1">
      <c r="B259" s="3"/>
      <c r="D259" s="3"/>
      <c r="G259" s="10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11"/>
    </row>
    <row r="260" ht="15.75" customHeight="1">
      <c r="B260" s="3"/>
      <c r="D260" s="3"/>
      <c r="G260" s="10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11"/>
    </row>
    <row r="261" ht="15.75" customHeight="1">
      <c r="B261" s="3"/>
      <c r="D261" s="3"/>
      <c r="G261" s="10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11"/>
    </row>
    <row r="262" ht="15.75" customHeight="1">
      <c r="B262" s="3"/>
      <c r="D262" s="3"/>
      <c r="G262" s="10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11"/>
    </row>
    <row r="263" ht="15.75" customHeight="1">
      <c r="B263" s="3"/>
      <c r="D263" s="3"/>
      <c r="G263" s="10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11"/>
    </row>
    <row r="264" ht="15.75" customHeight="1">
      <c r="B264" s="3"/>
      <c r="D264" s="3"/>
      <c r="G264" s="10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11"/>
    </row>
    <row r="265" ht="15.75" customHeight="1">
      <c r="B265" s="3"/>
      <c r="D265" s="3"/>
      <c r="G265" s="10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11"/>
    </row>
    <row r="266" ht="15.75" customHeight="1">
      <c r="B266" s="3"/>
      <c r="D266" s="3"/>
      <c r="G266" s="10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11"/>
    </row>
    <row r="267" ht="15.75" customHeight="1">
      <c r="B267" s="3"/>
      <c r="D267" s="3"/>
      <c r="G267" s="10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11"/>
    </row>
    <row r="268" ht="15.75" customHeight="1">
      <c r="B268" s="3"/>
      <c r="D268" s="3"/>
      <c r="G268" s="10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11"/>
    </row>
    <row r="269" ht="15.75" customHeight="1">
      <c r="B269" s="3"/>
      <c r="D269" s="3"/>
      <c r="G269" s="10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11"/>
    </row>
    <row r="270" ht="15.75" customHeight="1">
      <c r="B270" s="3"/>
      <c r="D270" s="3"/>
      <c r="G270" s="10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11"/>
    </row>
    <row r="271" ht="15.75" customHeight="1">
      <c r="B271" s="3"/>
      <c r="D271" s="3"/>
      <c r="G271" s="10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11"/>
    </row>
    <row r="272" ht="15.75" customHeight="1">
      <c r="B272" s="3"/>
      <c r="D272" s="3"/>
      <c r="G272" s="10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11"/>
    </row>
    <row r="273" ht="15.75" customHeight="1">
      <c r="B273" s="3"/>
      <c r="D273" s="3"/>
      <c r="G273" s="10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11"/>
    </row>
    <row r="274" ht="15.75" customHeight="1">
      <c r="B274" s="3"/>
      <c r="D274" s="3"/>
      <c r="G274" s="10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11"/>
    </row>
    <row r="275" ht="15.75" customHeight="1">
      <c r="B275" s="3"/>
      <c r="D275" s="3"/>
      <c r="G275" s="10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11"/>
    </row>
    <row r="276" ht="15.75" customHeight="1">
      <c r="B276" s="3"/>
      <c r="D276" s="3"/>
      <c r="G276" s="10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11"/>
    </row>
    <row r="277" ht="15.75" customHeight="1">
      <c r="B277" s="3"/>
      <c r="D277" s="3"/>
      <c r="G277" s="10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11"/>
    </row>
    <row r="278" ht="15.75" customHeight="1">
      <c r="B278" s="3"/>
      <c r="D278" s="3"/>
      <c r="G278" s="10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11"/>
    </row>
    <row r="279" ht="15.75" customHeight="1">
      <c r="B279" s="3"/>
      <c r="D279" s="3"/>
      <c r="G279" s="10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11"/>
    </row>
    <row r="280" ht="15.75" customHeight="1">
      <c r="B280" s="3"/>
      <c r="D280" s="3"/>
      <c r="G280" s="10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11"/>
    </row>
    <row r="281" ht="15.75" customHeight="1">
      <c r="B281" s="3"/>
      <c r="D281" s="3"/>
      <c r="G281" s="10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11"/>
    </row>
    <row r="282" ht="15.75" customHeight="1">
      <c r="B282" s="3"/>
      <c r="D282" s="3"/>
      <c r="G282" s="10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11"/>
    </row>
    <row r="283" ht="15.75" customHeight="1">
      <c r="B283" s="3"/>
      <c r="D283" s="3"/>
      <c r="G283" s="10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11"/>
    </row>
    <row r="284" ht="15.75" customHeight="1">
      <c r="B284" s="3"/>
      <c r="D284" s="3"/>
      <c r="G284" s="10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11"/>
    </row>
    <row r="285" ht="15.75" customHeight="1">
      <c r="B285" s="3"/>
      <c r="D285" s="3"/>
      <c r="G285" s="10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11"/>
    </row>
    <row r="286" ht="15.75" customHeight="1">
      <c r="B286" s="3"/>
      <c r="D286" s="3"/>
      <c r="G286" s="10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11"/>
    </row>
    <row r="287" ht="15.75" customHeight="1">
      <c r="B287" s="3"/>
      <c r="D287" s="3"/>
      <c r="G287" s="10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11"/>
    </row>
    <row r="288" ht="15.75" customHeight="1">
      <c r="B288" s="3"/>
      <c r="D288" s="3"/>
      <c r="G288" s="10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11"/>
    </row>
    <row r="289" ht="15.75" customHeight="1">
      <c r="B289" s="3"/>
      <c r="D289" s="3"/>
      <c r="G289" s="10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11"/>
    </row>
    <row r="290" ht="15.75" customHeight="1">
      <c r="B290" s="3"/>
      <c r="D290" s="3"/>
      <c r="G290" s="10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11"/>
    </row>
    <row r="291" ht="15.75" customHeight="1">
      <c r="B291" s="3"/>
      <c r="D291" s="3"/>
      <c r="G291" s="10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11"/>
    </row>
    <row r="292" ht="15.75" customHeight="1">
      <c r="B292" s="3"/>
      <c r="D292" s="3"/>
      <c r="G292" s="10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11"/>
    </row>
    <row r="293" ht="15.75" customHeight="1">
      <c r="B293" s="3"/>
      <c r="D293" s="3"/>
      <c r="G293" s="10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11"/>
    </row>
    <row r="294" ht="15.75" customHeight="1">
      <c r="B294" s="3"/>
      <c r="D294" s="3"/>
      <c r="G294" s="10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11"/>
    </row>
    <row r="295" ht="15.75" customHeight="1">
      <c r="B295" s="3"/>
      <c r="D295" s="3"/>
      <c r="G295" s="10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11"/>
    </row>
    <row r="296" ht="15.75" customHeight="1">
      <c r="B296" s="3"/>
      <c r="D296" s="3"/>
      <c r="G296" s="10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11"/>
    </row>
    <row r="297" ht="15.75" customHeight="1">
      <c r="B297" s="3"/>
      <c r="D297" s="3"/>
      <c r="G297" s="10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11"/>
    </row>
    <row r="298" ht="15.75" customHeight="1">
      <c r="B298" s="3"/>
      <c r="D298" s="3"/>
      <c r="G298" s="10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11"/>
    </row>
    <row r="299" ht="15.75" customHeight="1">
      <c r="B299" s="3"/>
      <c r="D299" s="3"/>
      <c r="G299" s="10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11"/>
    </row>
    <row r="300" ht="15.75" customHeight="1">
      <c r="B300" s="3"/>
      <c r="D300" s="3"/>
      <c r="G300" s="10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11"/>
    </row>
    <row r="301" ht="15.75" customHeight="1">
      <c r="B301" s="3"/>
      <c r="D301" s="3"/>
      <c r="G301" s="10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11"/>
    </row>
    <row r="302" ht="15.75" customHeight="1">
      <c r="B302" s="3"/>
      <c r="D302" s="3"/>
      <c r="G302" s="10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11"/>
    </row>
    <row r="303" ht="15.75" customHeight="1">
      <c r="B303" s="3"/>
      <c r="D303" s="3"/>
      <c r="G303" s="10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11"/>
    </row>
    <row r="304" ht="15.75" customHeight="1">
      <c r="B304" s="3"/>
      <c r="D304" s="3"/>
      <c r="G304" s="10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11"/>
    </row>
    <row r="305" ht="15.75" customHeight="1">
      <c r="B305" s="3"/>
      <c r="D305" s="3"/>
      <c r="G305" s="10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11"/>
    </row>
    <row r="306" ht="15.75" customHeight="1">
      <c r="B306" s="3"/>
      <c r="D306" s="3"/>
      <c r="G306" s="10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11"/>
    </row>
    <row r="307" ht="15.75" customHeight="1">
      <c r="B307" s="3"/>
      <c r="D307" s="3"/>
      <c r="G307" s="10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11"/>
    </row>
    <row r="308" ht="15.75" customHeight="1">
      <c r="B308" s="3"/>
      <c r="D308" s="3"/>
      <c r="G308" s="10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11"/>
    </row>
    <row r="309" ht="15.75" customHeight="1">
      <c r="B309" s="3"/>
      <c r="D309" s="3"/>
      <c r="G309" s="10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11"/>
    </row>
    <row r="310" ht="15.75" customHeight="1">
      <c r="B310" s="3"/>
      <c r="D310" s="3"/>
      <c r="G310" s="10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11"/>
    </row>
    <row r="311" ht="15.75" customHeight="1">
      <c r="G311" s="10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11"/>
    </row>
    <row r="312" ht="15.75" customHeight="1">
      <c r="G312" s="10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11"/>
    </row>
    <row r="313" ht="15.75" customHeight="1">
      <c r="G313" s="10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11"/>
    </row>
    <row r="314" ht="15.75" customHeight="1">
      <c r="G314" s="10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11"/>
    </row>
    <row r="315" ht="15.75" customHeight="1">
      <c r="G315" s="10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11"/>
    </row>
    <row r="316" ht="15.75" customHeight="1">
      <c r="G316" s="10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11"/>
    </row>
    <row r="317" ht="15.75" customHeight="1">
      <c r="G317" s="10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11"/>
    </row>
    <row r="318" ht="15.75" customHeight="1">
      <c r="G318" s="10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11"/>
    </row>
    <row r="319" ht="15.75" customHeight="1">
      <c r="G319" s="10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11"/>
    </row>
    <row r="320" ht="15.75" customHeight="1">
      <c r="G320" s="10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11"/>
    </row>
    <row r="321" ht="15.75" customHeight="1">
      <c r="G321" s="10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11"/>
    </row>
    <row r="322" ht="15.75" customHeight="1">
      <c r="G322" s="10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11"/>
    </row>
    <row r="323" ht="15.75" customHeight="1">
      <c r="G323" s="10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11"/>
    </row>
    <row r="324" ht="15.75" customHeight="1">
      <c r="G324" s="10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11"/>
    </row>
    <row r="325" ht="15.75" customHeight="1">
      <c r="G325" s="10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11"/>
    </row>
    <row r="326" ht="15.75" customHeight="1">
      <c r="G326" s="10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11"/>
    </row>
    <row r="327" ht="15.75" customHeight="1">
      <c r="G327" s="10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11"/>
    </row>
    <row r="328" ht="15.75" customHeight="1">
      <c r="G328" s="10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11"/>
    </row>
    <row r="329" ht="15.75" customHeight="1">
      <c r="G329" s="10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11"/>
    </row>
    <row r="330" ht="15.75" customHeight="1">
      <c r="G330" s="10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11"/>
    </row>
    <row r="331" ht="15.75" customHeight="1">
      <c r="G331" s="10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11"/>
    </row>
    <row r="332" ht="15.75" customHeight="1">
      <c r="G332" s="10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11"/>
    </row>
    <row r="333" ht="15.75" customHeight="1">
      <c r="G333" s="10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11"/>
    </row>
    <row r="334" ht="15.75" customHeight="1">
      <c r="G334" s="10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11"/>
    </row>
    <row r="335" ht="15.75" customHeight="1">
      <c r="G335" s="10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11"/>
    </row>
    <row r="336" ht="15.75" customHeight="1">
      <c r="G336" s="10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11"/>
    </row>
    <row r="337" ht="15.75" customHeight="1">
      <c r="G337" s="10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11"/>
    </row>
    <row r="338" ht="15.75" customHeight="1">
      <c r="G338" s="10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11"/>
    </row>
    <row r="339" ht="15.75" customHeight="1">
      <c r="G339" s="10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11"/>
    </row>
    <row r="340" ht="15.75" customHeight="1">
      <c r="G340" s="10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11"/>
    </row>
    <row r="341" ht="15.75" customHeight="1">
      <c r="G341" s="10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11"/>
    </row>
    <row r="342" ht="15.75" customHeight="1">
      <c r="G342" s="10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11"/>
    </row>
    <row r="343" ht="15.75" customHeight="1">
      <c r="G343" s="10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11"/>
    </row>
    <row r="344" ht="15.75" customHeight="1">
      <c r="G344" s="10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11"/>
    </row>
    <row r="345" ht="15.75" customHeight="1">
      <c r="G345" s="10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11"/>
    </row>
    <row r="346" ht="15.75" customHeight="1">
      <c r="G346" s="10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11"/>
    </row>
    <row r="347" ht="15.75" customHeight="1">
      <c r="G347" s="10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11"/>
    </row>
    <row r="348" ht="15.75" customHeight="1">
      <c r="G348" s="10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11"/>
    </row>
    <row r="349" ht="15.75" customHeight="1">
      <c r="G349" s="10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11"/>
    </row>
    <row r="350" ht="15.75" customHeight="1">
      <c r="G350" s="10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11"/>
    </row>
    <row r="351" ht="15.75" customHeight="1">
      <c r="G351" s="10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11"/>
    </row>
    <row r="352" ht="15.75" customHeight="1">
      <c r="G352" s="10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11"/>
    </row>
    <row r="353" ht="15.75" customHeight="1">
      <c r="G353" s="10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11"/>
    </row>
    <row r="354" ht="15.75" customHeight="1">
      <c r="G354" s="10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11"/>
    </row>
    <row r="355" ht="15.75" customHeight="1">
      <c r="G355" s="10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11"/>
    </row>
    <row r="356" ht="15.75" customHeight="1">
      <c r="G356" s="10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11"/>
    </row>
    <row r="357" ht="15.75" customHeight="1">
      <c r="G357" s="10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11"/>
    </row>
    <row r="358" ht="15.75" customHeight="1">
      <c r="G358" s="10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11"/>
    </row>
    <row r="359" ht="15.75" customHeight="1">
      <c r="G359" s="10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11"/>
    </row>
    <row r="360" ht="15.75" customHeight="1">
      <c r="G360" s="10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11"/>
    </row>
    <row r="361" ht="15.75" customHeight="1">
      <c r="G361" s="10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11"/>
    </row>
    <row r="362" ht="15.75" customHeight="1">
      <c r="G362" s="10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11"/>
    </row>
    <row r="363" ht="15.75" customHeight="1">
      <c r="G363" s="10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11"/>
    </row>
    <row r="364" ht="15.75" customHeight="1">
      <c r="G364" s="10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11"/>
    </row>
    <row r="365" ht="15.75" customHeight="1">
      <c r="G365" s="10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11"/>
    </row>
    <row r="366" ht="15.75" customHeight="1">
      <c r="G366" s="10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11"/>
    </row>
    <row r="367" ht="15.75" customHeight="1">
      <c r="G367" s="10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11"/>
    </row>
    <row r="368" ht="15.75" customHeight="1">
      <c r="G368" s="10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11"/>
    </row>
    <row r="369" ht="15.75" customHeight="1">
      <c r="G369" s="10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11"/>
    </row>
    <row r="370" ht="15.75" customHeight="1">
      <c r="G370" s="10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11"/>
    </row>
    <row r="371" ht="15.75" customHeight="1">
      <c r="G371" s="10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11"/>
    </row>
    <row r="372" ht="15.75" customHeight="1">
      <c r="G372" s="10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11"/>
    </row>
    <row r="373" ht="15.75" customHeight="1">
      <c r="G373" s="10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11"/>
    </row>
    <row r="374" ht="15.75" customHeight="1">
      <c r="G374" s="10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11"/>
    </row>
    <row r="375" ht="15.75" customHeight="1">
      <c r="G375" s="10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11"/>
    </row>
    <row r="376" ht="15.75" customHeight="1">
      <c r="G376" s="10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11"/>
    </row>
    <row r="377" ht="15.75" customHeight="1">
      <c r="G377" s="10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11"/>
    </row>
    <row r="378" ht="15.75" customHeight="1">
      <c r="G378" s="10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11"/>
    </row>
    <row r="379" ht="15.75" customHeight="1">
      <c r="G379" s="10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11"/>
    </row>
    <row r="380" ht="15.75" customHeight="1">
      <c r="G380" s="10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11"/>
    </row>
    <row r="381" ht="15.75" customHeight="1">
      <c r="G381" s="10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11"/>
    </row>
    <row r="382" ht="15.75" customHeight="1">
      <c r="G382" s="10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11"/>
    </row>
    <row r="383" ht="15.75" customHeight="1">
      <c r="G383" s="10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11"/>
    </row>
    <row r="384" ht="15.75" customHeight="1">
      <c r="G384" s="10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11"/>
    </row>
    <row r="385" ht="15.75" customHeight="1">
      <c r="G385" s="10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11"/>
    </row>
    <row r="386" ht="15.75" customHeight="1">
      <c r="G386" s="10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11"/>
    </row>
    <row r="387" ht="15.75" customHeight="1">
      <c r="G387" s="10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11"/>
    </row>
    <row r="388" ht="15.75" customHeight="1">
      <c r="G388" s="10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11"/>
    </row>
    <row r="389" ht="15.75" customHeight="1">
      <c r="G389" s="10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11"/>
    </row>
    <row r="390" ht="15.75" customHeight="1">
      <c r="G390" s="10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11"/>
    </row>
    <row r="391" ht="15.75" customHeight="1">
      <c r="G391" s="10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11"/>
    </row>
    <row r="392" ht="15.75" customHeight="1">
      <c r="G392" s="10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11"/>
    </row>
    <row r="393" ht="15.75" customHeight="1">
      <c r="G393" s="10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11"/>
    </row>
    <row r="394" ht="15.75" customHeight="1">
      <c r="G394" s="10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11"/>
    </row>
    <row r="395" ht="15.75" customHeight="1">
      <c r="G395" s="10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11"/>
    </row>
    <row r="396" ht="15.75" customHeight="1">
      <c r="G396" s="10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11"/>
    </row>
    <row r="397" ht="15.75" customHeight="1">
      <c r="G397" s="10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11"/>
    </row>
    <row r="398" ht="15.75" customHeight="1">
      <c r="G398" s="10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11"/>
    </row>
    <row r="399" ht="15.75" customHeight="1">
      <c r="G399" s="10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11"/>
    </row>
    <row r="400" ht="15.75" customHeight="1">
      <c r="G400" s="10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11"/>
    </row>
    <row r="401" ht="15.75" customHeight="1">
      <c r="G401" s="10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11"/>
    </row>
    <row r="402" ht="15.75" customHeight="1">
      <c r="G402" s="10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11"/>
    </row>
    <row r="403" ht="15.75" customHeight="1">
      <c r="G403" s="10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11"/>
    </row>
    <row r="404" ht="15.75" customHeight="1">
      <c r="G404" s="10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11"/>
    </row>
    <row r="405" ht="15.75" customHeight="1">
      <c r="G405" s="10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11"/>
    </row>
    <row r="406" ht="15.75" customHeight="1">
      <c r="G406" s="10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11"/>
    </row>
    <row r="407" ht="15.75" customHeight="1">
      <c r="G407" s="10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11"/>
    </row>
    <row r="408" ht="15.75" customHeight="1">
      <c r="G408" s="10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11"/>
    </row>
    <row r="409" ht="15.75" customHeight="1">
      <c r="G409" s="10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11"/>
    </row>
    <row r="410" ht="15.75" customHeight="1">
      <c r="G410" s="10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11"/>
    </row>
    <row r="411" ht="15.75" customHeight="1">
      <c r="G411" s="10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11"/>
    </row>
    <row r="412" ht="15.75" customHeight="1">
      <c r="G412" s="10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11"/>
    </row>
    <row r="413" ht="15.75" customHeight="1">
      <c r="G413" s="10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11"/>
    </row>
    <row r="414" ht="15.75" customHeight="1">
      <c r="G414" s="10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11"/>
    </row>
    <row r="415" ht="15.75" customHeight="1">
      <c r="G415" s="10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11"/>
    </row>
    <row r="416" ht="15.75" customHeight="1">
      <c r="G416" s="10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11"/>
    </row>
    <row r="417" ht="15.75" customHeight="1">
      <c r="G417" s="10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11"/>
    </row>
    <row r="418" ht="15.75" customHeight="1">
      <c r="G418" s="10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11"/>
    </row>
    <row r="419" ht="15.75" customHeight="1">
      <c r="G419" s="10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11"/>
    </row>
    <row r="420" ht="15.75" customHeight="1">
      <c r="G420" s="10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11"/>
    </row>
    <row r="421" ht="15.75" customHeight="1">
      <c r="G421" s="10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11"/>
    </row>
    <row r="422" ht="15.75" customHeight="1">
      <c r="G422" s="10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11"/>
    </row>
    <row r="423" ht="15.75" customHeight="1">
      <c r="G423" s="10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11"/>
    </row>
    <row r="424" ht="15.75" customHeight="1">
      <c r="G424" s="10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11"/>
    </row>
    <row r="425" ht="15.75" customHeight="1">
      <c r="G425" s="10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11"/>
    </row>
    <row r="426" ht="15.75" customHeight="1">
      <c r="G426" s="10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11"/>
    </row>
    <row r="427" ht="15.75" customHeight="1">
      <c r="G427" s="10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11"/>
    </row>
    <row r="428" ht="15.75" customHeight="1">
      <c r="G428" s="10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11"/>
    </row>
    <row r="429" ht="15.75" customHeight="1">
      <c r="G429" s="10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11"/>
    </row>
    <row r="430" ht="15.75" customHeight="1">
      <c r="G430" s="10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11"/>
    </row>
    <row r="431" ht="15.75" customHeight="1">
      <c r="G431" s="10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11"/>
    </row>
    <row r="432" ht="15.75" customHeight="1">
      <c r="G432" s="10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11"/>
    </row>
    <row r="433" ht="15.75" customHeight="1">
      <c r="G433" s="10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11"/>
    </row>
    <row r="434" ht="15.75" customHeight="1">
      <c r="G434" s="10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11"/>
    </row>
    <row r="435" ht="15.75" customHeight="1">
      <c r="G435" s="10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11"/>
    </row>
    <row r="436" ht="15.75" customHeight="1">
      <c r="G436" s="10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11"/>
    </row>
    <row r="437" ht="15.75" customHeight="1">
      <c r="G437" s="10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11"/>
    </row>
    <row r="438" ht="15.75" customHeight="1">
      <c r="G438" s="10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11"/>
    </row>
    <row r="439" ht="15.75" customHeight="1">
      <c r="G439" s="10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11"/>
    </row>
    <row r="440" ht="15.75" customHeight="1">
      <c r="G440" s="10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11"/>
    </row>
    <row r="441" ht="15.75" customHeight="1">
      <c r="G441" s="10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11"/>
    </row>
    <row r="442" ht="15.75" customHeight="1">
      <c r="G442" s="10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11"/>
    </row>
    <row r="443" ht="15.75" customHeight="1">
      <c r="G443" s="10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11"/>
    </row>
    <row r="444" ht="15.75" customHeight="1">
      <c r="G444" s="10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11"/>
    </row>
    <row r="445" ht="15.75" customHeight="1">
      <c r="G445" s="10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11"/>
    </row>
    <row r="446" ht="15.75" customHeight="1">
      <c r="G446" s="10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11"/>
    </row>
    <row r="447" ht="15.75" customHeight="1">
      <c r="G447" s="10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11"/>
    </row>
    <row r="448" ht="15.75" customHeight="1">
      <c r="G448" s="10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11"/>
    </row>
    <row r="449" ht="15.75" customHeight="1">
      <c r="G449" s="10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11"/>
    </row>
    <row r="450" ht="15.75" customHeight="1">
      <c r="G450" s="10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11"/>
    </row>
    <row r="451" ht="15.75" customHeight="1">
      <c r="G451" s="10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11"/>
    </row>
    <row r="452" ht="15.75" customHeight="1">
      <c r="G452" s="10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11"/>
    </row>
    <row r="453" ht="15.75" customHeight="1">
      <c r="G453" s="10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11"/>
    </row>
    <row r="454" ht="15.75" customHeight="1">
      <c r="G454" s="10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11"/>
    </row>
    <row r="455" ht="15.75" customHeight="1">
      <c r="G455" s="10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11"/>
    </row>
    <row r="456" ht="15.75" customHeight="1">
      <c r="G456" s="10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11"/>
    </row>
    <row r="457" ht="15.75" customHeight="1">
      <c r="G457" s="10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11"/>
    </row>
    <row r="458" ht="15.75" customHeight="1">
      <c r="G458" s="10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11"/>
    </row>
    <row r="459" ht="15.75" customHeight="1">
      <c r="G459" s="10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11"/>
    </row>
    <row r="460" ht="15.75" customHeight="1">
      <c r="G460" s="10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11"/>
    </row>
    <row r="461" ht="15.75" customHeight="1">
      <c r="G461" s="10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11"/>
    </row>
    <row r="462" ht="15.75" customHeight="1">
      <c r="G462" s="10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11"/>
    </row>
    <row r="463" ht="15.75" customHeight="1">
      <c r="G463" s="10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11"/>
    </row>
    <row r="464" ht="15.75" customHeight="1">
      <c r="G464" s="10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11"/>
    </row>
    <row r="465" ht="15.75" customHeight="1">
      <c r="G465" s="10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11"/>
    </row>
    <row r="466" ht="15.75" customHeight="1">
      <c r="G466" s="10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11"/>
    </row>
    <row r="467" ht="15.75" customHeight="1">
      <c r="G467" s="10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11"/>
    </row>
    <row r="468" ht="15.75" customHeight="1">
      <c r="G468" s="10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11"/>
    </row>
    <row r="469" ht="15.75" customHeight="1">
      <c r="G469" s="10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11"/>
    </row>
    <row r="470" ht="15.75" customHeight="1">
      <c r="G470" s="10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11"/>
    </row>
    <row r="471" ht="15.75" customHeight="1">
      <c r="G471" s="10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11"/>
    </row>
    <row r="472" ht="15.75" customHeight="1">
      <c r="G472" s="10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11"/>
    </row>
    <row r="473" ht="15.75" customHeight="1">
      <c r="G473" s="10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11"/>
    </row>
    <row r="474" ht="15.75" customHeight="1">
      <c r="G474" s="10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11"/>
    </row>
    <row r="475" ht="15.75" customHeight="1">
      <c r="G475" s="10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11"/>
    </row>
    <row r="476" ht="15.75" customHeight="1">
      <c r="G476" s="10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11"/>
    </row>
    <row r="477" ht="15.75" customHeight="1">
      <c r="G477" s="10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11"/>
    </row>
    <row r="478" ht="15.75" customHeight="1">
      <c r="G478" s="10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11"/>
    </row>
    <row r="479" ht="15.75" customHeight="1">
      <c r="G479" s="10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11"/>
    </row>
    <row r="480" ht="15.75" customHeight="1">
      <c r="G480" s="10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11"/>
    </row>
    <row r="481" ht="15.75" customHeight="1">
      <c r="G481" s="10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11"/>
    </row>
    <row r="482" ht="15.75" customHeight="1">
      <c r="G482" s="10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11"/>
    </row>
    <row r="483" ht="15.75" customHeight="1">
      <c r="G483" s="10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11"/>
    </row>
    <row r="484" ht="15.75" customHeight="1">
      <c r="G484" s="10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11"/>
    </row>
    <row r="485" ht="15.75" customHeight="1">
      <c r="G485" s="10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11"/>
    </row>
    <row r="486" ht="15.75" customHeight="1">
      <c r="G486" s="10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11"/>
    </row>
    <row r="487" ht="15.75" customHeight="1">
      <c r="G487" s="10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11"/>
    </row>
    <row r="488" ht="15.75" customHeight="1">
      <c r="G488" s="10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11"/>
    </row>
    <row r="489" ht="15.75" customHeight="1">
      <c r="G489" s="10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11"/>
    </row>
    <row r="490" ht="15.75" customHeight="1">
      <c r="G490" s="10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11"/>
    </row>
    <row r="491" ht="15.75" customHeight="1">
      <c r="G491" s="10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11"/>
    </row>
    <row r="492" ht="15.75" customHeight="1">
      <c r="G492" s="10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11"/>
    </row>
    <row r="493" ht="15.75" customHeight="1">
      <c r="G493" s="10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11"/>
    </row>
    <row r="494" ht="15.75" customHeight="1">
      <c r="G494" s="10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11"/>
    </row>
    <row r="495" ht="15.75" customHeight="1">
      <c r="G495" s="10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11"/>
    </row>
    <row r="496" ht="15.75" customHeight="1">
      <c r="G496" s="10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11"/>
    </row>
    <row r="497" ht="15.75" customHeight="1">
      <c r="G497" s="10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11"/>
    </row>
    <row r="498" ht="15.75" customHeight="1">
      <c r="G498" s="10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11"/>
    </row>
    <row r="499" ht="15.75" customHeight="1">
      <c r="G499" s="10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11"/>
    </row>
    <row r="500" ht="15.75" customHeight="1">
      <c r="G500" s="10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11"/>
    </row>
    <row r="501" ht="15.75" customHeight="1">
      <c r="G501" s="10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11"/>
    </row>
    <row r="502" ht="15.75" customHeight="1">
      <c r="G502" s="10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11"/>
    </row>
    <row r="503" ht="15.75" customHeight="1">
      <c r="G503" s="10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11"/>
    </row>
    <row r="504" ht="15.75" customHeight="1">
      <c r="G504" s="10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11"/>
    </row>
    <row r="505" ht="15.75" customHeight="1">
      <c r="G505" s="10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11"/>
    </row>
    <row r="506" ht="15.75" customHeight="1">
      <c r="G506" s="10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11"/>
    </row>
    <row r="507" ht="15.75" customHeight="1">
      <c r="G507" s="10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11"/>
    </row>
    <row r="508" ht="15.75" customHeight="1">
      <c r="G508" s="10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11"/>
    </row>
    <row r="509" ht="15.75" customHeight="1">
      <c r="G509" s="10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11"/>
    </row>
    <row r="510" ht="15.75" customHeight="1">
      <c r="G510" s="10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11"/>
    </row>
    <row r="511" ht="15.75" customHeight="1">
      <c r="G511" s="10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11"/>
    </row>
    <row r="512" ht="15.75" customHeight="1">
      <c r="G512" s="10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11"/>
    </row>
    <row r="513" ht="15.75" customHeight="1">
      <c r="G513" s="10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11"/>
    </row>
    <row r="514" ht="15.75" customHeight="1">
      <c r="G514" s="10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11"/>
    </row>
    <row r="515" ht="15.75" customHeight="1">
      <c r="G515" s="10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11"/>
    </row>
    <row r="516" ht="15.75" customHeight="1">
      <c r="G516" s="10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11"/>
    </row>
    <row r="517" ht="15.75" customHeight="1">
      <c r="G517" s="10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11"/>
    </row>
    <row r="518" ht="15.75" customHeight="1">
      <c r="G518" s="10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11"/>
    </row>
    <row r="519" ht="15.75" customHeight="1">
      <c r="G519" s="10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11"/>
    </row>
    <row r="520" ht="15.75" customHeight="1">
      <c r="G520" s="10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11"/>
    </row>
    <row r="521" ht="15.75" customHeight="1">
      <c r="G521" s="10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11"/>
    </row>
    <row r="522" ht="15.75" customHeight="1">
      <c r="G522" s="10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11"/>
    </row>
    <row r="523" ht="15.75" customHeight="1">
      <c r="G523" s="10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11"/>
    </row>
    <row r="524" ht="15.75" customHeight="1">
      <c r="G524" s="10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11"/>
    </row>
    <row r="525" ht="15.75" customHeight="1">
      <c r="G525" s="10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11"/>
    </row>
    <row r="526" ht="15.75" customHeight="1">
      <c r="G526" s="10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11"/>
    </row>
    <row r="527" ht="15.75" customHeight="1">
      <c r="G527" s="10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11"/>
    </row>
    <row r="528" ht="15.75" customHeight="1">
      <c r="G528" s="10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11"/>
    </row>
    <row r="529" ht="15.75" customHeight="1">
      <c r="G529" s="10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11"/>
    </row>
    <row r="530" ht="15.75" customHeight="1">
      <c r="G530" s="10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11"/>
    </row>
    <row r="531" ht="15.75" customHeight="1">
      <c r="G531" s="10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11"/>
    </row>
    <row r="532" ht="15.75" customHeight="1">
      <c r="G532" s="10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11"/>
    </row>
    <row r="533" ht="15.75" customHeight="1">
      <c r="G533" s="10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11"/>
    </row>
    <row r="534" ht="15.75" customHeight="1">
      <c r="G534" s="10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11"/>
    </row>
    <row r="535" ht="15.75" customHeight="1">
      <c r="G535" s="10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11"/>
    </row>
    <row r="536" ht="15.75" customHeight="1">
      <c r="G536" s="10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11"/>
    </row>
    <row r="537" ht="15.75" customHeight="1">
      <c r="G537" s="10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11"/>
    </row>
    <row r="538" ht="15.75" customHeight="1">
      <c r="G538" s="10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11"/>
    </row>
    <row r="539" ht="15.75" customHeight="1">
      <c r="G539" s="10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11"/>
    </row>
    <row r="540" ht="15.75" customHeight="1">
      <c r="G540" s="10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11"/>
    </row>
    <row r="541" ht="15.75" customHeight="1">
      <c r="G541" s="10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11"/>
    </row>
    <row r="542" ht="15.75" customHeight="1">
      <c r="G542" s="10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11"/>
    </row>
    <row r="543" ht="15.75" customHeight="1">
      <c r="G543" s="10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11"/>
    </row>
    <row r="544" ht="15.75" customHeight="1">
      <c r="G544" s="10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11"/>
    </row>
    <row r="545" ht="15.75" customHeight="1">
      <c r="G545" s="10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11"/>
    </row>
    <row r="546" ht="15.75" customHeight="1">
      <c r="G546" s="10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11"/>
    </row>
    <row r="547" ht="15.75" customHeight="1">
      <c r="G547" s="10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11"/>
    </row>
    <row r="548" ht="15.75" customHeight="1">
      <c r="G548" s="10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11"/>
    </row>
    <row r="549" ht="15.75" customHeight="1">
      <c r="G549" s="10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11"/>
    </row>
    <row r="550" ht="15.75" customHeight="1">
      <c r="G550" s="10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11"/>
    </row>
    <row r="551" ht="15.75" customHeight="1">
      <c r="G551" s="10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11"/>
    </row>
    <row r="552" ht="15.75" customHeight="1">
      <c r="G552" s="10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11"/>
    </row>
    <row r="553" ht="15.75" customHeight="1">
      <c r="G553" s="10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11"/>
    </row>
    <row r="554" ht="15.75" customHeight="1">
      <c r="G554" s="10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11"/>
    </row>
    <row r="555" ht="15.75" customHeight="1">
      <c r="G555" s="10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11"/>
    </row>
    <row r="556" ht="15.75" customHeight="1">
      <c r="G556" s="10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11"/>
    </row>
    <row r="557" ht="15.75" customHeight="1">
      <c r="G557" s="10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11"/>
    </row>
    <row r="558" ht="15.75" customHeight="1">
      <c r="G558" s="10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11"/>
    </row>
    <row r="559" ht="15.75" customHeight="1">
      <c r="G559" s="10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11"/>
    </row>
    <row r="560" ht="15.75" customHeight="1">
      <c r="G560" s="10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11"/>
    </row>
    <row r="561" ht="15.75" customHeight="1">
      <c r="G561" s="10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11"/>
    </row>
    <row r="562" ht="15.75" customHeight="1">
      <c r="G562" s="10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11"/>
    </row>
    <row r="563" ht="15.75" customHeight="1">
      <c r="G563" s="10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11"/>
    </row>
    <row r="564" ht="15.75" customHeight="1">
      <c r="G564" s="10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11"/>
    </row>
    <row r="565" ht="15.75" customHeight="1">
      <c r="G565" s="10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11"/>
    </row>
    <row r="566" ht="15.75" customHeight="1">
      <c r="G566" s="10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11"/>
    </row>
    <row r="567" ht="15.75" customHeight="1">
      <c r="G567" s="10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11"/>
    </row>
    <row r="568" ht="15.75" customHeight="1">
      <c r="G568" s="10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11"/>
    </row>
    <row r="569" ht="15.75" customHeight="1">
      <c r="G569" s="10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11"/>
    </row>
    <row r="570" ht="15.75" customHeight="1">
      <c r="G570" s="10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11"/>
    </row>
    <row r="571" ht="15.75" customHeight="1">
      <c r="G571" s="10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11"/>
    </row>
    <row r="572" ht="15.75" customHeight="1">
      <c r="G572" s="10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11"/>
    </row>
    <row r="573" ht="15.75" customHeight="1">
      <c r="G573" s="10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11"/>
    </row>
    <row r="574" ht="15.75" customHeight="1">
      <c r="G574" s="10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11"/>
    </row>
    <row r="575" ht="15.75" customHeight="1">
      <c r="G575" s="10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11"/>
    </row>
    <row r="576" ht="15.75" customHeight="1">
      <c r="G576" s="10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11"/>
    </row>
    <row r="577" ht="15.75" customHeight="1">
      <c r="G577" s="10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11"/>
    </row>
    <row r="578" ht="15.75" customHeight="1">
      <c r="G578" s="10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11"/>
    </row>
    <row r="579" ht="15.75" customHeight="1">
      <c r="G579" s="10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11"/>
    </row>
    <row r="580" ht="15.75" customHeight="1">
      <c r="G580" s="10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11"/>
    </row>
    <row r="581" ht="15.75" customHeight="1">
      <c r="G581" s="10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11"/>
    </row>
    <row r="582" ht="15.75" customHeight="1">
      <c r="G582" s="10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11"/>
    </row>
    <row r="583" ht="15.75" customHeight="1">
      <c r="G583" s="10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11"/>
    </row>
    <row r="584" ht="15.75" customHeight="1">
      <c r="G584" s="10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11"/>
    </row>
    <row r="585" ht="15.75" customHeight="1">
      <c r="G585" s="10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11"/>
    </row>
    <row r="586" ht="15.75" customHeight="1">
      <c r="G586" s="10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11"/>
    </row>
    <row r="587" ht="15.75" customHeight="1">
      <c r="G587" s="10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11"/>
    </row>
    <row r="588" ht="15.75" customHeight="1">
      <c r="G588" s="10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11"/>
    </row>
    <row r="589" ht="15.75" customHeight="1">
      <c r="G589" s="10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11"/>
    </row>
    <row r="590" ht="15.75" customHeight="1">
      <c r="G590" s="10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11"/>
    </row>
    <row r="591" ht="15.75" customHeight="1">
      <c r="G591" s="10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11"/>
    </row>
    <row r="592" ht="15.75" customHeight="1">
      <c r="G592" s="10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11"/>
    </row>
    <row r="593" ht="15.75" customHeight="1">
      <c r="G593" s="10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11"/>
    </row>
    <row r="594" ht="15.75" customHeight="1">
      <c r="G594" s="10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11"/>
    </row>
    <row r="595" ht="15.75" customHeight="1">
      <c r="G595" s="10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11"/>
    </row>
    <row r="596" ht="15.75" customHeight="1">
      <c r="G596" s="10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11"/>
    </row>
    <row r="597" ht="15.75" customHeight="1">
      <c r="G597" s="10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11"/>
    </row>
    <row r="598" ht="15.75" customHeight="1">
      <c r="G598" s="10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11"/>
    </row>
    <row r="599" ht="15.75" customHeight="1">
      <c r="G599" s="10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11"/>
    </row>
    <row r="600" ht="15.75" customHeight="1">
      <c r="G600" s="10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11"/>
    </row>
    <row r="601" ht="15.75" customHeight="1">
      <c r="G601" s="10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11"/>
    </row>
    <row r="602" ht="15.75" customHeight="1">
      <c r="G602" s="10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11"/>
    </row>
    <row r="603" ht="15.75" customHeight="1">
      <c r="G603" s="10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11"/>
    </row>
    <row r="604" ht="15.75" customHeight="1">
      <c r="G604" s="10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11"/>
    </row>
    <row r="605" ht="15.75" customHeight="1">
      <c r="G605" s="10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11"/>
    </row>
    <row r="606" ht="15.75" customHeight="1">
      <c r="G606" s="10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11"/>
    </row>
    <row r="607" ht="15.75" customHeight="1">
      <c r="G607" s="10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11"/>
    </row>
    <row r="608" ht="15.75" customHeight="1">
      <c r="G608" s="10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11"/>
    </row>
    <row r="609" ht="15.75" customHeight="1">
      <c r="G609" s="10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11"/>
    </row>
    <row r="610" ht="15.75" customHeight="1">
      <c r="G610" s="10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  <c r="AX610" s="9"/>
      <c r="AY610" s="11"/>
    </row>
    <row r="611" ht="15.75" customHeight="1">
      <c r="G611" s="10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  <c r="AX611" s="9"/>
      <c r="AY611" s="11"/>
    </row>
    <row r="612" ht="15.75" customHeight="1">
      <c r="G612" s="10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  <c r="AX612" s="9"/>
      <c r="AY612" s="11"/>
    </row>
    <row r="613" ht="15.75" customHeight="1">
      <c r="G613" s="10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11"/>
    </row>
    <row r="614" ht="15.75" customHeight="1">
      <c r="G614" s="10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  <c r="AX614" s="9"/>
      <c r="AY614" s="11"/>
    </row>
    <row r="615" ht="15.75" customHeight="1">
      <c r="G615" s="10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  <c r="AX615" s="9"/>
      <c r="AY615" s="11"/>
    </row>
    <row r="616" ht="15.75" customHeight="1">
      <c r="G616" s="10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11"/>
    </row>
    <row r="617" ht="15.75" customHeight="1">
      <c r="G617" s="10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11"/>
    </row>
    <row r="618" ht="15.75" customHeight="1">
      <c r="G618" s="10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11"/>
    </row>
    <row r="619" ht="15.75" customHeight="1">
      <c r="G619" s="10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11"/>
    </row>
    <row r="620" ht="15.75" customHeight="1">
      <c r="G620" s="10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  <c r="AX620" s="9"/>
      <c r="AY620" s="11"/>
    </row>
    <row r="621" ht="15.75" customHeight="1">
      <c r="G621" s="10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11"/>
    </row>
    <row r="622" ht="15.75" customHeight="1">
      <c r="G622" s="10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11"/>
    </row>
    <row r="623" ht="15.75" customHeight="1">
      <c r="G623" s="10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11"/>
    </row>
    <row r="624" ht="15.75" customHeight="1">
      <c r="G624" s="10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11"/>
    </row>
    <row r="625" ht="15.75" customHeight="1">
      <c r="G625" s="10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11"/>
    </row>
    <row r="626" ht="15.75" customHeight="1">
      <c r="G626" s="10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11"/>
    </row>
    <row r="627" ht="15.75" customHeight="1">
      <c r="G627" s="10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11"/>
    </row>
    <row r="628" ht="15.75" customHeight="1">
      <c r="G628" s="10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11"/>
    </row>
    <row r="629" ht="15.75" customHeight="1">
      <c r="G629" s="10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11"/>
    </row>
    <row r="630" ht="15.75" customHeight="1">
      <c r="G630" s="10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11"/>
    </row>
    <row r="631" ht="15.75" customHeight="1">
      <c r="G631" s="10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11"/>
    </row>
    <row r="632" ht="15.75" customHeight="1">
      <c r="G632" s="10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11"/>
    </row>
    <row r="633" ht="15.75" customHeight="1">
      <c r="G633" s="10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11"/>
    </row>
    <row r="634" ht="15.75" customHeight="1">
      <c r="G634" s="10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11"/>
    </row>
    <row r="635" ht="15.75" customHeight="1">
      <c r="G635" s="10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11"/>
    </row>
    <row r="636" ht="15.75" customHeight="1">
      <c r="G636" s="10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11"/>
    </row>
    <row r="637" ht="15.75" customHeight="1">
      <c r="G637" s="10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11"/>
    </row>
    <row r="638" ht="15.75" customHeight="1">
      <c r="G638" s="10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11"/>
    </row>
    <row r="639" ht="15.75" customHeight="1">
      <c r="G639" s="10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11"/>
    </row>
    <row r="640" ht="15.75" customHeight="1">
      <c r="G640" s="10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11"/>
    </row>
    <row r="641" ht="15.75" customHeight="1">
      <c r="G641" s="10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11"/>
    </row>
    <row r="642" ht="15.75" customHeight="1">
      <c r="G642" s="10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11"/>
    </row>
    <row r="643" ht="15.75" customHeight="1">
      <c r="G643" s="10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11"/>
    </row>
    <row r="644" ht="15.75" customHeight="1">
      <c r="G644" s="10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11"/>
    </row>
    <row r="645" ht="15.75" customHeight="1">
      <c r="G645" s="10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11"/>
    </row>
    <row r="646" ht="15.75" customHeight="1">
      <c r="G646" s="10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11"/>
    </row>
    <row r="647" ht="15.75" customHeight="1">
      <c r="G647" s="10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11"/>
    </row>
    <row r="648" ht="15.75" customHeight="1">
      <c r="G648" s="10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11"/>
    </row>
    <row r="649" ht="15.75" customHeight="1">
      <c r="G649" s="10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11"/>
    </row>
    <row r="650" ht="15.75" customHeight="1">
      <c r="G650" s="10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  <c r="AX650" s="9"/>
      <c r="AY650" s="11"/>
    </row>
    <row r="651" ht="15.75" customHeight="1">
      <c r="G651" s="10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  <c r="AX651" s="9"/>
      <c r="AY651" s="11"/>
    </row>
    <row r="652" ht="15.75" customHeight="1">
      <c r="G652" s="10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11"/>
    </row>
    <row r="653" ht="15.75" customHeight="1">
      <c r="G653" s="10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11"/>
    </row>
    <row r="654" ht="15.75" customHeight="1">
      <c r="G654" s="10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  <c r="AX654" s="9"/>
      <c r="AY654" s="11"/>
    </row>
    <row r="655" ht="15.75" customHeight="1">
      <c r="G655" s="10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  <c r="AX655" s="9"/>
      <c r="AY655" s="11"/>
    </row>
    <row r="656" ht="15.75" customHeight="1">
      <c r="G656" s="10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11"/>
    </row>
    <row r="657" ht="15.75" customHeight="1">
      <c r="G657" s="10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  <c r="AX657" s="9"/>
      <c r="AY657" s="11"/>
    </row>
    <row r="658" ht="15.75" customHeight="1">
      <c r="G658" s="10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  <c r="AX658" s="9"/>
      <c r="AY658" s="11"/>
    </row>
    <row r="659" ht="15.75" customHeight="1">
      <c r="G659" s="10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11"/>
    </row>
    <row r="660" ht="15.75" customHeight="1">
      <c r="G660" s="10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  <c r="AX660" s="9"/>
      <c r="AY660" s="11"/>
    </row>
    <row r="661" ht="15.75" customHeight="1">
      <c r="G661" s="10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  <c r="AX661" s="9"/>
      <c r="AY661" s="11"/>
    </row>
    <row r="662" ht="15.75" customHeight="1">
      <c r="G662" s="10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  <c r="AX662" s="9"/>
      <c r="AY662" s="11"/>
    </row>
    <row r="663" ht="15.75" customHeight="1">
      <c r="G663" s="10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  <c r="AX663" s="9"/>
      <c r="AY663" s="11"/>
    </row>
    <row r="664" ht="15.75" customHeight="1">
      <c r="G664" s="10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  <c r="AX664" s="9"/>
      <c r="AY664" s="11"/>
    </row>
    <row r="665" ht="15.75" customHeight="1">
      <c r="G665" s="10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  <c r="AX665" s="9"/>
      <c r="AY665" s="11"/>
    </row>
    <row r="666" ht="15.75" customHeight="1">
      <c r="G666" s="10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  <c r="AX666" s="9"/>
      <c r="AY666" s="11"/>
    </row>
    <row r="667" ht="15.75" customHeight="1">
      <c r="G667" s="10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11"/>
    </row>
    <row r="668" ht="15.75" customHeight="1">
      <c r="G668" s="10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11"/>
    </row>
    <row r="669" ht="15.75" customHeight="1">
      <c r="G669" s="10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11"/>
    </row>
    <row r="670" ht="15.75" customHeight="1">
      <c r="G670" s="10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11"/>
    </row>
    <row r="671" ht="15.75" customHeight="1">
      <c r="G671" s="10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11"/>
    </row>
    <row r="672" ht="15.75" customHeight="1">
      <c r="G672" s="10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  <c r="AX672" s="9"/>
      <c r="AY672" s="11"/>
    </row>
    <row r="673" ht="15.75" customHeight="1">
      <c r="G673" s="10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  <c r="AX673" s="9"/>
      <c r="AY673" s="11"/>
    </row>
    <row r="674" ht="15.75" customHeight="1">
      <c r="G674" s="10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  <c r="AX674" s="9"/>
      <c r="AY674" s="11"/>
    </row>
    <row r="675" ht="15.75" customHeight="1">
      <c r="G675" s="10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11"/>
    </row>
    <row r="676" ht="15.75" customHeight="1">
      <c r="G676" s="10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11"/>
    </row>
    <row r="677" ht="15.75" customHeight="1">
      <c r="G677" s="10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  <c r="AX677" s="9"/>
      <c r="AY677" s="11"/>
    </row>
    <row r="678" ht="15.75" customHeight="1">
      <c r="G678" s="10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  <c r="AX678" s="9"/>
      <c r="AY678" s="11"/>
    </row>
    <row r="679" ht="15.75" customHeight="1">
      <c r="G679" s="10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  <c r="AX679" s="9"/>
      <c r="AY679" s="11"/>
    </row>
    <row r="680" ht="15.75" customHeight="1">
      <c r="G680" s="10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  <c r="AX680" s="9"/>
      <c r="AY680" s="11"/>
    </row>
    <row r="681" ht="15.75" customHeight="1">
      <c r="G681" s="10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  <c r="AX681" s="9"/>
      <c r="AY681" s="11"/>
    </row>
    <row r="682" ht="15.75" customHeight="1">
      <c r="G682" s="10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  <c r="AX682" s="9"/>
      <c r="AY682" s="11"/>
    </row>
    <row r="683" ht="15.75" customHeight="1">
      <c r="G683" s="10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  <c r="AX683" s="9"/>
      <c r="AY683" s="11"/>
    </row>
    <row r="684" ht="15.75" customHeight="1">
      <c r="G684" s="10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  <c r="AX684" s="9"/>
      <c r="AY684" s="11"/>
    </row>
    <row r="685" ht="15.75" customHeight="1">
      <c r="G685" s="10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11"/>
    </row>
    <row r="686" ht="15.75" customHeight="1">
      <c r="G686" s="10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11"/>
    </row>
    <row r="687" ht="15.75" customHeight="1">
      <c r="G687" s="10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11"/>
    </row>
    <row r="688" ht="15.75" customHeight="1">
      <c r="G688" s="10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  <c r="AX688" s="9"/>
      <c r="AY688" s="11"/>
    </row>
    <row r="689" ht="15.75" customHeight="1">
      <c r="G689" s="10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  <c r="AX689" s="9"/>
      <c r="AY689" s="11"/>
    </row>
    <row r="690" ht="15.75" customHeight="1">
      <c r="G690" s="10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  <c r="AX690" s="9"/>
      <c r="AY690" s="11"/>
    </row>
    <row r="691" ht="15.75" customHeight="1">
      <c r="G691" s="10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  <c r="AX691" s="9"/>
      <c r="AY691" s="11"/>
    </row>
    <row r="692" ht="15.75" customHeight="1">
      <c r="G692" s="10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  <c r="AX692" s="9"/>
      <c r="AY692" s="11"/>
    </row>
    <row r="693" ht="15.75" customHeight="1">
      <c r="G693" s="10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  <c r="AX693" s="9"/>
      <c r="AY693" s="11"/>
    </row>
    <row r="694" ht="15.75" customHeight="1">
      <c r="G694" s="10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  <c r="AX694" s="9"/>
      <c r="AY694" s="11"/>
    </row>
    <row r="695" ht="15.75" customHeight="1">
      <c r="G695" s="10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  <c r="AX695" s="9"/>
      <c r="AY695" s="11"/>
    </row>
    <row r="696" ht="15.75" customHeight="1">
      <c r="G696" s="10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  <c r="AX696" s="9"/>
      <c r="AY696" s="11"/>
    </row>
    <row r="697" ht="15.75" customHeight="1">
      <c r="G697" s="10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  <c r="AX697" s="9"/>
      <c r="AY697" s="11"/>
    </row>
    <row r="698" ht="15.75" customHeight="1">
      <c r="G698" s="10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  <c r="AX698" s="9"/>
      <c r="AY698" s="11"/>
    </row>
    <row r="699" ht="15.75" customHeight="1">
      <c r="G699" s="10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11"/>
    </row>
    <row r="700" ht="15.75" customHeight="1">
      <c r="G700" s="10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  <c r="AX700" s="9"/>
      <c r="AY700" s="11"/>
    </row>
    <row r="701" ht="15.75" customHeight="1">
      <c r="G701" s="10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  <c r="AX701" s="9"/>
      <c r="AY701" s="11"/>
    </row>
    <row r="702" ht="15.75" customHeight="1">
      <c r="G702" s="10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  <c r="AX702" s="9"/>
      <c r="AY702" s="11"/>
    </row>
    <row r="703" ht="15.75" customHeight="1">
      <c r="G703" s="10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  <c r="AX703" s="9"/>
      <c r="AY703" s="11"/>
    </row>
    <row r="704" ht="15.75" customHeight="1">
      <c r="G704" s="10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  <c r="AX704" s="9"/>
      <c r="AY704" s="11"/>
    </row>
    <row r="705" ht="15.75" customHeight="1">
      <c r="G705" s="10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11"/>
    </row>
    <row r="706" ht="15.75" customHeight="1">
      <c r="G706" s="10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11"/>
    </row>
    <row r="707" ht="15.75" customHeight="1">
      <c r="G707" s="10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  <c r="AX707" s="9"/>
      <c r="AY707" s="11"/>
    </row>
    <row r="708" ht="15.75" customHeight="1">
      <c r="G708" s="10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  <c r="AX708" s="9"/>
      <c r="AY708" s="11"/>
    </row>
    <row r="709" ht="15.75" customHeight="1">
      <c r="G709" s="10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  <c r="AX709" s="9"/>
      <c r="AY709" s="11"/>
    </row>
    <row r="710" ht="15.75" customHeight="1">
      <c r="G710" s="10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  <c r="AX710" s="9"/>
      <c r="AY710" s="11"/>
    </row>
    <row r="711" ht="15.75" customHeight="1">
      <c r="G711" s="10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  <c r="AX711" s="9"/>
      <c r="AY711" s="11"/>
    </row>
    <row r="712" ht="15.75" customHeight="1">
      <c r="G712" s="10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  <c r="AX712" s="9"/>
      <c r="AY712" s="11"/>
    </row>
    <row r="713" ht="15.75" customHeight="1">
      <c r="G713" s="10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  <c r="AX713" s="9"/>
      <c r="AY713" s="11"/>
    </row>
    <row r="714" ht="15.75" customHeight="1">
      <c r="G714" s="10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  <c r="AX714" s="9"/>
      <c r="AY714" s="11"/>
    </row>
    <row r="715" ht="15.75" customHeight="1">
      <c r="G715" s="10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  <c r="AX715" s="9"/>
      <c r="AY715" s="11"/>
    </row>
    <row r="716" ht="15.75" customHeight="1">
      <c r="G716" s="10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  <c r="AX716" s="9"/>
      <c r="AY716" s="11"/>
    </row>
    <row r="717" ht="15.75" customHeight="1">
      <c r="G717" s="10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  <c r="AX717" s="9"/>
      <c r="AY717" s="11"/>
    </row>
    <row r="718" ht="15.75" customHeight="1">
      <c r="G718" s="10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  <c r="AX718" s="9"/>
      <c r="AY718" s="11"/>
    </row>
    <row r="719" ht="15.75" customHeight="1">
      <c r="G719" s="10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  <c r="AX719" s="9"/>
      <c r="AY719" s="11"/>
    </row>
    <row r="720" ht="15.75" customHeight="1">
      <c r="G720" s="10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  <c r="AX720" s="9"/>
      <c r="AY720" s="11"/>
    </row>
    <row r="721" ht="15.75" customHeight="1">
      <c r="G721" s="10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  <c r="AX721" s="9"/>
      <c r="AY721" s="11"/>
    </row>
    <row r="722" ht="15.75" customHeight="1">
      <c r="G722" s="10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  <c r="AX722" s="9"/>
      <c r="AY722" s="11"/>
    </row>
    <row r="723" ht="15.75" customHeight="1">
      <c r="G723" s="10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  <c r="AX723" s="9"/>
      <c r="AY723" s="11"/>
    </row>
    <row r="724" ht="15.75" customHeight="1">
      <c r="G724" s="10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  <c r="AX724" s="9"/>
      <c r="AY724" s="11"/>
    </row>
    <row r="725" ht="15.75" customHeight="1">
      <c r="G725" s="10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  <c r="AX725" s="9"/>
      <c r="AY725" s="11"/>
    </row>
    <row r="726" ht="15.75" customHeight="1">
      <c r="G726" s="10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  <c r="AX726" s="9"/>
      <c r="AY726" s="11"/>
    </row>
    <row r="727" ht="15.75" customHeight="1">
      <c r="G727" s="10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  <c r="AX727" s="9"/>
      <c r="AY727" s="11"/>
    </row>
    <row r="728" ht="15.75" customHeight="1">
      <c r="G728" s="10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  <c r="AX728" s="9"/>
      <c r="AY728" s="11"/>
    </row>
    <row r="729" ht="15.75" customHeight="1">
      <c r="G729" s="10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/>
      <c r="AY729" s="11"/>
    </row>
    <row r="730" ht="15.75" customHeight="1">
      <c r="G730" s="10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  <c r="AX730" s="9"/>
      <c r="AY730" s="11"/>
    </row>
    <row r="731" ht="15.75" customHeight="1">
      <c r="G731" s="10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  <c r="AX731" s="9"/>
      <c r="AY731" s="11"/>
    </row>
    <row r="732" ht="15.75" customHeight="1">
      <c r="G732" s="10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  <c r="AX732" s="9"/>
      <c r="AY732" s="11"/>
    </row>
    <row r="733" ht="15.75" customHeight="1">
      <c r="G733" s="10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  <c r="AX733" s="9"/>
      <c r="AY733" s="11"/>
    </row>
    <row r="734" ht="15.75" customHeight="1">
      <c r="G734" s="10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  <c r="AX734" s="9"/>
      <c r="AY734" s="11"/>
    </row>
    <row r="735" ht="15.75" customHeight="1">
      <c r="G735" s="10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  <c r="AX735" s="9"/>
      <c r="AY735" s="11"/>
    </row>
    <row r="736" ht="15.75" customHeight="1">
      <c r="G736" s="10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  <c r="AX736" s="9"/>
      <c r="AY736" s="11"/>
    </row>
    <row r="737" ht="15.75" customHeight="1">
      <c r="G737" s="10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  <c r="AX737" s="9"/>
      <c r="AY737" s="11"/>
    </row>
    <row r="738" ht="15.75" customHeight="1">
      <c r="G738" s="10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  <c r="AX738" s="9"/>
      <c r="AY738" s="11"/>
    </row>
    <row r="739" ht="15.75" customHeight="1">
      <c r="G739" s="10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  <c r="AX739" s="9"/>
      <c r="AY739" s="11"/>
    </row>
    <row r="740" ht="15.75" customHeight="1">
      <c r="G740" s="10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  <c r="AX740" s="9"/>
      <c r="AY740" s="11"/>
    </row>
    <row r="741" ht="15.75" customHeight="1">
      <c r="G741" s="10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  <c r="AX741" s="9"/>
      <c r="AY741" s="11"/>
    </row>
    <row r="742" ht="15.75" customHeight="1">
      <c r="G742" s="10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  <c r="AX742" s="9"/>
      <c r="AY742" s="11"/>
    </row>
    <row r="743" ht="15.75" customHeight="1">
      <c r="G743" s="10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  <c r="AX743" s="9"/>
      <c r="AY743" s="11"/>
    </row>
    <row r="744" ht="15.75" customHeight="1">
      <c r="G744" s="10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  <c r="AX744" s="9"/>
      <c r="AY744" s="11"/>
    </row>
    <row r="745" ht="15.75" customHeight="1">
      <c r="G745" s="10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  <c r="AX745" s="9"/>
      <c r="AY745" s="11"/>
    </row>
    <row r="746" ht="15.75" customHeight="1">
      <c r="G746" s="10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  <c r="AX746" s="9"/>
      <c r="AY746" s="11"/>
    </row>
    <row r="747" ht="15.75" customHeight="1">
      <c r="G747" s="10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  <c r="AX747" s="9"/>
      <c r="AY747" s="11"/>
    </row>
    <row r="748" ht="15.75" customHeight="1">
      <c r="G748" s="10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  <c r="AX748" s="9"/>
      <c r="AY748" s="11"/>
    </row>
    <row r="749" ht="15.75" customHeight="1">
      <c r="G749" s="10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  <c r="AX749" s="9"/>
      <c r="AY749" s="11"/>
    </row>
    <row r="750" ht="15.75" customHeight="1">
      <c r="G750" s="10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  <c r="AX750" s="9"/>
      <c r="AY750" s="11"/>
    </row>
    <row r="751" ht="15.75" customHeight="1">
      <c r="G751" s="10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11"/>
    </row>
    <row r="752" ht="15.75" customHeight="1">
      <c r="G752" s="10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11"/>
    </row>
    <row r="753" ht="15.75" customHeight="1">
      <c r="G753" s="10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11"/>
    </row>
    <row r="754" ht="15.75" customHeight="1">
      <c r="G754" s="10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  <c r="AX754" s="9"/>
      <c r="AY754" s="11"/>
    </row>
    <row r="755" ht="15.75" customHeight="1">
      <c r="G755" s="10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11"/>
    </row>
    <row r="756" ht="15.75" customHeight="1">
      <c r="G756" s="10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  <c r="AX756" s="9"/>
      <c r="AY756" s="11"/>
    </row>
    <row r="757" ht="15.75" customHeight="1">
      <c r="G757" s="10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11"/>
    </row>
    <row r="758" ht="15.75" customHeight="1">
      <c r="G758" s="10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11"/>
    </row>
    <row r="759" ht="15.75" customHeight="1">
      <c r="G759" s="10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  <c r="AX759" s="9"/>
      <c r="AY759" s="11"/>
    </row>
    <row r="760" ht="15.75" customHeight="1">
      <c r="G760" s="10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  <c r="AX760" s="9"/>
      <c r="AY760" s="11"/>
    </row>
    <row r="761" ht="15.75" customHeight="1">
      <c r="G761" s="10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  <c r="AX761" s="9"/>
      <c r="AY761" s="11"/>
    </row>
    <row r="762" ht="15.75" customHeight="1">
      <c r="G762" s="10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11"/>
    </row>
    <row r="763" ht="15.75" customHeight="1">
      <c r="G763" s="10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  <c r="AX763" s="9"/>
      <c r="AY763" s="11"/>
    </row>
    <row r="764" ht="15.75" customHeight="1">
      <c r="G764" s="10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11"/>
    </row>
    <row r="765" ht="15.75" customHeight="1">
      <c r="G765" s="10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11"/>
    </row>
    <row r="766" ht="15.75" customHeight="1">
      <c r="G766" s="10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11"/>
    </row>
    <row r="767" ht="15.75" customHeight="1">
      <c r="G767" s="10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11"/>
    </row>
    <row r="768" ht="15.75" customHeight="1">
      <c r="G768" s="10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11"/>
    </row>
    <row r="769" ht="15.75" customHeight="1">
      <c r="G769" s="10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  <c r="AX769" s="9"/>
      <c r="AY769" s="11"/>
    </row>
    <row r="770" ht="15.75" customHeight="1">
      <c r="G770" s="10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11"/>
    </row>
    <row r="771" ht="15.75" customHeight="1">
      <c r="G771" s="10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11"/>
    </row>
    <row r="772" ht="15.75" customHeight="1">
      <c r="G772" s="10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11"/>
    </row>
    <row r="773" ht="15.75" customHeight="1">
      <c r="G773" s="10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11"/>
    </row>
    <row r="774" ht="15.75" customHeight="1">
      <c r="G774" s="10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11"/>
    </row>
    <row r="775" ht="15.75" customHeight="1">
      <c r="G775" s="10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11"/>
    </row>
    <row r="776" ht="15.75" customHeight="1">
      <c r="G776" s="10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11"/>
    </row>
    <row r="777" ht="15.75" customHeight="1">
      <c r="G777" s="10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11"/>
    </row>
    <row r="778" ht="15.75" customHeight="1">
      <c r="G778" s="10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11"/>
    </row>
    <row r="779" ht="15.75" customHeight="1">
      <c r="G779" s="10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  <c r="AX779" s="9"/>
      <c r="AY779" s="11"/>
    </row>
    <row r="780" ht="15.75" customHeight="1">
      <c r="G780" s="10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  <c r="AX780" s="9"/>
      <c r="AY780" s="11"/>
    </row>
    <row r="781" ht="15.75" customHeight="1">
      <c r="G781" s="10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  <c r="AX781" s="9"/>
      <c r="AY781" s="11"/>
    </row>
    <row r="782" ht="15.75" customHeight="1">
      <c r="G782" s="10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  <c r="AX782" s="9"/>
      <c r="AY782" s="11"/>
    </row>
    <row r="783" ht="15.75" customHeight="1">
      <c r="G783" s="10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  <c r="AX783" s="9"/>
      <c r="AY783" s="11"/>
    </row>
    <row r="784" ht="15.75" customHeight="1">
      <c r="G784" s="10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  <c r="AX784" s="9"/>
      <c r="AY784" s="11"/>
    </row>
    <row r="785" ht="15.75" customHeight="1">
      <c r="G785" s="10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  <c r="AX785" s="9"/>
      <c r="AY785" s="11"/>
    </row>
    <row r="786" ht="15.75" customHeight="1">
      <c r="G786" s="10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  <c r="AX786" s="9"/>
      <c r="AY786" s="11"/>
    </row>
    <row r="787" ht="15.75" customHeight="1">
      <c r="G787" s="10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  <c r="AX787" s="9"/>
      <c r="AY787" s="11"/>
    </row>
    <row r="788" ht="15.75" customHeight="1">
      <c r="G788" s="10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  <c r="AX788" s="9"/>
      <c r="AY788" s="11"/>
    </row>
    <row r="789" ht="15.75" customHeight="1">
      <c r="G789" s="10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  <c r="AX789" s="9"/>
      <c r="AY789" s="11"/>
    </row>
    <row r="790" ht="15.75" customHeight="1">
      <c r="G790" s="10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  <c r="AX790" s="9"/>
      <c r="AY790" s="11"/>
    </row>
    <row r="791" ht="15.75" customHeight="1">
      <c r="G791" s="10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  <c r="AX791" s="9"/>
      <c r="AY791" s="11"/>
    </row>
    <row r="792" ht="15.75" customHeight="1">
      <c r="G792" s="10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  <c r="AX792" s="9"/>
      <c r="AY792" s="11"/>
    </row>
    <row r="793" ht="15.75" customHeight="1">
      <c r="G793" s="10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  <c r="AX793" s="9"/>
      <c r="AY793" s="11"/>
    </row>
    <row r="794" ht="15.75" customHeight="1">
      <c r="G794" s="10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  <c r="AX794" s="9"/>
      <c r="AY794" s="11"/>
    </row>
    <row r="795" ht="15.75" customHeight="1">
      <c r="G795" s="10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  <c r="AX795" s="9"/>
      <c r="AY795" s="11"/>
    </row>
    <row r="796" ht="15.75" customHeight="1">
      <c r="G796" s="10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  <c r="AX796" s="9"/>
      <c r="AY796" s="11"/>
    </row>
    <row r="797" ht="15.75" customHeight="1">
      <c r="G797" s="10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  <c r="AX797" s="9"/>
      <c r="AY797" s="11"/>
    </row>
    <row r="798" ht="15.75" customHeight="1">
      <c r="G798" s="10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  <c r="AX798" s="9"/>
      <c r="AY798" s="11"/>
    </row>
    <row r="799" ht="15.75" customHeight="1">
      <c r="G799" s="10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  <c r="AX799" s="9"/>
      <c r="AY799" s="11"/>
    </row>
    <row r="800" ht="15.75" customHeight="1">
      <c r="G800" s="10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  <c r="AX800" s="9"/>
      <c r="AY800" s="11"/>
    </row>
    <row r="801" ht="15.75" customHeight="1">
      <c r="G801" s="10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  <c r="AX801" s="9"/>
      <c r="AY801" s="11"/>
    </row>
    <row r="802" ht="15.75" customHeight="1">
      <c r="G802" s="10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  <c r="AX802" s="9"/>
      <c r="AY802" s="11"/>
    </row>
    <row r="803" ht="15.75" customHeight="1">
      <c r="G803" s="10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  <c r="AX803" s="9"/>
      <c r="AY803" s="11"/>
    </row>
    <row r="804" ht="15.75" customHeight="1">
      <c r="G804" s="10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  <c r="AX804" s="9"/>
      <c r="AY804" s="11"/>
    </row>
    <row r="805" ht="15.75" customHeight="1">
      <c r="G805" s="10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  <c r="AX805" s="9"/>
      <c r="AY805" s="11"/>
    </row>
    <row r="806" ht="15.75" customHeight="1">
      <c r="G806" s="10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9"/>
      <c r="AX806" s="9"/>
      <c r="AY806" s="11"/>
    </row>
    <row r="807" ht="15.75" customHeight="1">
      <c r="G807" s="10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  <c r="AX807" s="9"/>
      <c r="AY807" s="11"/>
    </row>
    <row r="808" ht="15.75" customHeight="1">
      <c r="G808" s="10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  <c r="AX808" s="9"/>
      <c r="AY808" s="11"/>
    </row>
    <row r="809" ht="15.75" customHeight="1">
      <c r="G809" s="10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9"/>
      <c r="AX809" s="9"/>
      <c r="AY809" s="11"/>
    </row>
    <row r="810" ht="15.75" customHeight="1">
      <c r="G810" s="10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9"/>
      <c r="AX810" s="9"/>
      <c r="AY810" s="11"/>
    </row>
    <row r="811" ht="15.75" customHeight="1">
      <c r="G811" s="10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9"/>
      <c r="AX811" s="9"/>
      <c r="AY811" s="11"/>
    </row>
    <row r="812" ht="15.75" customHeight="1">
      <c r="G812" s="10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9"/>
      <c r="AX812" s="9"/>
      <c r="AY812" s="11"/>
    </row>
    <row r="813" ht="15.75" customHeight="1">
      <c r="G813" s="10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9"/>
      <c r="AX813" s="9"/>
      <c r="AY813" s="11"/>
    </row>
    <row r="814" ht="15.75" customHeight="1">
      <c r="G814" s="10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9"/>
      <c r="AX814" s="9"/>
      <c r="AY814" s="11"/>
    </row>
    <row r="815" ht="15.75" customHeight="1">
      <c r="G815" s="10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9"/>
      <c r="AX815" s="9"/>
      <c r="AY815" s="11"/>
    </row>
    <row r="816" ht="15.75" customHeight="1">
      <c r="G816" s="10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9"/>
      <c r="AX816" s="9"/>
      <c r="AY816" s="11"/>
    </row>
    <row r="817" ht="15.75" customHeight="1">
      <c r="G817" s="10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  <c r="AX817" s="9"/>
      <c r="AY817" s="11"/>
    </row>
    <row r="818" ht="15.75" customHeight="1">
      <c r="G818" s="10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9"/>
      <c r="AX818" s="9"/>
      <c r="AY818" s="11"/>
    </row>
    <row r="819" ht="15.75" customHeight="1">
      <c r="G819" s="10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9"/>
      <c r="AX819" s="9"/>
      <c r="AY819" s="11"/>
    </row>
    <row r="820" ht="15.75" customHeight="1">
      <c r="G820" s="10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9"/>
      <c r="AX820" s="9"/>
      <c r="AY820" s="11"/>
    </row>
    <row r="821" ht="15.75" customHeight="1">
      <c r="G821" s="10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  <c r="AX821" s="9"/>
      <c r="AY821" s="11"/>
    </row>
    <row r="822" ht="15.75" customHeight="1">
      <c r="G822" s="10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  <c r="AX822" s="9"/>
      <c r="AY822" s="11"/>
    </row>
    <row r="823" ht="15.75" customHeight="1">
      <c r="G823" s="10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  <c r="AX823" s="9"/>
      <c r="AY823" s="11"/>
    </row>
    <row r="824" ht="15.75" customHeight="1">
      <c r="G824" s="10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  <c r="AX824" s="9"/>
      <c r="AY824" s="11"/>
    </row>
    <row r="825" ht="15.75" customHeight="1">
      <c r="G825" s="10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9"/>
      <c r="AX825" s="9"/>
      <c r="AY825" s="11"/>
    </row>
    <row r="826" ht="15.75" customHeight="1">
      <c r="G826" s="10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9"/>
      <c r="AX826" s="9"/>
      <c r="AY826" s="11"/>
    </row>
    <row r="827" ht="15.75" customHeight="1">
      <c r="G827" s="10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9"/>
      <c r="AX827" s="9"/>
      <c r="AY827" s="11"/>
    </row>
    <row r="828" ht="15.75" customHeight="1">
      <c r="G828" s="10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9"/>
      <c r="AX828" s="9"/>
      <c r="AY828" s="11"/>
    </row>
    <row r="829" ht="15.75" customHeight="1">
      <c r="G829" s="10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9"/>
      <c r="AX829" s="9"/>
      <c r="AY829" s="11"/>
    </row>
    <row r="830" ht="15.75" customHeight="1">
      <c r="G830" s="10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9"/>
      <c r="AX830" s="9"/>
      <c r="AY830" s="11"/>
    </row>
    <row r="831" ht="15.75" customHeight="1">
      <c r="G831" s="10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9"/>
      <c r="AX831" s="9"/>
      <c r="AY831" s="11"/>
    </row>
    <row r="832" ht="15.75" customHeight="1">
      <c r="G832" s="10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9"/>
      <c r="AX832" s="9"/>
      <c r="AY832" s="11"/>
    </row>
    <row r="833" ht="15.75" customHeight="1">
      <c r="G833" s="10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9"/>
      <c r="AX833" s="9"/>
      <c r="AY833" s="11"/>
    </row>
    <row r="834" ht="15.75" customHeight="1">
      <c r="G834" s="10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  <c r="AX834" s="9"/>
      <c r="AY834" s="11"/>
    </row>
    <row r="835" ht="15.75" customHeight="1">
      <c r="G835" s="10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  <c r="AX835" s="9"/>
      <c r="AY835" s="11"/>
    </row>
    <row r="836" ht="15.75" customHeight="1">
      <c r="G836" s="10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  <c r="AX836" s="9"/>
      <c r="AY836" s="11"/>
    </row>
    <row r="837" ht="15.75" customHeight="1">
      <c r="G837" s="10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  <c r="AX837" s="9"/>
      <c r="AY837" s="11"/>
    </row>
    <row r="838" ht="15.75" customHeight="1">
      <c r="G838" s="10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9"/>
      <c r="AX838" s="9"/>
      <c r="AY838" s="11"/>
    </row>
    <row r="839" ht="15.75" customHeight="1">
      <c r="G839" s="10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9"/>
      <c r="AX839" s="9"/>
      <c r="AY839" s="11"/>
    </row>
    <row r="840" ht="15.75" customHeight="1">
      <c r="G840" s="10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9"/>
      <c r="AX840" s="9"/>
      <c r="AY840" s="11"/>
    </row>
    <row r="841" ht="15.75" customHeight="1">
      <c r="G841" s="10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  <c r="AW841" s="9"/>
      <c r="AX841" s="9"/>
      <c r="AY841" s="11"/>
    </row>
    <row r="842" ht="15.75" customHeight="1">
      <c r="G842" s="10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  <c r="AW842" s="9"/>
      <c r="AX842" s="9"/>
      <c r="AY842" s="11"/>
    </row>
    <row r="843" ht="15.75" customHeight="1">
      <c r="G843" s="10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  <c r="AW843" s="9"/>
      <c r="AX843" s="9"/>
      <c r="AY843" s="11"/>
    </row>
    <row r="844" ht="15.75" customHeight="1">
      <c r="G844" s="10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  <c r="AW844" s="9"/>
      <c r="AX844" s="9"/>
      <c r="AY844" s="11"/>
    </row>
    <row r="845" ht="15.75" customHeight="1">
      <c r="G845" s="10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  <c r="AW845" s="9"/>
      <c r="AX845" s="9"/>
      <c r="AY845" s="11"/>
    </row>
    <row r="846" ht="15.75" customHeight="1">
      <c r="G846" s="10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  <c r="AW846" s="9"/>
      <c r="AX846" s="9"/>
      <c r="AY846" s="11"/>
    </row>
    <row r="847" ht="15.75" customHeight="1">
      <c r="G847" s="10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  <c r="AW847" s="9"/>
      <c r="AX847" s="9"/>
      <c r="AY847" s="11"/>
    </row>
    <row r="848" ht="15.75" customHeight="1">
      <c r="G848" s="10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  <c r="AW848" s="9"/>
      <c r="AX848" s="9"/>
      <c r="AY848" s="11"/>
    </row>
    <row r="849" ht="15.75" customHeight="1">
      <c r="G849" s="10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  <c r="AW849" s="9"/>
      <c r="AX849" s="9"/>
      <c r="AY849" s="11"/>
    </row>
    <row r="850" ht="15.75" customHeight="1">
      <c r="G850" s="10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  <c r="AW850" s="9"/>
      <c r="AX850" s="9"/>
      <c r="AY850" s="11"/>
    </row>
    <row r="851" ht="15.75" customHeight="1">
      <c r="G851" s="10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  <c r="AW851" s="9"/>
      <c r="AX851" s="9"/>
      <c r="AY851" s="11"/>
    </row>
    <row r="852" ht="15.75" customHeight="1">
      <c r="G852" s="10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  <c r="AW852" s="9"/>
      <c r="AX852" s="9"/>
      <c r="AY852" s="11"/>
    </row>
    <row r="853" ht="15.75" customHeight="1">
      <c r="G853" s="10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  <c r="AW853" s="9"/>
      <c r="AX853" s="9"/>
      <c r="AY853" s="11"/>
    </row>
    <row r="854" ht="15.75" customHeight="1">
      <c r="G854" s="10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  <c r="AW854" s="9"/>
      <c r="AX854" s="9"/>
      <c r="AY854" s="11"/>
    </row>
    <row r="855" ht="15.75" customHeight="1">
      <c r="G855" s="10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  <c r="AW855" s="9"/>
      <c r="AX855" s="9"/>
      <c r="AY855" s="11"/>
    </row>
    <row r="856" ht="15.75" customHeight="1">
      <c r="G856" s="10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  <c r="AW856" s="9"/>
      <c r="AX856" s="9"/>
      <c r="AY856" s="11"/>
    </row>
    <row r="857" ht="15.75" customHeight="1">
      <c r="G857" s="10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  <c r="AW857" s="9"/>
      <c r="AX857" s="9"/>
      <c r="AY857" s="11"/>
    </row>
    <row r="858" ht="15.75" customHeight="1">
      <c r="G858" s="10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  <c r="AW858" s="9"/>
      <c r="AX858" s="9"/>
      <c r="AY858" s="11"/>
    </row>
    <row r="859" ht="15.75" customHeight="1">
      <c r="G859" s="10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  <c r="AW859" s="9"/>
      <c r="AX859" s="9"/>
      <c r="AY859" s="11"/>
    </row>
    <row r="860" ht="15.75" customHeight="1">
      <c r="G860" s="10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9"/>
      <c r="AX860" s="9"/>
      <c r="AY860" s="11"/>
    </row>
    <row r="861" ht="15.75" customHeight="1">
      <c r="G861" s="10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  <c r="AW861" s="9"/>
      <c r="AX861" s="9"/>
      <c r="AY861" s="11"/>
    </row>
    <row r="862" ht="15.75" customHeight="1">
      <c r="G862" s="10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  <c r="AW862" s="9"/>
      <c r="AX862" s="9"/>
      <c r="AY862" s="11"/>
    </row>
    <row r="863" ht="15.75" customHeight="1">
      <c r="G863" s="10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9"/>
      <c r="AW863" s="9"/>
      <c r="AX863" s="9"/>
      <c r="AY863" s="11"/>
    </row>
    <row r="864" ht="15.75" customHeight="1">
      <c r="G864" s="10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9"/>
      <c r="AW864" s="9"/>
      <c r="AX864" s="9"/>
      <c r="AY864" s="11"/>
    </row>
    <row r="865" ht="15.75" customHeight="1">
      <c r="G865" s="10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9"/>
      <c r="AW865" s="9"/>
      <c r="AX865" s="9"/>
      <c r="AY865" s="11"/>
    </row>
    <row r="866" ht="15.75" customHeight="1">
      <c r="G866" s="10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  <c r="AV866" s="9"/>
      <c r="AW866" s="9"/>
      <c r="AX866" s="9"/>
      <c r="AY866" s="11"/>
    </row>
    <row r="867" ht="15.75" customHeight="1">
      <c r="G867" s="10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  <c r="AV867" s="9"/>
      <c r="AW867" s="9"/>
      <c r="AX867" s="9"/>
      <c r="AY867" s="11"/>
    </row>
    <row r="868" ht="15.75" customHeight="1">
      <c r="G868" s="10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  <c r="AV868" s="9"/>
      <c r="AW868" s="9"/>
      <c r="AX868" s="9"/>
      <c r="AY868" s="11"/>
    </row>
    <row r="869" ht="15.75" customHeight="1">
      <c r="G869" s="10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  <c r="AV869" s="9"/>
      <c r="AW869" s="9"/>
      <c r="AX869" s="9"/>
      <c r="AY869" s="11"/>
    </row>
    <row r="870" ht="15.75" customHeight="1">
      <c r="G870" s="10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  <c r="AV870" s="9"/>
      <c r="AW870" s="9"/>
      <c r="AX870" s="9"/>
      <c r="AY870" s="11"/>
    </row>
    <row r="871" ht="15.75" customHeight="1">
      <c r="G871" s="10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  <c r="AV871" s="9"/>
      <c r="AW871" s="9"/>
      <c r="AX871" s="9"/>
      <c r="AY871" s="11"/>
    </row>
    <row r="872" ht="15.75" customHeight="1">
      <c r="G872" s="10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9"/>
      <c r="AX872" s="9"/>
      <c r="AY872" s="11"/>
    </row>
    <row r="873" ht="15.75" customHeight="1">
      <c r="G873" s="10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  <c r="AV873" s="9"/>
      <c r="AW873" s="9"/>
      <c r="AX873" s="9"/>
      <c r="AY873" s="11"/>
    </row>
    <row r="874" ht="15.75" customHeight="1">
      <c r="G874" s="10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  <c r="AV874" s="9"/>
      <c r="AW874" s="9"/>
      <c r="AX874" s="9"/>
      <c r="AY874" s="11"/>
    </row>
    <row r="875" ht="15.75" customHeight="1">
      <c r="G875" s="10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9"/>
      <c r="AX875" s="9"/>
      <c r="AY875" s="11"/>
    </row>
    <row r="876" ht="15.75" customHeight="1">
      <c r="G876" s="10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  <c r="AV876" s="9"/>
      <c r="AW876" s="9"/>
      <c r="AX876" s="9"/>
      <c r="AY876" s="11"/>
    </row>
    <row r="877" ht="15.75" customHeight="1">
      <c r="G877" s="10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  <c r="AV877" s="9"/>
      <c r="AW877" s="9"/>
      <c r="AX877" s="9"/>
      <c r="AY877" s="11"/>
    </row>
    <row r="878" ht="15.75" customHeight="1">
      <c r="G878" s="10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  <c r="AV878" s="9"/>
      <c r="AW878" s="9"/>
      <c r="AX878" s="9"/>
      <c r="AY878" s="11"/>
    </row>
    <row r="879" ht="15.75" customHeight="1">
      <c r="G879" s="10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  <c r="AV879" s="9"/>
      <c r="AW879" s="9"/>
      <c r="AX879" s="9"/>
      <c r="AY879" s="11"/>
    </row>
    <row r="880" ht="15.75" customHeight="1">
      <c r="G880" s="10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  <c r="AV880" s="9"/>
      <c r="AW880" s="9"/>
      <c r="AX880" s="9"/>
      <c r="AY880" s="11"/>
    </row>
    <row r="881" ht="15.75" customHeight="1">
      <c r="G881" s="10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9"/>
      <c r="AW881" s="9"/>
      <c r="AX881" s="9"/>
      <c r="AY881" s="11"/>
    </row>
    <row r="882" ht="15.75" customHeight="1">
      <c r="G882" s="10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9"/>
      <c r="AW882" s="9"/>
      <c r="AX882" s="9"/>
      <c r="AY882" s="11"/>
    </row>
    <row r="883" ht="15.75" customHeight="1">
      <c r="G883" s="10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9"/>
      <c r="AW883" s="9"/>
      <c r="AX883" s="9"/>
      <c r="AY883" s="11"/>
    </row>
    <row r="884" ht="15.75" customHeight="1">
      <c r="G884" s="10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  <c r="AV884" s="9"/>
      <c r="AW884" s="9"/>
      <c r="AX884" s="9"/>
      <c r="AY884" s="11"/>
    </row>
    <row r="885" ht="15.75" customHeight="1">
      <c r="G885" s="10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9"/>
      <c r="AW885" s="9"/>
      <c r="AX885" s="9"/>
      <c r="AY885" s="11"/>
    </row>
    <row r="886" ht="15.75" customHeight="1">
      <c r="G886" s="10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  <c r="AV886" s="9"/>
      <c r="AW886" s="9"/>
      <c r="AX886" s="9"/>
      <c r="AY886" s="11"/>
    </row>
    <row r="887" ht="15.75" customHeight="1">
      <c r="G887" s="10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  <c r="AV887" s="9"/>
      <c r="AW887" s="9"/>
      <c r="AX887" s="9"/>
      <c r="AY887" s="11"/>
    </row>
    <row r="888" ht="15.75" customHeight="1">
      <c r="G888" s="10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  <c r="AV888" s="9"/>
      <c r="AW888" s="9"/>
      <c r="AX888" s="9"/>
      <c r="AY888" s="11"/>
    </row>
    <row r="889" ht="15.75" customHeight="1">
      <c r="G889" s="10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9"/>
      <c r="AW889" s="9"/>
      <c r="AX889" s="9"/>
      <c r="AY889" s="11"/>
    </row>
    <row r="890" ht="15.75" customHeight="1">
      <c r="G890" s="10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  <c r="AV890" s="9"/>
      <c r="AW890" s="9"/>
      <c r="AX890" s="9"/>
      <c r="AY890" s="11"/>
    </row>
    <row r="891" ht="15.75" customHeight="1">
      <c r="G891" s="10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  <c r="AV891" s="9"/>
      <c r="AW891" s="9"/>
      <c r="AX891" s="9"/>
      <c r="AY891" s="11"/>
    </row>
    <row r="892" ht="15.75" customHeight="1">
      <c r="G892" s="10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  <c r="AV892" s="9"/>
      <c r="AW892" s="9"/>
      <c r="AX892" s="9"/>
      <c r="AY892" s="11"/>
    </row>
    <row r="893" ht="15.75" customHeight="1">
      <c r="G893" s="10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  <c r="AV893" s="9"/>
      <c r="AW893" s="9"/>
      <c r="AX893" s="9"/>
      <c r="AY893" s="11"/>
    </row>
    <row r="894" ht="15.75" customHeight="1">
      <c r="G894" s="10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  <c r="AV894" s="9"/>
      <c r="AW894" s="9"/>
      <c r="AX894" s="9"/>
      <c r="AY894" s="11"/>
    </row>
    <row r="895" ht="15.75" customHeight="1">
      <c r="G895" s="10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  <c r="AV895" s="9"/>
      <c r="AW895" s="9"/>
      <c r="AX895" s="9"/>
      <c r="AY895" s="11"/>
    </row>
    <row r="896" ht="15.75" customHeight="1">
      <c r="G896" s="10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  <c r="AV896" s="9"/>
      <c r="AW896" s="9"/>
      <c r="AX896" s="9"/>
      <c r="AY896" s="11"/>
    </row>
    <row r="897" ht="15.75" customHeight="1">
      <c r="G897" s="10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  <c r="AV897" s="9"/>
      <c r="AW897" s="9"/>
      <c r="AX897" s="9"/>
      <c r="AY897" s="11"/>
    </row>
    <row r="898" ht="15.75" customHeight="1">
      <c r="G898" s="10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  <c r="AV898" s="9"/>
      <c r="AW898" s="9"/>
      <c r="AX898" s="9"/>
      <c r="AY898" s="11"/>
    </row>
    <row r="899" ht="15.75" customHeight="1">
      <c r="G899" s="10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  <c r="AV899" s="9"/>
      <c r="AW899" s="9"/>
      <c r="AX899" s="9"/>
      <c r="AY899" s="11"/>
    </row>
    <row r="900" ht="15.75" customHeight="1">
      <c r="G900" s="10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  <c r="AV900" s="9"/>
      <c r="AW900" s="9"/>
      <c r="AX900" s="9"/>
      <c r="AY900" s="11"/>
    </row>
    <row r="901" ht="15.75" customHeight="1">
      <c r="G901" s="10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  <c r="AV901" s="9"/>
      <c r="AW901" s="9"/>
      <c r="AX901" s="9"/>
      <c r="AY901" s="11"/>
    </row>
    <row r="902" ht="15.75" customHeight="1">
      <c r="G902" s="10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9"/>
      <c r="AX902" s="9"/>
      <c r="AY902" s="11"/>
    </row>
    <row r="903" ht="15.75" customHeight="1">
      <c r="G903" s="10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9"/>
      <c r="AX903" s="9"/>
      <c r="AY903" s="11"/>
    </row>
    <row r="904" ht="15.75" customHeight="1">
      <c r="G904" s="10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9"/>
      <c r="AX904" s="9"/>
      <c r="AY904" s="11"/>
    </row>
    <row r="905" ht="15.75" customHeight="1">
      <c r="G905" s="10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9"/>
      <c r="AX905" s="9"/>
      <c r="AY905" s="11"/>
    </row>
    <row r="906" ht="15.75" customHeight="1">
      <c r="G906" s="10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  <c r="AX906" s="9"/>
      <c r="AY906" s="11"/>
    </row>
    <row r="907" ht="15.75" customHeight="1">
      <c r="G907" s="10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9"/>
      <c r="AX907" s="9"/>
      <c r="AY907" s="11"/>
    </row>
    <row r="908" ht="15.75" customHeight="1">
      <c r="G908" s="10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9"/>
      <c r="AX908" s="9"/>
      <c r="AY908" s="11"/>
    </row>
    <row r="909" ht="15.75" customHeight="1">
      <c r="G909" s="10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9"/>
      <c r="AX909" s="9"/>
      <c r="AY909" s="11"/>
    </row>
    <row r="910" ht="15.75" customHeight="1">
      <c r="G910" s="10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9"/>
      <c r="AX910" s="9"/>
      <c r="AY910" s="11"/>
    </row>
    <row r="911" ht="15.75" customHeight="1">
      <c r="G911" s="10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9"/>
      <c r="AX911" s="9"/>
      <c r="AY911" s="11"/>
    </row>
    <row r="912" ht="15.75" customHeight="1">
      <c r="G912" s="10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9"/>
      <c r="AX912" s="9"/>
      <c r="AY912" s="11"/>
    </row>
    <row r="913" ht="15.75" customHeight="1">
      <c r="G913" s="10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9"/>
      <c r="AX913" s="9"/>
      <c r="AY913" s="11"/>
    </row>
    <row r="914" ht="15.75" customHeight="1">
      <c r="G914" s="10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9"/>
      <c r="AX914" s="9"/>
      <c r="AY914" s="11"/>
    </row>
    <row r="915" ht="15.75" customHeight="1">
      <c r="G915" s="10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9"/>
      <c r="AX915" s="9"/>
      <c r="AY915" s="11"/>
    </row>
    <row r="916" ht="15.75" customHeight="1">
      <c r="G916" s="10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9"/>
      <c r="AX916" s="9"/>
      <c r="AY916" s="11"/>
    </row>
    <row r="917" ht="15.75" customHeight="1">
      <c r="G917" s="10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9"/>
      <c r="AX917" s="9"/>
      <c r="AY917" s="11"/>
    </row>
    <row r="918" ht="15.75" customHeight="1">
      <c r="G918" s="10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9"/>
      <c r="AX918" s="9"/>
      <c r="AY918" s="11"/>
    </row>
    <row r="919" ht="15.75" customHeight="1">
      <c r="G919" s="10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9"/>
      <c r="AX919" s="9"/>
      <c r="AY919" s="11"/>
    </row>
    <row r="920" ht="15.75" customHeight="1">
      <c r="G920" s="10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9"/>
      <c r="AX920" s="9"/>
      <c r="AY920" s="11"/>
    </row>
    <row r="921" ht="15.75" customHeight="1">
      <c r="G921" s="10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9"/>
      <c r="AX921" s="9"/>
      <c r="AY921" s="11"/>
    </row>
    <row r="922" ht="15.75" customHeight="1">
      <c r="G922" s="10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9"/>
      <c r="AX922" s="9"/>
      <c r="AY922" s="11"/>
    </row>
    <row r="923" ht="15.75" customHeight="1">
      <c r="G923" s="10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9"/>
      <c r="AX923" s="9"/>
      <c r="AY923" s="11"/>
    </row>
    <row r="924" ht="15.75" customHeight="1">
      <c r="G924" s="10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9"/>
      <c r="AX924" s="9"/>
      <c r="AY924" s="11"/>
    </row>
    <row r="925" ht="15.75" customHeight="1">
      <c r="G925" s="10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9"/>
      <c r="AX925" s="9"/>
      <c r="AY925" s="11"/>
    </row>
    <row r="926" ht="15.75" customHeight="1">
      <c r="G926" s="10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9"/>
      <c r="AX926" s="9"/>
      <c r="AY926" s="11"/>
    </row>
    <row r="927" ht="15.75" customHeight="1">
      <c r="G927" s="10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  <c r="AX927" s="9"/>
      <c r="AY927" s="11"/>
    </row>
    <row r="928" ht="15.75" customHeight="1">
      <c r="G928" s="10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  <c r="AX928" s="9"/>
      <c r="AY928" s="11"/>
    </row>
    <row r="929" ht="15.75" customHeight="1">
      <c r="G929" s="10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  <c r="AX929" s="9"/>
      <c r="AY929" s="11"/>
    </row>
    <row r="930" ht="15.75" customHeight="1">
      <c r="G930" s="10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9"/>
      <c r="AX930" s="9"/>
      <c r="AY930" s="11"/>
    </row>
    <row r="931" ht="15.75" customHeight="1">
      <c r="G931" s="10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9"/>
      <c r="AX931" s="9"/>
      <c r="AY931" s="11"/>
    </row>
    <row r="932" ht="15.75" customHeight="1">
      <c r="G932" s="10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9"/>
      <c r="AX932" s="9"/>
      <c r="AY932" s="11"/>
    </row>
    <row r="933" ht="15.75" customHeight="1">
      <c r="G933" s="10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9"/>
      <c r="AX933" s="9"/>
      <c r="AY933" s="11"/>
    </row>
    <row r="934" ht="15.75" customHeight="1">
      <c r="G934" s="10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  <c r="AV934" s="9"/>
      <c r="AW934" s="9"/>
      <c r="AX934" s="9"/>
      <c r="AY934" s="11"/>
    </row>
    <row r="935" ht="15.75" customHeight="1">
      <c r="G935" s="10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  <c r="AV935" s="9"/>
      <c r="AW935" s="9"/>
      <c r="AX935" s="9"/>
      <c r="AY935" s="11"/>
    </row>
    <row r="936" ht="15.75" customHeight="1">
      <c r="G936" s="10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  <c r="AV936" s="9"/>
      <c r="AW936" s="9"/>
      <c r="AX936" s="9"/>
      <c r="AY936" s="11"/>
    </row>
    <row r="937" ht="15.75" customHeight="1">
      <c r="G937" s="10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  <c r="AV937" s="9"/>
      <c r="AW937" s="9"/>
      <c r="AX937" s="9"/>
      <c r="AY937" s="11"/>
    </row>
    <row r="938" ht="15.75" customHeight="1">
      <c r="G938" s="10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  <c r="AV938" s="9"/>
      <c r="AW938" s="9"/>
      <c r="AX938" s="9"/>
      <c r="AY938" s="11"/>
    </row>
    <row r="939" ht="15.75" customHeight="1">
      <c r="G939" s="10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  <c r="AV939" s="9"/>
      <c r="AW939" s="9"/>
      <c r="AX939" s="9"/>
      <c r="AY939" s="11"/>
    </row>
    <row r="940" ht="15.75" customHeight="1">
      <c r="G940" s="10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9"/>
      <c r="AX940" s="9"/>
      <c r="AY940" s="11"/>
    </row>
    <row r="941" ht="15.75" customHeight="1">
      <c r="G941" s="10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  <c r="AV941" s="9"/>
      <c r="AW941" s="9"/>
      <c r="AX941" s="9"/>
      <c r="AY941" s="11"/>
    </row>
    <row r="942" ht="15.75" customHeight="1">
      <c r="G942" s="10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  <c r="AV942" s="9"/>
      <c r="AW942" s="9"/>
      <c r="AX942" s="9"/>
      <c r="AY942" s="11"/>
    </row>
    <row r="943" ht="15.75" customHeight="1">
      <c r="G943" s="10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  <c r="AV943" s="9"/>
      <c r="AW943" s="9"/>
      <c r="AX943" s="9"/>
      <c r="AY943" s="11"/>
    </row>
    <row r="944" ht="15.75" customHeight="1">
      <c r="G944" s="10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  <c r="AV944" s="9"/>
      <c r="AW944" s="9"/>
      <c r="AX944" s="9"/>
      <c r="AY944" s="11"/>
    </row>
    <row r="945" ht="15.75" customHeight="1">
      <c r="G945" s="10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  <c r="AV945" s="9"/>
      <c r="AW945" s="9"/>
      <c r="AX945" s="9"/>
      <c r="AY945" s="11"/>
    </row>
    <row r="946" ht="15.75" customHeight="1">
      <c r="G946" s="10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  <c r="AV946" s="9"/>
      <c r="AW946" s="9"/>
      <c r="AX946" s="9"/>
      <c r="AY946" s="11"/>
    </row>
    <row r="947" ht="15.75" customHeight="1">
      <c r="G947" s="10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  <c r="AV947" s="9"/>
      <c r="AW947" s="9"/>
      <c r="AX947" s="9"/>
      <c r="AY947" s="11"/>
    </row>
    <row r="948" ht="15.75" customHeight="1">
      <c r="G948" s="10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  <c r="AV948" s="9"/>
      <c r="AW948" s="9"/>
      <c r="AX948" s="9"/>
      <c r="AY948" s="11"/>
    </row>
    <row r="949" ht="15.75" customHeight="1">
      <c r="G949" s="10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  <c r="AV949" s="9"/>
      <c r="AW949" s="9"/>
      <c r="AX949" s="9"/>
      <c r="AY949" s="11"/>
    </row>
    <row r="950" ht="15.75" customHeight="1">
      <c r="G950" s="10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  <c r="AV950" s="9"/>
      <c r="AW950" s="9"/>
      <c r="AX950" s="9"/>
      <c r="AY950" s="11"/>
    </row>
    <row r="951" ht="15.75" customHeight="1">
      <c r="G951" s="10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  <c r="AV951" s="9"/>
      <c r="AW951" s="9"/>
      <c r="AX951" s="9"/>
      <c r="AY951" s="11"/>
    </row>
    <row r="952" ht="15.75" customHeight="1">
      <c r="G952" s="10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9"/>
      <c r="AW952" s="9"/>
      <c r="AX952" s="9"/>
      <c r="AY952" s="11"/>
    </row>
    <row r="953" ht="15.75" customHeight="1">
      <c r="G953" s="10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9"/>
      <c r="AW953" s="9"/>
      <c r="AX953" s="9"/>
      <c r="AY953" s="11"/>
    </row>
    <row r="954" ht="15.75" customHeight="1">
      <c r="G954" s="10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9"/>
      <c r="AX954" s="9"/>
      <c r="AY954" s="11"/>
    </row>
    <row r="955" ht="15.75" customHeight="1">
      <c r="G955" s="10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  <c r="AV955" s="9"/>
      <c r="AW955" s="9"/>
      <c r="AX955" s="9"/>
      <c r="AY955" s="11"/>
    </row>
    <row r="956" ht="15.75" customHeight="1">
      <c r="G956" s="10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  <c r="AV956" s="9"/>
      <c r="AW956" s="9"/>
      <c r="AX956" s="9"/>
      <c r="AY956" s="11"/>
    </row>
    <row r="957" ht="15.75" customHeight="1">
      <c r="G957" s="10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9"/>
      <c r="AW957" s="9"/>
      <c r="AX957" s="9"/>
      <c r="AY957" s="11"/>
    </row>
    <row r="958" ht="15.75" customHeight="1">
      <c r="G958" s="10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  <c r="AV958" s="9"/>
      <c r="AW958" s="9"/>
      <c r="AX958" s="9"/>
      <c r="AY958" s="11"/>
    </row>
    <row r="959" ht="15.75" customHeight="1">
      <c r="G959" s="10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  <c r="AV959" s="9"/>
      <c r="AW959" s="9"/>
      <c r="AX959" s="9"/>
      <c r="AY959" s="11"/>
    </row>
    <row r="960" ht="15.75" customHeight="1">
      <c r="G960" s="10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  <c r="AV960" s="9"/>
      <c r="AW960" s="9"/>
      <c r="AX960" s="9"/>
      <c r="AY960" s="11"/>
    </row>
    <row r="961" ht="15.75" customHeight="1">
      <c r="G961" s="10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9"/>
      <c r="AX961" s="9"/>
      <c r="AY961" s="11"/>
    </row>
    <row r="962" ht="15.75" customHeight="1">
      <c r="G962" s="10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9"/>
      <c r="AW962" s="9"/>
      <c r="AX962" s="9"/>
      <c r="AY962" s="11"/>
    </row>
    <row r="963" ht="15.75" customHeight="1">
      <c r="G963" s="10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9"/>
      <c r="AW963" s="9"/>
      <c r="AX963" s="9"/>
      <c r="AY963" s="11"/>
    </row>
    <row r="964" ht="15.75" customHeight="1">
      <c r="G964" s="10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9"/>
      <c r="AW964" s="9"/>
      <c r="AX964" s="9"/>
      <c r="AY964" s="11"/>
    </row>
    <row r="965" ht="15.75" customHeight="1">
      <c r="G965" s="10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9"/>
      <c r="AW965" s="9"/>
      <c r="AX965" s="9"/>
      <c r="AY965" s="11"/>
    </row>
    <row r="966" ht="15.75" customHeight="1">
      <c r="G966" s="10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9"/>
      <c r="AW966" s="9"/>
      <c r="AX966" s="9"/>
      <c r="AY966" s="11"/>
    </row>
    <row r="967" ht="15.75" customHeight="1">
      <c r="G967" s="10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  <c r="AU967" s="9"/>
      <c r="AV967" s="9"/>
      <c r="AW967" s="9"/>
      <c r="AX967" s="9"/>
      <c r="AY967" s="11"/>
    </row>
    <row r="968" ht="15.75" customHeight="1">
      <c r="G968" s="10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  <c r="AU968" s="9"/>
      <c r="AV968" s="9"/>
      <c r="AW968" s="9"/>
      <c r="AX968" s="9"/>
      <c r="AY968" s="11"/>
    </row>
    <row r="969" ht="15.75" customHeight="1">
      <c r="G969" s="10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  <c r="AU969" s="9"/>
      <c r="AV969" s="9"/>
      <c r="AW969" s="9"/>
      <c r="AX969" s="9"/>
      <c r="AY969" s="11"/>
    </row>
    <row r="970" ht="15.75" customHeight="1">
      <c r="G970" s="10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  <c r="AU970" s="9"/>
      <c r="AV970" s="9"/>
      <c r="AW970" s="9"/>
      <c r="AX970" s="9"/>
      <c r="AY970" s="11"/>
    </row>
    <row r="971" ht="15.75" customHeight="1">
      <c r="G971" s="10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  <c r="AU971" s="9"/>
      <c r="AV971" s="9"/>
      <c r="AW971" s="9"/>
      <c r="AX971" s="9"/>
      <c r="AY971" s="11"/>
    </row>
    <row r="972" ht="15.75" customHeight="1">
      <c r="G972" s="10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  <c r="AU972" s="9"/>
      <c r="AV972" s="9"/>
      <c r="AW972" s="9"/>
      <c r="AX972" s="9"/>
      <c r="AY972" s="11"/>
    </row>
    <row r="973" ht="15.75" customHeight="1">
      <c r="G973" s="10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9"/>
      <c r="AW973" s="9"/>
      <c r="AX973" s="9"/>
      <c r="AY973" s="11"/>
    </row>
    <row r="974" ht="15.75" customHeight="1">
      <c r="G974" s="10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  <c r="AV974" s="9"/>
      <c r="AW974" s="9"/>
      <c r="AX974" s="9"/>
      <c r="AY974" s="11"/>
    </row>
    <row r="975" ht="15.75" customHeight="1">
      <c r="G975" s="10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  <c r="AV975" s="9"/>
      <c r="AW975" s="9"/>
      <c r="AX975" s="9"/>
      <c r="AY975" s="11"/>
    </row>
    <row r="976" ht="15.75" customHeight="1">
      <c r="G976" s="10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  <c r="AV976" s="9"/>
      <c r="AW976" s="9"/>
      <c r="AX976" s="9"/>
      <c r="AY976" s="11"/>
    </row>
    <row r="977" ht="15.75" customHeight="1">
      <c r="G977" s="10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  <c r="AV977" s="9"/>
      <c r="AW977" s="9"/>
      <c r="AX977" s="9"/>
      <c r="AY977" s="11"/>
    </row>
    <row r="978" ht="15.75" customHeight="1">
      <c r="G978" s="10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  <c r="AV978" s="9"/>
      <c r="AW978" s="9"/>
      <c r="AX978" s="9"/>
      <c r="AY978" s="11"/>
    </row>
    <row r="979" ht="15.75" customHeight="1">
      <c r="G979" s="10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  <c r="AU979" s="9"/>
      <c r="AV979" s="9"/>
      <c r="AW979" s="9"/>
      <c r="AX979" s="9"/>
      <c r="AY979" s="11"/>
    </row>
    <row r="980" ht="15.75" customHeight="1">
      <c r="G980" s="10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  <c r="AU980" s="9"/>
      <c r="AV980" s="9"/>
      <c r="AW980" s="9"/>
      <c r="AX980" s="9"/>
      <c r="AY980" s="11"/>
    </row>
    <row r="981" ht="15.75" customHeight="1">
      <c r="G981" s="10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  <c r="AU981" s="9"/>
      <c r="AV981" s="9"/>
      <c r="AW981" s="9"/>
      <c r="AX981" s="9"/>
      <c r="AY981" s="11"/>
    </row>
    <row r="982" ht="15.75" customHeight="1">
      <c r="G982" s="10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  <c r="AU982" s="9"/>
      <c r="AV982" s="9"/>
      <c r="AW982" s="9"/>
      <c r="AX982" s="9"/>
      <c r="AY982" s="11"/>
    </row>
    <row r="983" ht="15.75" customHeight="1">
      <c r="G983" s="10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  <c r="AU983" s="9"/>
      <c r="AV983" s="9"/>
      <c r="AW983" s="9"/>
      <c r="AX983" s="9"/>
      <c r="AY983" s="11"/>
    </row>
    <row r="984" ht="15.75" customHeight="1">
      <c r="G984" s="10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  <c r="AU984" s="9"/>
      <c r="AV984" s="9"/>
      <c r="AW984" s="9"/>
      <c r="AX984" s="9"/>
      <c r="AY984" s="11"/>
    </row>
    <row r="985" ht="15.75" customHeight="1">
      <c r="G985" s="10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  <c r="AU985" s="9"/>
      <c r="AV985" s="9"/>
      <c r="AW985" s="9"/>
      <c r="AX985" s="9"/>
      <c r="AY985" s="11"/>
    </row>
    <row r="986" ht="15.75" customHeight="1">
      <c r="G986" s="10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  <c r="AU986" s="9"/>
      <c r="AV986" s="9"/>
      <c r="AW986" s="9"/>
      <c r="AX986" s="9"/>
      <c r="AY986" s="11"/>
    </row>
    <row r="987" ht="15.75" customHeight="1">
      <c r="G987" s="10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  <c r="AU987" s="9"/>
      <c r="AV987" s="9"/>
      <c r="AW987" s="9"/>
      <c r="AX987" s="9"/>
      <c r="AY987" s="11"/>
    </row>
    <row r="988" ht="15.75" customHeight="1">
      <c r="G988" s="10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  <c r="AU988" s="9"/>
      <c r="AV988" s="9"/>
      <c r="AW988" s="9"/>
      <c r="AX988" s="9"/>
      <c r="AY988" s="11"/>
    </row>
    <row r="989" ht="15.75" customHeight="1">
      <c r="G989" s="10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  <c r="AU989" s="9"/>
      <c r="AV989" s="9"/>
      <c r="AW989" s="9"/>
      <c r="AX989" s="9"/>
      <c r="AY989" s="11"/>
    </row>
    <row r="990" ht="15.75" customHeight="1">
      <c r="G990" s="10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  <c r="AU990" s="9"/>
      <c r="AV990" s="9"/>
      <c r="AW990" s="9"/>
      <c r="AX990" s="9"/>
      <c r="AY990" s="11"/>
    </row>
    <row r="991" ht="15.75" customHeight="1">
      <c r="G991" s="10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  <c r="AU991" s="9"/>
      <c r="AV991" s="9"/>
      <c r="AW991" s="9"/>
      <c r="AX991" s="9"/>
      <c r="AY991" s="11"/>
    </row>
    <row r="992" ht="15.75" customHeight="1">
      <c r="G992" s="10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  <c r="AU992" s="9"/>
      <c r="AV992" s="9"/>
      <c r="AW992" s="9"/>
      <c r="AX992" s="9"/>
      <c r="AY992" s="11"/>
    </row>
    <row r="993" ht="15.75" customHeight="1">
      <c r="G993" s="10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  <c r="AU993" s="9"/>
      <c r="AV993" s="9"/>
      <c r="AW993" s="9"/>
      <c r="AX993" s="9"/>
      <c r="AY993" s="11"/>
    </row>
    <row r="994" ht="15.75" customHeight="1">
      <c r="G994" s="10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  <c r="AU994" s="9"/>
      <c r="AV994" s="9"/>
      <c r="AW994" s="9"/>
      <c r="AX994" s="9"/>
      <c r="AY994" s="11"/>
    </row>
    <row r="995" ht="15.75" customHeight="1">
      <c r="G995" s="10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  <c r="AU995" s="9"/>
      <c r="AV995" s="9"/>
      <c r="AW995" s="9"/>
      <c r="AX995" s="9"/>
      <c r="AY995" s="11"/>
    </row>
    <row r="996" ht="15.75" customHeight="1">
      <c r="G996" s="10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  <c r="AT996" s="9"/>
      <c r="AU996" s="9"/>
      <c r="AV996" s="9"/>
      <c r="AW996" s="9"/>
      <c r="AX996" s="9"/>
      <c r="AY996" s="11"/>
    </row>
    <row r="997" ht="15.75" customHeight="1">
      <c r="G997" s="10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/>
      <c r="AT997" s="9"/>
      <c r="AU997" s="9"/>
      <c r="AV997" s="9"/>
      <c r="AW997" s="9"/>
      <c r="AX997" s="9"/>
      <c r="AY997" s="11"/>
    </row>
    <row r="998" ht="15.75" customHeight="1">
      <c r="G998" s="10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/>
      <c r="AT998" s="9"/>
      <c r="AU998" s="9"/>
      <c r="AV998" s="9"/>
      <c r="AW998" s="9"/>
      <c r="AX998" s="9"/>
      <c r="AY998" s="11"/>
    </row>
    <row r="999" ht="15.75" customHeight="1">
      <c r="G999" s="10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 s="9"/>
      <c r="AT999" s="9"/>
      <c r="AU999" s="9"/>
      <c r="AV999" s="9"/>
      <c r="AW999" s="9"/>
      <c r="AX999" s="9"/>
      <c r="AY999" s="11"/>
    </row>
    <row r="1000" ht="15.75" customHeight="1">
      <c r="G1000" s="10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  <c r="AQ1000" s="9"/>
      <c r="AR1000" s="9"/>
      <c r="AS1000" s="9"/>
      <c r="AT1000" s="9"/>
      <c r="AU1000" s="9"/>
      <c r="AV1000" s="9"/>
      <c r="AW1000" s="9"/>
      <c r="AX1000" s="9"/>
      <c r="AY1000" s="11"/>
    </row>
    <row r="1001" ht="15.75" customHeight="1">
      <c r="G1001" s="10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9"/>
      <c r="AN1001" s="9"/>
      <c r="AO1001" s="9"/>
      <c r="AP1001" s="9"/>
      <c r="AQ1001" s="9"/>
      <c r="AR1001" s="9"/>
      <c r="AS1001" s="9"/>
      <c r="AT1001" s="9"/>
      <c r="AU1001" s="9"/>
      <c r="AV1001" s="9"/>
      <c r="AW1001" s="9"/>
      <c r="AX1001" s="9"/>
      <c r="AY1001" s="11"/>
    </row>
    <row r="1002" ht="15.75" customHeight="1">
      <c r="G1002" s="10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  <c r="AM1002" s="9"/>
      <c r="AN1002" s="9"/>
      <c r="AO1002" s="9"/>
      <c r="AP1002" s="9"/>
      <c r="AQ1002" s="9"/>
      <c r="AR1002" s="9"/>
      <c r="AS1002" s="9"/>
      <c r="AT1002" s="9"/>
      <c r="AU1002" s="9"/>
      <c r="AV1002" s="9"/>
      <c r="AW1002" s="9"/>
      <c r="AX1002" s="9"/>
      <c r="AY1002" s="11"/>
    </row>
    <row r="1003" ht="15.75" customHeight="1">
      <c r="G1003" s="10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  <c r="AM1003" s="9"/>
      <c r="AN1003" s="9"/>
      <c r="AO1003" s="9"/>
      <c r="AP1003" s="9"/>
      <c r="AQ1003" s="9"/>
      <c r="AR1003" s="9"/>
      <c r="AS1003" s="9"/>
      <c r="AT1003" s="9"/>
      <c r="AU1003" s="9"/>
      <c r="AV1003" s="9"/>
      <c r="AW1003" s="9"/>
      <c r="AX1003" s="9"/>
      <c r="AY1003" s="11"/>
    </row>
    <row r="1004" ht="15.75" customHeight="1">
      <c r="G1004" s="10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  <c r="AM1004" s="9"/>
      <c r="AN1004" s="9"/>
      <c r="AO1004" s="9"/>
      <c r="AP1004" s="9"/>
      <c r="AQ1004" s="9"/>
      <c r="AR1004" s="9"/>
      <c r="AS1004" s="9"/>
      <c r="AT1004" s="9"/>
      <c r="AU1004" s="9"/>
      <c r="AV1004" s="9"/>
      <c r="AW1004" s="9"/>
      <c r="AX1004" s="9"/>
      <c r="AY1004" s="11"/>
    </row>
    <row r="1005" ht="15.75" customHeight="1">
      <c r="G1005" s="10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9"/>
      <c r="AM1005" s="9"/>
      <c r="AN1005" s="9"/>
      <c r="AO1005" s="9"/>
      <c r="AP1005" s="9"/>
      <c r="AQ1005" s="9"/>
      <c r="AR1005" s="9"/>
      <c r="AS1005" s="9"/>
      <c r="AT1005" s="9"/>
      <c r="AU1005" s="9"/>
      <c r="AV1005" s="9"/>
      <c r="AW1005" s="9"/>
      <c r="AX1005" s="9"/>
      <c r="AY1005" s="11"/>
    </row>
    <row r="1006" ht="15.75" customHeight="1">
      <c r="G1006" s="10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  <c r="AL1006" s="9"/>
      <c r="AM1006" s="9"/>
      <c r="AN1006" s="9"/>
      <c r="AO1006" s="9"/>
      <c r="AP1006" s="9"/>
      <c r="AQ1006" s="9"/>
      <c r="AR1006" s="9"/>
      <c r="AS1006" s="9"/>
      <c r="AT1006" s="9"/>
      <c r="AU1006" s="9"/>
      <c r="AV1006" s="9"/>
      <c r="AW1006" s="9"/>
      <c r="AX1006" s="9"/>
      <c r="AY1006" s="11"/>
    </row>
    <row r="1007" ht="15.75" customHeight="1">
      <c r="G1007" s="10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  <c r="AD1007" s="9"/>
      <c r="AE1007" s="9"/>
      <c r="AF1007" s="9"/>
      <c r="AG1007" s="9"/>
      <c r="AH1007" s="9"/>
      <c r="AI1007" s="9"/>
      <c r="AJ1007" s="9"/>
      <c r="AK1007" s="9"/>
      <c r="AL1007" s="9"/>
      <c r="AM1007" s="9"/>
      <c r="AN1007" s="9"/>
      <c r="AO1007" s="9"/>
      <c r="AP1007" s="9"/>
      <c r="AQ1007" s="9"/>
      <c r="AR1007" s="9"/>
      <c r="AS1007" s="9"/>
      <c r="AT1007" s="9"/>
      <c r="AU1007" s="9"/>
      <c r="AV1007" s="9"/>
      <c r="AW1007" s="9"/>
      <c r="AX1007" s="9"/>
      <c r="AY1007" s="11"/>
    </row>
    <row r="1008" ht="15.75" customHeight="1">
      <c r="G1008" s="10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  <c r="AF1008" s="9"/>
      <c r="AG1008" s="9"/>
      <c r="AH1008" s="9"/>
      <c r="AI1008" s="9"/>
      <c r="AJ1008" s="9"/>
      <c r="AK1008" s="9"/>
      <c r="AL1008" s="9"/>
      <c r="AM1008" s="9"/>
      <c r="AN1008" s="9"/>
      <c r="AO1008" s="9"/>
      <c r="AP1008" s="9"/>
      <c r="AQ1008" s="9"/>
      <c r="AR1008" s="9"/>
      <c r="AS1008" s="9"/>
      <c r="AT1008" s="9"/>
      <c r="AU1008" s="9"/>
      <c r="AV1008" s="9"/>
      <c r="AW1008" s="9"/>
      <c r="AX1008" s="9"/>
      <c r="AY1008" s="11"/>
    </row>
    <row r="1009" ht="15.75" customHeight="1">
      <c r="G1009" s="10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  <c r="AD1009" s="9"/>
      <c r="AE1009" s="9"/>
      <c r="AF1009" s="9"/>
      <c r="AG1009" s="9"/>
      <c r="AH1009" s="9"/>
      <c r="AI1009" s="9"/>
      <c r="AJ1009" s="9"/>
      <c r="AK1009" s="9"/>
      <c r="AL1009" s="9"/>
      <c r="AM1009" s="9"/>
      <c r="AN1009" s="9"/>
      <c r="AO1009" s="9"/>
      <c r="AP1009" s="9"/>
      <c r="AQ1009" s="9"/>
      <c r="AR1009" s="9"/>
      <c r="AS1009" s="9"/>
      <c r="AT1009" s="9"/>
      <c r="AU1009" s="9"/>
      <c r="AV1009" s="9"/>
      <c r="AW1009" s="9"/>
      <c r="AX1009" s="9"/>
      <c r="AY1009" s="11"/>
    </row>
    <row r="1010" ht="15.75" customHeight="1">
      <c r="G1010" s="10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  <c r="AD1010" s="9"/>
      <c r="AE1010" s="9"/>
      <c r="AF1010" s="9"/>
      <c r="AG1010" s="9"/>
      <c r="AH1010" s="9"/>
      <c r="AI1010" s="9"/>
      <c r="AJ1010" s="9"/>
      <c r="AK1010" s="9"/>
      <c r="AL1010" s="9"/>
      <c r="AM1010" s="9"/>
      <c r="AN1010" s="9"/>
      <c r="AO1010" s="9"/>
      <c r="AP1010" s="9"/>
      <c r="AQ1010" s="9"/>
      <c r="AR1010" s="9"/>
      <c r="AS1010" s="9"/>
      <c r="AT1010" s="9"/>
      <c r="AU1010" s="9"/>
      <c r="AV1010" s="9"/>
      <c r="AW1010" s="9"/>
      <c r="AX1010" s="9"/>
      <c r="AY1010" s="11"/>
    </row>
    <row r="1011" ht="15.75" customHeight="1">
      <c r="G1011" s="10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  <c r="AD1011" s="9"/>
      <c r="AE1011" s="9"/>
      <c r="AF1011" s="9"/>
      <c r="AG1011" s="9"/>
      <c r="AH1011" s="9"/>
      <c r="AI1011" s="9"/>
      <c r="AJ1011" s="9"/>
      <c r="AK1011" s="9"/>
      <c r="AL1011" s="9"/>
      <c r="AM1011" s="9"/>
      <c r="AN1011" s="9"/>
      <c r="AO1011" s="9"/>
      <c r="AP1011" s="9"/>
      <c r="AQ1011" s="9"/>
      <c r="AR1011" s="9"/>
      <c r="AS1011" s="9"/>
      <c r="AT1011" s="9"/>
      <c r="AU1011" s="9"/>
      <c r="AV1011" s="9"/>
      <c r="AW1011" s="9"/>
      <c r="AX1011" s="9"/>
      <c r="AY1011" s="11"/>
    </row>
  </sheetData>
  <printOptions gridLines="1" horizontalCentered="1"/>
  <pageMargins bottom="0.75" footer="0.0" header="0.0" left="0.25" right="0.25" top="0.75"/>
  <pageSetup cellComments="atEnd" orientation="landscape" pageOrder="overThenDown"/>
  <colBreaks count="1" manualBreakCount="1">
    <brk id="3" man="1"/>
  </colBreaks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2021-11-23T16:30:44Z</dcterms:created>
  <dc:creator>Microsoft Office User</dc:creator>
</cp:coreProperties>
</file>